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20" windowWidth="11565" windowHeight="9525" tabRatio="875" firstSheet="9"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图"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11" l="1"/>
  <c r="G81" i="46"/>
  <c r="G82" i="46"/>
  <c r="G83" i="46"/>
  <c r="G84" i="46"/>
  <c r="G85" i="46"/>
  <c r="G86" i="46"/>
  <c r="G87" i="46"/>
  <c r="G80" i="46"/>
  <c r="I13" i="3" l="1"/>
  <c r="K7" i="11" l="1"/>
  <c r="J7" i="11"/>
  <c r="I7" i="11"/>
  <c r="J9" i="11" l="1"/>
  <c r="F1" i="46"/>
  <c r="D5" i="9"/>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B66" i="63" s="1"/>
  <c r="A14" i="55"/>
  <c r="A11" i="55"/>
  <c r="A10" i="55"/>
  <c r="B61" i="63" s="1"/>
  <c r="A9" i="55"/>
  <c r="B60" i="63" s="1"/>
  <c r="A8" i="55"/>
  <c r="A6" i="54"/>
  <c r="A8" i="54"/>
  <c r="B53" i="63" s="1"/>
  <c r="A7" i="54"/>
  <c r="B5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T10" i="59"/>
  <c r="D10" i="59"/>
  <c r="B76" i="63"/>
  <c r="M5" i="54"/>
  <c r="B41" i="63" s="1"/>
  <c r="A23" i="51"/>
  <c r="B17" i="63" s="1"/>
  <c r="Y12" i="46"/>
  <c r="AA9" i="46"/>
  <c r="AB9" i="46"/>
  <c r="AB10" i="46" s="1"/>
  <c r="AC9" i="46"/>
  <c r="AD9" i="46"/>
  <c r="AD10" i="46" s="1"/>
  <c r="AE9" i="46"/>
  <c r="AE12" i="46" s="1"/>
  <c r="AF9" i="46"/>
  <c r="AF10" i="46" s="1"/>
  <c r="AG9" i="46"/>
  <c r="AG10" i="46" s="1"/>
  <c r="AH9" i="46"/>
  <c r="AH10" i="46" s="1"/>
  <c r="AI9" i="46"/>
  <c r="AJ9" i="46"/>
  <c r="AJ10" i="46" s="1"/>
  <c r="Z9" i="46"/>
  <c r="Y10"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I19" i="46"/>
  <c r="Q14" i="59"/>
  <c r="P14" i="59"/>
  <c r="E14" i="59" s="1"/>
  <c r="O14" i="59"/>
  <c r="N14" i="59"/>
  <c r="B14" i="59" s="1"/>
  <c r="D75" i="59"/>
  <c r="F74" i="59"/>
  <c r="E74" i="59"/>
  <c r="E73" i="59" s="1"/>
  <c r="E72" i="59" s="1"/>
  <c r="C74" i="59"/>
  <c r="D74" i="59" s="1"/>
  <c r="B74" i="59"/>
  <c r="F73" i="59"/>
  <c r="F72" i="59" s="1"/>
  <c r="B73" i="59"/>
  <c r="B72" i="59" s="1"/>
  <c r="D71" i="59"/>
  <c r="F70" i="59"/>
  <c r="F69" i="59" s="1"/>
  <c r="F68" i="59" s="1"/>
  <c r="E70" i="59"/>
  <c r="E69" i="59" s="1"/>
  <c r="E68" i="59" s="1"/>
  <c r="C70" i="59"/>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D40"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s="1"/>
  <c r="Z25" i="59" s="1"/>
  <c r="N25" i="59"/>
  <c r="X25" i="59" s="1"/>
  <c r="Q24" i="59"/>
  <c r="AB24" i="59" s="1"/>
  <c r="P24" i="59"/>
  <c r="O24" i="59"/>
  <c r="N24" i="59"/>
  <c r="Q23" i="59"/>
  <c r="P23" i="59"/>
  <c r="E24" i="59" s="1"/>
  <c r="E25" i="59" s="1"/>
  <c r="E26" i="59" s="1"/>
  <c r="O23" i="59"/>
  <c r="Y23" i="59" s="1"/>
  <c r="Z23" i="59" s="1"/>
  <c r="N23" i="59"/>
  <c r="D23" i="59"/>
  <c r="Q22" i="59"/>
  <c r="P22" i="59"/>
  <c r="O22" i="59"/>
  <c r="N22" i="59"/>
  <c r="Q21" i="59"/>
  <c r="P21" i="59"/>
  <c r="O21" i="59"/>
  <c r="N21" i="59"/>
  <c r="Q20" i="59"/>
  <c r="P20" i="59"/>
  <c r="O20" i="59"/>
  <c r="N20" i="59"/>
  <c r="Q19" i="59"/>
  <c r="AB11" i="59" s="1"/>
  <c r="P19" i="59"/>
  <c r="O19" i="59"/>
  <c r="C20" i="59" s="1"/>
  <c r="D20" i="59" s="1"/>
  <c r="N19" i="59"/>
  <c r="B20" i="59" s="1"/>
  <c r="B21" i="59" s="1"/>
  <c r="B22" i="59" s="1"/>
  <c r="S22" i="59" s="1"/>
  <c r="D19" i="59"/>
  <c r="Q18" i="59"/>
  <c r="P18" i="59"/>
  <c r="O18" i="59"/>
  <c r="N18" i="59"/>
  <c r="Q17" i="59"/>
  <c r="P17" i="59"/>
  <c r="O17" i="59"/>
  <c r="N17" i="59"/>
  <c r="Q16" i="59"/>
  <c r="P16" i="59"/>
  <c r="O16" i="59"/>
  <c r="N16" i="59"/>
  <c r="Q15" i="59"/>
  <c r="F16" i="59" s="1"/>
  <c r="F17" i="59" s="1"/>
  <c r="F18" i="59" s="1"/>
  <c r="V18" i="59" s="1"/>
  <c r="P15" i="59"/>
  <c r="O15" i="59"/>
  <c r="N15" i="59"/>
  <c r="D15" i="59"/>
  <c r="AA3" i="59"/>
  <c r="S54" i="59"/>
  <c r="F33" i="59"/>
  <c r="F34" i="59" s="1"/>
  <c r="V34" i="59" s="1"/>
  <c r="F45" i="59"/>
  <c r="F46" i="59" s="1"/>
  <c r="V46" i="59" s="1"/>
  <c r="C41" i="59"/>
  <c r="C42" i="59" s="1"/>
  <c r="C49" i="59"/>
  <c r="C50" i="59" s="1"/>
  <c r="Q53" i="59"/>
  <c r="T54" i="59"/>
  <c r="O54" i="59"/>
  <c r="D54" i="59"/>
  <c r="C53" i="59"/>
  <c r="U54" i="59"/>
  <c r="Q54" i="59"/>
  <c r="C57" i="59"/>
  <c r="D57" i="59" s="1"/>
  <c r="D58" i="59"/>
  <c r="C61" i="59"/>
  <c r="E61" i="59"/>
  <c r="E60" i="59" s="1"/>
  <c r="D62" i="59"/>
  <c r="C65" i="59"/>
  <c r="C64" i="59" s="1"/>
  <c r="D66" i="59"/>
  <c r="C73" i="59"/>
  <c r="U16" i="4"/>
  <c r="S16" i="4"/>
  <c r="Q16" i="4"/>
  <c r="O16" i="4"/>
  <c r="N16" i="4" s="1"/>
  <c r="M16" i="4"/>
  <c r="K16" i="4"/>
  <c r="D64" i="59"/>
  <c r="C56" i="59"/>
  <c r="D56" i="59" s="1"/>
  <c r="O53" i="59"/>
  <c r="D61" i="59"/>
  <c r="C60" i="59"/>
  <c r="D60" i="59"/>
  <c r="D49" i="59"/>
  <c r="D41" i="59"/>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c r="C21" i="21"/>
  <c r="Z27" i="40"/>
  <c r="Q27" i="40"/>
  <c r="D96" i="40"/>
  <c r="E96" i="40" s="1"/>
  <c r="F27" i="40"/>
  <c r="AA27" i="40" s="1"/>
  <c r="Q31" i="39"/>
  <c r="Z31" i="39" s="1"/>
  <c r="D105" i="39"/>
  <c r="E105" i="39" s="1"/>
  <c r="F31" i="39"/>
  <c r="AA31" i="39" s="1"/>
  <c r="G20" i="20"/>
  <c r="B85" i="46" s="1"/>
  <c r="C22" i="20"/>
  <c r="B65" i="46" s="1"/>
  <c r="S18" i="36"/>
  <c r="S18" i="35"/>
  <c r="S21" i="37"/>
  <c r="S21" i="21"/>
  <c r="E66" i="36"/>
  <c r="H18" i="35"/>
  <c r="J18" i="35"/>
  <c r="H21" i="37"/>
  <c r="J21" i="37"/>
  <c r="E84" i="34"/>
  <c r="F84" i="34" s="1"/>
  <c r="G84" i="34" s="1"/>
  <c r="J21" i="34"/>
  <c r="H21" i="34"/>
  <c r="F21" i="33"/>
  <c r="H21" i="33"/>
  <c r="J21" i="33"/>
  <c r="F83" i="21"/>
  <c r="H21" i="21"/>
  <c r="G83" i="21"/>
  <c r="J21" i="21"/>
  <c r="F96" i="40"/>
  <c r="H27" i="40"/>
  <c r="F105" i="39"/>
  <c r="H31" i="39"/>
  <c r="F23" i="15"/>
  <c r="D23"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D76"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F38"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6"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36"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S46" i="21"/>
  <c r="AC30" i="21"/>
  <c r="W30" i="21"/>
  <c r="AB30" i="21"/>
  <c r="AA28" i="21"/>
  <c r="AC14" i="21"/>
  <c r="W42" i="21"/>
  <c r="S46" i="33"/>
  <c r="U36" i="37"/>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BL123" i="3"/>
  <c r="G124" i="3"/>
  <c r="BA126" i="3"/>
  <c r="AZ126" i="3" s="1"/>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c r="BL174" i="3"/>
  <c r="G175" i="3"/>
  <c r="BA178" i="3"/>
  <c r="AZ178" i="3"/>
  <c r="BL179" i="3"/>
  <c r="G180" i="3"/>
  <c r="AZ23" i="3"/>
  <c r="AZ31" i="3"/>
  <c r="AZ3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185"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BL381" i="3"/>
  <c r="G382" i="3"/>
  <c r="G385" i="3"/>
  <c r="AZ154" i="3"/>
  <c r="AZ162" i="3"/>
  <c r="AZ179" i="3"/>
  <c r="G523" i="3"/>
  <c r="BL297" i="3"/>
  <c r="AZ297" i="3" s="1"/>
  <c r="G298" i="3"/>
  <c r="BA300" i="3"/>
  <c r="BL301" i="3"/>
  <c r="AZ301" i="3" s="1"/>
  <c r="G302" i="3"/>
  <c r="BA304" i="3"/>
  <c r="BL305" i="3"/>
  <c r="G306" i="3"/>
  <c r="BA308" i="3"/>
  <c r="AZ308" i="3" s="1"/>
  <c r="BL309" i="3"/>
  <c r="G310" i="3"/>
  <c r="BA310" i="3"/>
  <c r="BL311" i="3"/>
  <c r="AZ311" i="3" s="1"/>
  <c r="G312" i="3"/>
  <c r="BA312" i="3"/>
  <c r="BL313" i="3"/>
  <c r="G314" i="3"/>
  <c r="BA314" i="3"/>
  <c r="BL315" i="3"/>
  <c r="AZ315" i="3" s="1"/>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AZ341" i="3" s="1"/>
  <c r="G342" i="3"/>
  <c r="BA344" i="3"/>
  <c r="AZ344" i="3" s="1"/>
  <c r="BL345" i="3"/>
  <c r="G346" i="3"/>
  <c r="BA348" i="3"/>
  <c r="AZ348" i="3" s="1"/>
  <c r="BL349" i="3"/>
  <c r="G350" i="3"/>
  <c r="BA352" i="3"/>
  <c r="AZ352" i="3" s="1"/>
  <c r="BL353" i="3"/>
  <c r="G354" i="3"/>
  <c r="BA356" i="3"/>
  <c r="BL357" i="3"/>
  <c r="G358" i="3"/>
  <c r="BA362" i="3"/>
  <c r="BL363" i="3"/>
  <c r="AZ363" i="3" s="1"/>
  <c r="G364" i="3"/>
  <c r="BA366" i="3"/>
  <c r="AZ366" i="3" s="1"/>
  <c r="BL367" i="3"/>
  <c r="AZ367" i="3" s="1"/>
  <c r="AZ229" i="3"/>
  <c r="AZ233" i="3"/>
  <c r="AZ309" i="3"/>
  <c r="AZ321" i="3"/>
  <c r="AZ333" i="3"/>
  <c r="AZ353" i="3"/>
  <c r="G368" i="3"/>
  <c r="BA370" i="3"/>
  <c r="BL371" i="3"/>
  <c r="G372" i="3"/>
  <c r="BA374" i="3"/>
  <c r="AZ374" i="3" s="1"/>
  <c r="BL375" i="3"/>
  <c r="G376" i="3"/>
  <c r="BA378" i="3"/>
  <c r="BL379" i="3"/>
  <c r="G380" i="3"/>
  <c r="BA382" i="3"/>
  <c r="BL383" i="3"/>
  <c r="G384" i="3"/>
  <c r="AZ261" i="3"/>
  <c r="AZ265" i="3"/>
  <c r="AZ383" i="3"/>
  <c r="AZ282" i="3"/>
  <c r="AZ286" i="3"/>
  <c r="AZ303" i="3"/>
  <c r="AZ361" i="3"/>
  <c r="AZ385" i="3"/>
  <c r="AZ410" i="3"/>
  <c r="AZ414" i="3"/>
  <c r="AZ418" i="3"/>
  <c r="AZ459" i="3"/>
  <c r="AZ463" i="3"/>
  <c r="F37" i="46"/>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H13" i="39"/>
  <c r="AB13" i="39" s="1"/>
  <c r="F13" i="39"/>
  <c r="J13" i="39"/>
  <c r="AC13" i="39" s="1"/>
  <c r="AA36" i="35"/>
  <c r="H11" i="37"/>
  <c r="AB11" i="37" s="1"/>
  <c r="W37" i="37"/>
  <c r="AA30" i="33"/>
  <c r="AA36" i="37"/>
  <c r="U32" i="33"/>
  <c r="AB17" i="37"/>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s="1"/>
  <c r="BB5" i="3"/>
  <c r="E5" i="6" s="1"/>
  <c r="F19"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B41" i="1"/>
  <c r="F66" i="9" s="1"/>
  <c r="P72" i="9" s="1"/>
  <c r="J42" i="40"/>
  <c r="AC42" i="40" s="1"/>
  <c r="J40" i="40"/>
  <c r="AC40" i="40" s="1"/>
  <c r="J34" i="40"/>
  <c r="AC34" i="40" s="1"/>
  <c r="H16" i="40"/>
  <c r="AB16" i="40" s="1"/>
  <c r="H14" i="40"/>
  <c r="U14" i="40" s="1"/>
  <c r="F32" i="40"/>
  <c r="AA32" i="40" s="1"/>
  <c r="F58" i="46"/>
  <c r="H61" i="46" s="1"/>
  <c r="F47" i="46"/>
  <c r="H49" i="46" s="1"/>
  <c r="N7" i="46"/>
  <c r="AZ461" i="3"/>
  <c r="AZ466" i="3"/>
  <c r="AZ388" i="3"/>
  <c r="AZ231" i="3"/>
  <c r="AZ236" i="3"/>
  <c r="AZ263" i="3"/>
  <c r="AZ281" i="3"/>
  <c r="AZ284" i="3"/>
  <c r="AZ124" i="3"/>
  <c r="M7" i="46"/>
  <c r="AZ177" i="3"/>
  <c r="AZ24" i="3"/>
  <c r="J13" i="40"/>
  <c r="W13" i="40" s="1"/>
  <c r="AC14" i="40"/>
  <c r="S33" i="40"/>
  <c r="AB25" i="39"/>
  <c r="AB37" i="34"/>
  <c r="AC41" i="40"/>
  <c r="W41" i="40"/>
  <c r="U41" i="40"/>
  <c r="J23" i="40"/>
  <c r="AC23" i="40" s="1"/>
  <c r="F23" i="40"/>
  <c r="S23" i="40" s="1"/>
  <c r="AC15" i="40"/>
  <c r="W15" i="40"/>
  <c r="W27" i="39"/>
  <c r="S23" i="39"/>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G11" i="1"/>
  <c r="M22" i="44"/>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W29" i="40" s="1"/>
  <c r="F98" i="40"/>
  <c r="G98" i="40"/>
  <c r="H98" i="40" s="1"/>
  <c r="I98" i="40" s="1"/>
  <c r="J98" i="40" s="1"/>
  <c r="K98" i="40" s="1"/>
  <c r="L98" i="40" s="1"/>
  <c r="M98" i="40" s="1"/>
  <c r="S30" i="40"/>
  <c r="S25" i="40"/>
  <c r="AA23" i="40"/>
  <c r="F88" i="40"/>
  <c r="G88" i="40" s="1"/>
  <c r="F19" i="40"/>
  <c r="H19" i="40"/>
  <c r="U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c r="C53" i="10"/>
  <c r="A25" i="64" s="1"/>
  <c r="A18" i="51"/>
  <c r="B14" i="63" s="1"/>
  <c r="BA16" i="3"/>
  <c r="BA17" i="3"/>
  <c r="AZ17" i="3" s="1"/>
  <c r="C24" i="12"/>
  <c r="F3" i="35"/>
  <c r="K1" i="43"/>
  <c r="K1" i="12"/>
  <c r="G1" i="44"/>
  <c r="AZ15" i="3"/>
  <c r="BK5" i="3"/>
  <c r="BO5" i="3"/>
  <c r="BP5" i="3"/>
  <c r="BN5" i="3"/>
  <c r="BL18" i="3"/>
  <c r="AZ18" i="3" s="1"/>
  <c r="BC5" i="3"/>
  <c r="BD5" i="3"/>
  <c r="BR5" i="3"/>
  <c r="BS5" i="3"/>
  <c r="BQ5" i="3"/>
  <c r="BL16" i="3"/>
  <c r="BM5" i="3"/>
  <c r="BA13" i="3"/>
  <c r="G28" i="12"/>
  <c r="G22" i="43"/>
  <c r="G26" i="12"/>
  <c r="D24" i="44"/>
  <c r="G27" i="12"/>
  <c r="G23" i="43"/>
  <c r="G21" i="43"/>
  <c r="N8" i="46"/>
  <c r="M2" i="46"/>
  <c r="M12" i="46"/>
  <c r="H14" i="48"/>
  <c r="K17" i="46"/>
  <c r="H11" i="48"/>
  <c r="D84" i="46"/>
  <c r="E47" i="46"/>
  <c r="B45" i="46" s="1"/>
  <c r="E58" i="46"/>
  <c r="B56" i="46" s="1"/>
  <c r="A4" i="64"/>
  <c r="A4" i="51"/>
  <c r="B6" i="63" s="1"/>
  <c r="C51" i="10"/>
  <c r="H58" i="46"/>
  <c r="I100" i="46"/>
  <c r="N100" i="46"/>
  <c r="H100" i="46"/>
  <c r="F108" i="46"/>
  <c r="E100" i="46"/>
  <c r="G100" i="46"/>
  <c r="C100" i="46"/>
  <c r="J100" i="46"/>
  <c r="M100" i="46"/>
  <c r="AA12" i="36"/>
  <c r="W11" i="35"/>
  <c r="AA11" i="35"/>
  <c r="S14" i="37"/>
  <c r="U13" i="37"/>
  <c r="S13" i="21"/>
  <c r="C24" i="9"/>
  <c r="C25" i="9"/>
  <c r="G8" i="1"/>
  <c r="L5" i="54"/>
  <c r="B39" i="63" s="1"/>
  <c r="K5" i="54"/>
  <c r="B38" i="63" s="1"/>
  <c r="T41" i="4"/>
  <c r="A17" i="64" s="1"/>
  <c r="B46" i="50"/>
  <c r="B4" i="63" s="1"/>
  <c r="C46" i="36"/>
  <c r="C48" i="35"/>
  <c r="D48" i="35" s="1"/>
  <c r="C52" i="37"/>
  <c r="D52" i="37" s="1"/>
  <c r="J7" i="33"/>
  <c r="AC7" i="33" s="1"/>
  <c r="V48" i="33" s="1"/>
  <c r="I48" i="33" s="1"/>
  <c r="I52" i="33" s="1"/>
  <c r="J52" i="33" s="1"/>
  <c r="D65" i="40"/>
  <c r="E65" i="40" s="1"/>
  <c r="E67" i="40" s="1"/>
  <c r="C72" i="39"/>
  <c r="O19" i="46"/>
  <c r="K17" i="4"/>
  <c r="A22" i="51" s="1"/>
  <c r="B16" i="63" s="1"/>
  <c r="K10" i="1"/>
  <c r="M10" i="1" s="1"/>
  <c r="O10" i="1" s="1"/>
  <c r="P10" i="1" s="1"/>
  <c r="S11" i="1"/>
  <c r="R11" i="1"/>
  <c r="S13" i="1"/>
  <c r="R13" i="1"/>
  <c r="B6" i="1"/>
  <c r="E6" i="1" s="1"/>
  <c r="B10" i="1"/>
  <c r="E10" i="1" s="1"/>
  <c r="S10" i="1"/>
  <c r="B8" i="1"/>
  <c r="E8" i="1"/>
  <c r="B12" i="1"/>
  <c r="E12" i="1"/>
  <c r="S12" i="1"/>
  <c r="G1" i="15"/>
  <c r="F66" i="36"/>
  <c r="G66" i="36" s="1"/>
  <c r="H18" i="36"/>
  <c r="AB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AA29" i="40"/>
  <c r="S29" i="40"/>
  <c r="W19" i="40"/>
  <c r="AC19" i="40"/>
  <c r="AA19" i="40"/>
  <c r="S19" i="40"/>
  <c r="AB19" i="40"/>
  <c r="AC27" i="40"/>
  <c r="B20" i="31"/>
  <c r="R22" i="31"/>
  <c r="B21" i="31" s="1"/>
  <c r="AT6" i="3"/>
  <c r="G29" i="6"/>
  <c r="E29" i="6" s="1"/>
  <c r="K15" i="1" s="1"/>
  <c r="A9" i="64"/>
  <c r="A9" i="51"/>
  <c r="B9" i="63" s="1"/>
  <c r="A3" i="55"/>
  <c r="B56" i="63" s="1"/>
  <c r="D72" i="39"/>
  <c r="E4" i="4"/>
  <c r="C4" i="4"/>
  <c r="B20" i="55" s="1"/>
  <c r="B70" i="63" s="1"/>
  <c r="J18" i="36"/>
  <c r="AC18" i="36" s="1"/>
  <c r="AE8" i="1"/>
  <c r="AE7" i="1"/>
  <c r="AE6" i="1"/>
  <c r="AG6" i="1"/>
  <c r="L20" i="6"/>
  <c r="B21" i="55"/>
  <c r="B72" i="63" s="1"/>
  <c r="J7" i="21"/>
  <c r="AC7" i="21" s="1"/>
  <c r="V48" i="21" s="1"/>
  <c r="I48" i="21" s="1"/>
  <c r="E72" i="39"/>
  <c r="F70" i="39"/>
  <c r="F72" i="39" s="1"/>
  <c r="S7" i="1"/>
  <c r="S8" i="1"/>
  <c r="S9" i="1"/>
  <c r="R9" i="1"/>
  <c r="R7" i="1"/>
  <c r="R8" i="1"/>
  <c r="C45" i="9"/>
  <c r="H14" i="66" s="1"/>
  <c r="B7" i="66" s="1"/>
  <c r="C44" i="9"/>
  <c r="G14" i="66"/>
  <c r="B6" i="66" s="1"/>
  <c r="N69" i="9"/>
  <c r="O39" i="9"/>
  <c r="R6" i="54" s="1"/>
  <c r="B50" i="63" s="1"/>
  <c r="K29" i="9"/>
  <c r="M86" i="9"/>
  <c r="N86" i="9" s="1"/>
  <c r="M84" i="9"/>
  <c r="N84" i="9" s="1"/>
  <c r="M88" i="9"/>
  <c r="N88" i="9" s="1"/>
  <c r="M87" i="9"/>
  <c r="N87" i="9" s="1"/>
  <c r="M85" i="9"/>
  <c r="N85" i="9" s="1"/>
  <c r="M83" i="9"/>
  <c r="N83" i="9" s="1"/>
  <c r="N89" i="9" s="1"/>
  <c r="O89" i="9" s="1"/>
  <c r="K30" i="9"/>
  <c r="N76" i="9"/>
  <c r="C46" i="9"/>
  <c r="K33" i="9" s="1"/>
  <c r="M9" i="15"/>
  <c r="F42" i="15"/>
  <c r="E10" i="67"/>
  <c r="E11" i="67"/>
  <c r="N6" i="65"/>
  <c r="E14" i="67"/>
  <c r="F14" i="67"/>
  <c r="B12" i="67"/>
  <c r="B11" i="67"/>
  <c r="F9" i="15"/>
  <c r="M26" i="44"/>
  <c r="E13" i="67"/>
  <c r="F28" i="44"/>
  <c r="B14" i="67"/>
  <c r="F40" i="44"/>
  <c r="N5" i="65"/>
  <c r="L47" i="15"/>
  <c r="F11" i="67"/>
  <c r="E12" i="67"/>
  <c r="N4" i="65"/>
  <c r="E9" i="67"/>
  <c r="J17" i="44"/>
  <c r="B8" i="67"/>
  <c r="B9" i="67"/>
  <c r="M28" i="15"/>
  <c r="F8" i="44"/>
  <c r="E8" i="67"/>
  <c r="F16" i="15"/>
  <c r="M22" i="15"/>
  <c r="L48" i="44"/>
  <c r="F26" i="15"/>
  <c r="J36" i="15"/>
  <c r="F13" i="67"/>
  <c r="F8" i="67"/>
  <c r="M23" i="15"/>
  <c r="L49" i="44"/>
  <c r="B10" i="67"/>
  <c r="F43" i="44"/>
  <c r="M28" i="44"/>
  <c r="B13" i="67"/>
  <c r="F12" i="67"/>
  <c r="F36" i="15"/>
  <c r="F46" i="44"/>
  <c r="F10" i="67"/>
  <c r="F39" i="44"/>
  <c r="F10" i="44"/>
  <c r="N3" i="65"/>
  <c r="M6" i="15"/>
  <c r="N7" i="65"/>
  <c r="F9" i="67"/>
  <c r="M27" i="15"/>
  <c r="F40" i="15"/>
  <c r="D83" i="46" l="1"/>
  <c r="W31" i="39"/>
  <c r="AZ379" i="3"/>
  <c r="AZ16" i="3"/>
  <c r="AC16" i="40"/>
  <c r="W34" i="40"/>
  <c r="AB32" i="40"/>
  <c r="W35" i="40"/>
  <c r="AB14" i="40"/>
  <c r="AZ523" i="3"/>
  <c r="AZ539" i="3"/>
  <c r="AZ571" i="3"/>
  <c r="AB15" i="37"/>
  <c r="AZ378" i="3"/>
  <c r="AZ362" i="3"/>
  <c r="AZ336" i="3"/>
  <c r="AZ328" i="3"/>
  <c r="AZ320" i="3"/>
  <c r="AZ304" i="3"/>
  <c r="AZ300" i="3"/>
  <c r="AZ298" i="3"/>
  <c r="AZ377" i="3"/>
  <c r="AZ343" i="3"/>
  <c r="AZ327" i="3"/>
  <c r="AZ322" i="3"/>
  <c r="U12" i="37"/>
  <c r="AZ543" i="3"/>
  <c r="AZ541" i="3"/>
  <c r="AZ555" i="3"/>
  <c r="AC13" i="36"/>
  <c r="AB13" i="35"/>
  <c r="G572" i="3"/>
  <c r="G570" i="3"/>
  <c r="G13" i="3"/>
  <c r="H9" i="33"/>
  <c r="G555" i="3"/>
  <c r="G553" i="3"/>
  <c r="G548" i="3"/>
  <c r="G535" i="3"/>
  <c r="G533" i="3"/>
  <c r="G528" i="3"/>
  <c r="G527" i="3"/>
  <c r="G511" i="3"/>
  <c r="G509" i="3"/>
  <c r="G496" i="3"/>
  <c r="G495" i="3"/>
  <c r="G19" i="3"/>
  <c r="F6" i="1"/>
  <c r="I20" i="46" s="1"/>
  <c r="BA389" i="3"/>
  <c r="BL389" i="3"/>
  <c r="BA391" i="3"/>
  <c r="AZ391" i="3" s="1"/>
  <c r="BL391" i="3"/>
  <c r="BA392" i="3"/>
  <c r="AZ392" i="3" s="1"/>
  <c r="BA394" i="3"/>
  <c r="BL394" i="3"/>
  <c r="BA395" i="3"/>
  <c r="AZ395" i="3" s="1"/>
  <c r="BL397" i="3"/>
  <c r="G398" i="3"/>
  <c r="BL399" i="3"/>
  <c r="G400" i="3"/>
  <c r="G402" i="3"/>
  <c r="BL403" i="3"/>
  <c r="G404" i="3"/>
  <c r="G409" i="3"/>
  <c r="G412" i="3"/>
  <c r="G414" i="3"/>
  <c r="G416" i="3"/>
  <c r="G418"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G352" i="3"/>
  <c r="BL360" i="3"/>
  <c r="AZ360" i="3" s="1"/>
  <c r="G370" i="3"/>
  <c r="BA371" i="3"/>
  <c r="AZ371" i="3" s="1"/>
  <c r="BA375" i="3"/>
  <c r="AZ375" i="3" s="1"/>
  <c r="G383" i="3"/>
  <c r="BL384" i="3"/>
  <c r="G388" i="3"/>
  <c r="G206" i="3"/>
  <c r="BL207" i="3"/>
  <c r="G208" i="3"/>
  <c r="G210" i="3"/>
  <c r="BA211" i="3"/>
  <c r="BL211" i="3"/>
  <c r="BA213" i="3"/>
  <c r="BL213" i="3"/>
  <c r="BA214" i="3"/>
  <c r="AZ214" i="3" s="1"/>
  <c r="BA215" i="3"/>
  <c r="AZ215" i="3" s="1"/>
  <c r="BA217" i="3"/>
  <c r="BL217" i="3"/>
  <c r="BA218" i="3"/>
  <c r="AZ218" i="3" s="1"/>
  <c r="BA220" i="3"/>
  <c r="AZ220" i="3" s="1"/>
  <c r="BL220" i="3"/>
  <c r="BL222" i="3"/>
  <c r="G223" i="3"/>
  <c r="BA224" i="3"/>
  <c r="BL224" i="3"/>
  <c r="BL226" i="3"/>
  <c r="G227" i="3"/>
  <c r="G229" i="3"/>
  <c r="G233" i="3"/>
  <c r="G236" i="3"/>
  <c r="G238" i="3"/>
  <c r="BL239" i="3"/>
  <c r="G240" i="3"/>
  <c r="G242" i="3"/>
  <c r="BA243" i="3"/>
  <c r="BL243" i="3"/>
  <c r="BA245" i="3"/>
  <c r="BL245" i="3"/>
  <c r="BA246" i="3"/>
  <c r="AZ246" i="3" s="1"/>
  <c r="BA247" i="3"/>
  <c r="AZ247" i="3" s="1"/>
  <c r="BA249" i="3"/>
  <c r="BL249" i="3"/>
  <c r="BA250" i="3"/>
  <c r="AZ250" i="3" s="1"/>
  <c r="BA252" i="3"/>
  <c r="AZ252" i="3" s="1"/>
  <c r="BL252" i="3"/>
  <c r="BL254" i="3"/>
  <c r="G255" i="3"/>
  <c r="BA256" i="3"/>
  <c r="BL256" i="3"/>
  <c r="BL258" i="3"/>
  <c r="G259" i="3"/>
  <c r="G261" i="3"/>
  <c r="G265" i="3"/>
  <c r="BA266" i="3"/>
  <c r="AZ266" i="3" s="1"/>
  <c r="BA268" i="3"/>
  <c r="BL268" i="3"/>
  <c r="BA269" i="3"/>
  <c r="AZ269" i="3" s="1"/>
  <c r="BA270" i="3"/>
  <c r="AZ270" i="3" s="1"/>
  <c r="BL272" i="3"/>
  <c r="G273" i="3"/>
  <c r="BL274" i="3"/>
  <c r="G275" i="3"/>
  <c r="G277" i="3"/>
  <c r="BL278" i="3"/>
  <c r="G279" i="3"/>
  <c r="G284" i="3"/>
  <c r="G288" i="3"/>
  <c r="BL289" i="3"/>
  <c r="G290" i="3"/>
  <c r="BA291" i="3"/>
  <c r="BL291" i="3"/>
  <c r="BL293" i="3"/>
  <c r="G294" i="3"/>
  <c r="G296" i="3"/>
  <c r="BA113" i="3"/>
  <c r="BL113" i="3"/>
  <c r="BA115" i="3"/>
  <c r="AZ115" i="3" s="1"/>
  <c r="BL121" i="3"/>
  <c r="G122" i="3"/>
  <c r="BA123" i="3"/>
  <c r="AZ123" i="3" s="1"/>
  <c r="G130"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AZ174" i="3" s="1"/>
  <c r="G181" i="3"/>
  <c r="BL182" i="3"/>
  <c r="G183" i="3"/>
  <c r="G185" i="3"/>
  <c r="BL186" i="3"/>
  <c r="G187" i="3"/>
  <c r="G189" i="3"/>
  <c r="BL190" i="3"/>
  <c r="G191" i="3"/>
  <c r="G193" i="3"/>
  <c r="BL194" i="3"/>
  <c r="G195" i="3"/>
  <c r="G197" i="3"/>
  <c r="BL198" i="3"/>
  <c r="G199" i="3"/>
  <c r="G201" i="3"/>
  <c r="BA202" i="3"/>
  <c r="BL202" i="3"/>
  <c r="BL204" i="3"/>
  <c r="G21" i="3"/>
  <c r="G26" i="3"/>
  <c r="BL27" i="3"/>
  <c r="G28" i="3"/>
  <c r="G31" i="3"/>
  <c r="G33" i="3"/>
  <c r="BA34" i="3"/>
  <c r="BL34" i="3"/>
  <c r="BL36" i="3"/>
  <c r="G37" i="3"/>
  <c r="G41" i="3"/>
  <c r="BA42" i="3"/>
  <c r="AZ42" i="3" s="1"/>
  <c r="BL42" i="3"/>
  <c r="BA44" i="3"/>
  <c r="AZ44" i="3" s="1"/>
  <c r="BA46" i="3"/>
  <c r="AZ46" i="3" s="1"/>
  <c r="BA47" i="3"/>
  <c r="AZ47" i="3" s="1"/>
  <c r="BA48" i="3"/>
  <c r="AZ48" i="3" s="1"/>
  <c r="BA50" i="3"/>
  <c r="AZ50" i="3" s="1"/>
  <c r="BA51" i="3"/>
  <c r="AZ51" i="3" s="1"/>
  <c r="BA53" i="3"/>
  <c r="AZ53" i="3" s="1"/>
  <c r="BA55" i="3"/>
  <c r="BL55" i="3"/>
  <c r="BA57" i="3"/>
  <c r="AZ57" i="3" s="1"/>
  <c r="BA59" i="3"/>
  <c r="AZ59" i="3" s="1"/>
  <c r="BL59" i="3"/>
  <c r="BA60" i="3"/>
  <c r="AZ60" i="3" s="1"/>
  <c r="BL62" i="3"/>
  <c r="G63" i="3"/>
  <c r="BA64" i="3"/>
  <c r="BL64" i="3"/>
  <c r="BA65" i="3"/>
  <c r="AZ65" i="3" s="1"/>
  <c r="BA66" i="3"/>
  <c r="AZ66" i="3" s="1"/>
  <c r="BA67" i="3"/>
  <c r="BL67" i="3"/>
  <c r="BA68" i="3"/>
  <c r="AZ68" i="3" s="1"/>
  <c r="D28" i="59"/>
  <c r="C29" i="59"/>
  <c r="BA70" i="3"/>
  <c r="AZ70" i="3" s="1"/>
  <c r="BL70" i="3"/>
  <c r="BL72" i="3"/>
  <c r="G73" i="3"/>
  <c r="G75" i="3"/>
  <c r="BA76" i="3"/>
  <c r="BL76" i="3"/>
  <c r="BA77" i="3"/>
  <c r="AZ77" i="3" s="1"/>
  <c r="BA78" i="3"/>
  <c r="AZ78" i="3" s="1"/>
  <c r="BA79" i="3"/>
  <c r="AZ79" i="3" s="1"/>
  <c r="BL81" i="3"/>
  <c r="G82" i="3"/>
  <c r="BA83" i="3"/>
  <c r="AZ83" i="3" s="1"/>
  <c r="BL83" i="3"/>
  <c r="BL85" i="3"/>
  <c r="G86" i="3"/>
  <c r="BA87" i="3"/>
  <c r="AZ87" i="3" s="1"/>
  <c r="BL87" i="3"/>
  <c r="BA88" i="3"/>
  <c r="AZ88" i="3" s="1"/>
  <c r="BA90" i="3"/>
  <c r="BL90" i="3"/>
  <c r="BL92" i="3"/>
  <c r="G93" i="3"/>
  <c r="G95" i="3"/>
  <c r="BA96" i="3"/>
  <c r="AZ96" i="3" s="1"/>
  <c r="BL96" i="3"/>
  <c r="BA97" i="3"/>
  <c r="AZ97" i="3" s="1"/>
  <c r="BA98" i="3"/>
  <c r="AZ98" i="3" s="1"/>
  <c r="BA99" i="3"/>
  <c r="AZ99" i="3" s="1"/>
  <c r="BL101" i="3"/>
  <c r="G102" i="3"/>
  <c r="BA103" i="3"/>
  <c r="BL103" i="3"/>
  <c r="BA104" i="3"/>
  <c r="AZ104" i="3" s="1"/>
  <c r="BA106" i="3"/>
  <c r="AZ106" i="3" s="1"/>
  <c r="BL106" i="3"/>
  <c r="BL108" i="3"/>
  <c r="G109" i="3"/>
  <c r="G111" i="3"/>
  <c r="BL112" i="3"/>
  <c r="D82" i="46"/>
  <c r="E80" i="46" s="1"/>
  <c r="B78" i="46" s="1"/>
  <c r="I10" i="57"/>
  <c r="C31" i="39"/>
  <c r="AA19" i="59"/>
  <c r="X11" i="59"/>
  <c r="AC9" i="33"/>
  <c r="W9" i="33"/>
  <c r="U18" i="36"/>
  <c r="O41" i="9"/>
  <c r="R8" i="54" s="1"/>
  <c r="B54" i="63" s="1"/>
  <c r="F65" i="40"/>
  <c r="F67" i="40" s="1"/>
  <c r="S17" i="40"/>
  <c r="F28" i="6"/>
  <c r="F30" i="6" s="1"/>
  <c r="AA32" i="37"/>
  <c r="AC36" i="33"/>
  <c r="AC47" i="39"/>
  <c r="AZ494" i="3"/>
  <c r="AZ499" i="3"/>
  <c r="AZ514" i="3"/>
  <c r="AZ522" i="3"/>
  <c r="AZ568" i="3"/>
  <c r="AZ562" i="3"/>
  <c r="G571" i="3"/>
  <c r="BL13" i="3"/>
  <c r="BJ5" i="3"/>
  <c r="BF5" i="3"/>
  <c r="F9" i="33"/>
  <c r="J24" i="36"/>
  <c r="H24" i="36"/>
  <c r="AZ370" i="3"/>
  <c r="AZ356" i="3"/>
  <c r="AZ345" i="3"/>
  <c r="AZ340" i="3"/>
  <c r="AZ329" i="3"/>
  <c r="AZ324" i="3"/>
  <c r="AZ305" i="3"/>
  <c r="AZ381" i="3"/>
  <c r="AZ359" i="3"/>
  <c r="AZ358" i="3"/>
  <c r="AZ355" i="3"/>
  <c r="AZ307" i="3"/>
  <c r="U31" i="37"/>
  <c r="AC23" i="37"/>
  <c r="AZ492" i="3"/>
  <c r="AZ544" i="3"/>
  <c r="AZ493" i="3"/>
  <c r="AC28" i="33"/>
  <c r="U30" i="33"/>
  <c r="AA38" i="37"/>
  <c r="I4" i="6"/>
  <c r="BA570" i="3"/>
  <c r="H9" i="35"/>
  <c r="J9" i="35"/>
  <c r="H12" i="35"/>
  <c r="F12" i="35"/>
  <c r="J23" i="36"/>
  <c r="H23" i="36"/>
  <c r="F23" i="36"/>
  <c r="BL390" i="3"/>
  <c r="AZ390" i="3" s="1"/>
  <c r="G393" i="3"/>
  <c r="BL393" i="3"/>
  <c r="G396" i="3"/>
  <c r="BL396" i="3"/>
  <c r="BA397" i="3"/>
  <c r="AZ397" i="3" s="1"/>
  <c r="BA398" i="3"/>
  <c r="AZ398" i="3" s="1"/>
  <c r="BA399" i="3"/>
  <c r="AZ399" i="3" s="1"/>
  <c r="BL401" i="3"/>
  <c r="AZ401" i="3" s="1"/>
  <c r="BA402" i="3"/>
  <c r="AZ402" i="3" s="1"/>
  <c r="BA403" i="3"/>
  <c r="AZ403" i="3" s="1"/>
  <c r="G406" i="3"/>
  <c r="BL406" i="3"/>
  <c r="G407" i="3"/>
  <c r="G408" i="3"/>
  <c r="BL408" i="3"/>
  <c r="G410" i="3"/>
  <c r="G411" i="3"/>
  <c r="BL411" i="3"/>
  <c r="G413" i="3"/>
  <c r="BL413" i="3"/>
  <c r="BL415" i="3"/>
  <c r="AZ415"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BA120" i="3"/>
  <c r="AZ120" i="3" s="1"/>
  <c r="BA121" i="3"/>
  <c r="AZ121" i="3" s="1"/>
  <c r="BL122" i="3"/>
  <c r="AZ122" i="3" s="1"/>
  <c r="G126" i="3"/>
  <c r="G129" i="3"/>
  <c r="BL129" i="3"/>
  <c r="G559" i="3"/>
  <c r="G551" i="3"/>
  <c r="G547" i="3"/>
  <c r="G536" i="3"/>
  <c r="G532" i="3"/>
  <c r="G524" i="3"/>
  <c r="G512" i="3"/>
  <c r="G505" i="3"/>
  <c r="G497" i="3"/>
  <c r="G489" i="3"/>
  <c r="G481" i="3"/>
  <c r="C92" i="9"/>
  <c r="AZ393" i="3"/>
  <c r="AZ420" i="3"/>
  <c r="AZ432" i="3"/>
  <c r="AZ447" i="3"/>
  <c r="AZ462" i="3"/>
  <c r="AZ465" i="3"/>
  <c r="AZ387" i="3"/>
  <c r="AZ219" i="3"/>
  <c r="AZ232" i="3"/>
  <c r="AZ235" i="3"/>
  <c r="AZ251" i="3"/>
  <c r="AZ264" i="3"/>
  <c r="AZ267" i="3"/>
  <c r="AZ283" i="3"/>
  <c r="AZ287" i="3"/>
  <c r="AZ129" i="3"/>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BL40" i="3"/>
  <c r="AZ40" i="3" s="1"/>
  <c r="BA41" i="3"/>
  <c r="AZ41" i="3" s="1"/>
  <c r="BL43" i="3"/>
  <c r="AZ43" i="3" s="1"/>
  <c r="G45" i="3"/>
  <c r="BL45" i="3"/>
  <c r="G47" i="3"/>
  <c r="G48" i="3"/>
  <c r="G49" i="3"/>
  <c r="BL49" i="3"/>
  <c r="G51" i="3"/>
  <c r="G52" i="3"/>
  <c r="BL52" i="3"/>
  <c r="G54" i="3"/>
  <c r="BL54" i="3"/>
  <c r="BL56" i="3"/>
  <c r="AZ56" i="3" s="1"/>
  <c r="G58" i="3"/>
  <c r="BL58" i="3"/>
  <c r="G61" i="3"/>
  <c r="BL61" i="3"/>
  <c r="BA62" i="3"/>
  <c r="AZ62" i="3" s="1"/>
  <c r="BA63" i="3"/>
  <c r="AZ63" i="3" s="1"/>
  <c r="G66" i="3"/>
  <c r="G67" i="3"/>
  <c r="AZ148" i="3"/>
  <c r="AZ25" i="3"/>
  <c r="AZ30" i="3"/>
  <c r="AZ61"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I15" i="57"/>
  <c r="B74" i="46"/>
  <c r="S31" i="39"/>
  <c r="D73" i="59"/>
  <c r="C72" i="59"/>
  <c r="D72" i="59" s="1"/>
  <c r="C52" i="59"/>
  <c r="D53" i="59"/>
  <c r="AB23" i="59"/>
  <c r="F24" i="59"/>
  <c r="F25" i="59" s="1"/>
  <c r="F26" i="59" s="1"/>
  <c r="V26" i="59" s="1"/>
  <c r="U58" i="59"/>
  <c r="E57" i="59"/>
  <c r="E56" i="59" s="1"/>
  <c r="U66" i="59"/>
  <c r="E65" i="59"/>
  <c r="E64" i="59" s="1"/>
  <c r="Z10" i="46"/>
  <c r="Z12" i="46"/>
  <c r="AI12" i="46"/>
  <c r="AI10" i="46"/>
  <c r="AC10" i="46"/>
  <c r="AC12" i="46"/>
  <c r="AA12" i="46"/>
  <c r="AA10" i="46"/>
  <c r="E9" i="59"/>
  <c r="E8" i="59" s="1"/>
  <c r="E7" i="59" s="1"/>
  <c r="E6" i="59" s="1"/>
  <c r="U10" i="59"/>
  <c r="D65" i="59"/>
  <c r="C21" i="59"/>
  <c r="AB13" i="59"/>
  <c r="AA14" i="59"/>
  <c r="X15" i="59"/>
  <c r="X13" i="59"/>
  <c r="AA12" i="59"/>
  <c r="E16" i="59"/>
  <c r="E17" i="59" s="1"/>
  <c r="E18" i="59" s="1"/>
  <c r="U18" i="59" s="1"/>
  <c r="U26" i="59"/>
  <c r="M19" i="46"/>
  <c r="E53" i="59"/>
  <c r="P54" i="59"/>
  <c r="D70" i="59"/>
  <c r="C69" i="59"/>
  <c r="AB14" i="59"/>
  <c r="AB12" i="59"/>
  <c r="AG12" i="46"/>
  <c r="AE10" i="46"/>
  <c r="Y15" i="59"/>
  <c r="Z15" i="59" s="1"/>
  <c r="X16" i="59"/>
  <c r="AA16" i="59"/>
  <c r="X17" i="59"/>
  <c r="AA17" i="59"/>
  <c r="X18" i="59"/>
  <c r="AA18" i="59"/>
  <c r="AB19" i="59"/>
  <c r="Y20" i="59"/>
  <c r="Z20" i="59" s="1"/>
  <c r="AB20" i="59"/>
  <c r="Y21" i="59"/>
  <c r="Z21" i="59" s="1"/>
  <c r="AB21" i="59"/>
  <c r="Y22" i="59"/>
  <c r="Z22" i="59" s="1"/>
  <c r="AB22" i="59"/>
  <c r="X23" i="59"/>
  <c r="X24" i="59"/>
  <c r="AA24" i="59"/>
  <c r="C9" i="59"/>
  <c r="L76" i="9"/>
  <c r="E8" i="6"/>
  <c r="E53" i="40" s="1"/>
  <c r="G5" i="3"/>
  <c r="B3" i="3" s="1"/>
  <c r="E306" i="3" s="1"/>
  <c r="D21" i="12"/>
  <c r="C21" i="12" s="1"/>
  <c r="E19" i="6"/>
  <c r="AZ13" i="3"/>
  <c r="C18" i="9"/>
  <c r="H53" i="46"/>
  <c r="N10" i="46"/>
  <c r="N2" i="46"/>
  <c r="D17" i="46"/>
  <c r="F39" i="46"/>
  <c r="F36" i="46"/>
  <c r="H15" i="48"/>
  <c r="M3" i="46"/>
  <c r="N9" i="46"/>
  <c r="N1" i="46"/>
  <c r="N3" i="46"/>
  <c r="M6" i="46"/>
  <c r="H9" i="48"/>
  <c r="H113" i="46"/>
  <c r="H17" i="46"/>
  <c r="H10" i="48"/>
  <c r="H13" i="48"/>
  <c r="F34" i="46"/>
  <c r="H5" i="48"/>
  <c r="M5" i="46"/>
  <c r="M4" i="46"/>
  <c r="M9" i="46"/>
  <c r="N6" i="46"/>
  <c r="F80" i="46" s="1"/>
  <c r="M10" i="46"/>
  <c r="H8" i="48"/>
  <c r="F33" i="46"/>
  <c r="J17" i="46"/>
  <c r="C17" i="46"/>
  <c r="H6" i="48"/>
  <c r="M8" i="46"/>
  <c r="N11" i="46"/>
  <c r="N4" i="46"/>
  <c r="M11" i="46"/>
  <c r="N5" i="46"/>
  <c r="M1" i="46"/>
  <c r="H16" i="48"/>
  <c r="H7" i="48"/>
  <c r="H12" i="48"/>
  <c r="F71" i="9"/>
  <c r="F29" i="12"/>
  <c r="D96" i="9"/>
  <c r="F30" i="44"/>
  <c r="F70" i="9"/>
  <c r="F72" i="9"/>
  <c r="F34" i="44"/>
  <c r="F28" i="15"/>
  <c r="D86" i="9"/>
  <c r="F27" i="43"/>
  <c r="M18" i="15"/>
  <c r="M20" i="44"/>
  <c r="F32" i="15"/>
  <c r="F59" i="15" s="1"/>
  <c r="D25" i="44"/>
  <c r="D22" i="15"/>
  <c r="G9" i="1"/>
  <c r="D12" i="11"/>
  <c r="C12" i="11" s="1"/>
  <c r="BL5" i="3"/>
  <c r="H7" i="21"/>
  <c r="AB7" i="21" s="1"/>
  <c r="T48" i="21" s="1"/>
  <c r="G48" i="21" s="1"/>
  <c r="F7" i="21"/>
  <c r="A25" i="51"/>
  <c r="B18" i="63" s="1"/>
  <c r="G70" i="39"/>
  <c r="D67" i="40"/>
  <c r="W18" i="36"/>
  <c r="AZ508" i="3"/>
  <c r="AZ558" i="3"/>
  <c r="AZ570" i="3"/>
  <c r="AA12" i="21"/>
  <c r="S12" i="21"/>
  <c r="AC24" i="35"/>
  <c r="W24" i="35"/>
  <c r="I14" i="66"/>
  <c r="B8" i="66" s="1"/>
  <c r="O40" i="9"/>
  <c r="W7" i="33"/>
  <c r="A17" i="51"/>
  <c r="B13" i="63" s="1"/>
  <c r="U25" i="33"/>
  <c r="S47" i="39"/>
  <c r="W40" i="40"/>
  <c r="AZ520" i="3"/>
  <c r="U27" i="33"/>
  <c r="AB27" i="33"/>
  <c r="S42" i="33"/>
  <c r="S10" i="35"/>
  <c r="S27" i="37"/>
  <c r="AC41" i="34"/>
  <c r="U28" i="21"/>
  <c r="S45" i="21"/>
  <c r="AA27" i="33"/>
  <c r="W31" i="34"/>
  <c r="AB14" i="21"/>
  <c r="U46" i="21"/>
  <c r="AB13" i="21"/>
  <c r="AB40" i="37"/>
  <c r="W46" i="33"/>
  <c r="W35" i="35"/>
  <c r="S22" i="35"/>
  <c r="U9" i="21"/>
  <c r="BT5" i="3"/>
  <c r="G28" i="6" s="1"/>
  <c r="BI5" i="3"/>
  <c r="BG5" i="3"/>
  <c r="E13" i="6" s="1"/>
  <c r="F34" i="35"/>
  <c r="H34" i="35"/>
  <c r="AZ389" i="3"/>
  <c r="H5" i="3"/>
  <c r="H12" i="36"/>
  <c r="AZ396" i="3"/>
  <c r="AZ406" i="3"/>
  <c r="AZ424" i="3"/>
  <c r="AZ437" i="3"/>
  <c r="AZ451" i="3"/>
  <c r="AZ457" i="3"/>
  <c r="AZ470" i="3"/>
  <c r="AZ473" i="3"/>
  <c r="AZ318" i="3"/>
  <c r="AZ334" i="3"/>
  <c r="AZ350" i="3"/>
  <c r="AZ208" i="3"/>
  <c r="AZ211" i="3"/>
  <c r="AZ224" i="3"/>
  <c r="AZ227" i="3"/>
  <c r="AZ240" i="3"/>
  <c r="AZ243" i="3"/>
  <c r="AZ256" i="3"/>
  <c r="AZ259" i="3"/>
  <c r="AZ275" i="3"/>
  <c r="AZ279" i="3"/>
  <c r="AZ291" i="3"/>
  <c r="F25" i="37"/>
  <c r="J25" i="37"/>
  <c r="A30" i="51"/>
  <c r="B22" i="63" s="1"/>
  <c r="A30" i="64"/>
  <c r="AZ408" i="3"/>
  <c r="AZ411" i="3"/>
  <c r="AZ413" i="3"/>
  <c r="AZ294" i="3"/>
  <c r="AZ156" i="3"/>
  <c r="AZ159" i="3"/>
  <c r="AZ172" i="3"/>
  <c r="AZ175" i="3"/>
  <c r="AZ202" i="3"/>
  <c r="AZ21" i="3"/>
  <c r="AZ28" i="3"/>
  <c r="AZ34" i="3"/>
  <c r="AZ37" i="3"/>
  <c r="AZ45" i="3"/>
  <c r="AZ49" i="3"/>
  <c r="AZ52" i="3"/>
  <c r="AZ54" i="3"/>
  <c r="AZ58" i="3"/>
  <c r="AZ64" i="3"/>
  <c r="AZ69" i="3"/>
  <c r="AZ80" i="3"/>
  <c r="AZ89" i="3"/>
  <c r="AZ100" i="3"/>
  <c r="AZ105" i="3"/>
  <c r="D1" i="57"/>
  <c r="E10" i="57" s="1"/>
  <c r="I21" i="57"/>
  <c r="B54" i="46"/>
  <c r="C27" i="40"/>
  <c r="S27" i="40"/>
  <c r="S21" i="34"/>
  <c r="D50" i="59"/>
  <c r="T50" i="59"/>
  <c r="D42" i="59"/>
  <c r="T42" i="59"/>
  <c r="C33" i="59"/>
  <c r="D33" i="59" s="1"/>
  <c r="D32" i="59"/>
  <c r="C45" i="59"/>
  <c r="D44" i="59"/>
  <c r="P53" i="59"/>
  <c r="E52" i="59"/>
  <c r="C37" i="59"/>
  <c r="D36" i="59"/>
  <c r="Q52" i="59"/>
  <c r="Q51" i="59"/>
  <c r="O51" i="59"/>
  <c r="AB3" i="59"/>
  <c r="Y3" i="59"/>
  <c r="Z3" i="59" s="1"/>
  <c r="Y14" i="59"/>
  <c r="Z14" i="59"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X21" i="59"/>
  <c r="AA21" i="59"/>
  <c r="X22" i="59"/>
  <c r="AA22" i="59"/>
  <c r="B24" i="59"/>
  <c r="B25" i="59" s="1"/>
  <c r="B26" i="59" s="1"/>
  <c r="S26" i="59" s="1"/>
  <c r="C24" i="59"/>
  <c r="AA23" i="59"/>
  <c r="Y24" i="59"/>
  <c r="Z24" i="59" s="1"/>
  <c r="B53" i="59"/>
  <c r="Y10" i="59"/>
  <c r="Z10" i="59" s="1"/>
  <c r="C14" i="59"/>
  <c r="AB10" i="59"/>
  <c r="F14" i="59"/>
  <c r="F5" i="59"/>
  <c r="V6" i="59"/>
  <c r="AA9" i="59"/>
  <c r="AB8" i="59"/>
  <c r="Y7" i="59"/>
  <c r="Z7" i="59" s="1"/>
  <c r="AB7" i="59"/>
  <c r="S14" i="59"/>
  <c r="B13" i="59"/>
  <c r="B12" i="59" s="1"/>
  <c r="U14" i="59"/>
  <c r="E13" i="59"/>
  <c r="E12" i="59" s="1"/>
  <c r="N4" i="63"/>
  <c r="B21" i="63"/>
  <c r="C8" i="59"/>
  <c r="D8" i="59" s="1"/>
  <c r="D9" i="59"/>
  <c r="E5" i="59"/>
  <c r="U6" i="59"/>
  <c r="X9" i="59"/>
  <c r="Y8" i="59"/>
  <c r="Z8" i="59" s="1"/>
  <c r="AB9" i="59"/>
  <c r="X7" i="59"/>
  <c r="AA8" i="59"/>
  <c r="X6" i="59"/>
  <c r="AB5" i="59"/>
  <c r="A28" i="64"/>
  <c r="V10" i="59"/>
  <c r="K76" i="9"/>
  <c r="K77" i="9" s="1"/>
  <c r="K79" i="9" s="1"/>
  <c r="K81" i="9" s="1"/>
  <c r="AA10" i="59"/>
  <c r="X10" i="59"/>
  <c r="Y9" i="59"/>
  <c r="Z9" i="59" s="1"/>
  <c r="X8" i="59"/>
  <c r="AA7" i="59"/>
  <c r="AA6" i="59"/>
  <c r="X5" i="59"/>
  <c r="Y6" i="59"/>
  <c r="Z6" i="59" s="1"/>
  <c r="AB6" i="59"/>
  <c r="Y5" i="59"/>
  <c r="Z5" i="59" s="1"/>
  <c r="AA5" i="59"/>
  <c r="E14" i="52"/>
  <c r="I52" i="21"/>
  <c r="J52" i="21" s="1"/>
  <c r="C30" i="44"/>
  <c r="C25" i="12"/>
  <c r="C29" i="12"/>
  <c r="C27" i="43"/>
  <c r="C31" i="43"/>
  <c r="C28" i="15"/>
  <c r="H1" i="65"/>
  <c r="W7" i="21"/>
  <c r="H51" i="46"/>
  <c r="X7" i="46"/>
  <c r="E17" i="46"/>
  <c r="N17" i="46"/>
  <c r="O17" i="46"/>
  <c r="M17" i="46"/>
  <c r="L17" i="46"/>
  <c r="O7" i="1"/>
  <c r="P7" i="1" s="1"/>
  <c r="O11" i="1"/>
  <c r="P11" i="1" s="1"/>
  <c r="O9" i="1"/>
  <c r="P9" i="1" s="1"/>
  <c r="E14" i="6"/>
  <c r="E12" i="6"/>
  <c r="E10" i="6"/>
  <c r="O12" i="1"/>
  <c r="P12" i="1" s="1"/>
  <c r="AP7" i="1"/>
  <c r="G13" i="1"/>
  <c r="G52" i="21"/>
  <c r="H52" i="21" s="1"/>
  <c r="G53" i="21"/>
  <c r="H53" i="21" s="1"/>
  <c r="G65" i="40"/>
  <c r="E52" i="37"/>
  <c r="D46" i="36"/>
  <c r="E48" i="35"/>
  <c r="D59" i="34"/>
  <c r="G6" i="1"/>
  <c r="H7" i="33"/>
  <c r="F7" i="33"/>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Q72" i="15"/>
  <c r="Q73" i="44"/>
  <c r="L60" i="44"/>
  <c r="L59" i="44"/>
  <c r="C27" i="15"/>
  <c r="L59" i="15"/>
  <c r="C29" i="44"/>
  <c r="E17" i="52"/>
  <c r="E11" i="52"/>
  <c r="E15" i="52"/>
  <c r="E13" i="52"/>
  <c r="B14" i="52"/>
  <c r="E8" i="52"/>
  <c r="E16" i="52"/>
  <c r="B5" i="52"/>
  <c r="B9" i="52"/>
  <c r="B16" i="52"/>
  <c r="B8" i="52"/>
  <c r="B13" i="52"/>
  <c r="E10" i="52"/>
  <c r="E21" i="52"/>
  <c r="M17" i="15"/>
  <c r="F33" i="44"/>
  <c r="F31" i="15"/>
  <c r="M19" i="44"/>
  <c r="F58" i="15"/>
  <c r="M8" i="44"/>
  <c r="J6" i="65"/>
  <c r="F11" i="44"/>
  <c r="J4" i="65"/>
  <c r="F45" i="44"/>
  <c r="M10" i="44"/>
  <c r="F38" i="44"/>
  <c r="I7" i="65"/>
  <c r="F13" i="15"/>
  <c r="F41" i="15"/>
  <c r="J7" i="65"/>
  <c r="F18" i="44"/>
  <c r="F8" i="15"/>
  <c r="L48" i="15"/>
  <c r="F38" i="15"/>
  <c r="I4" i="65"/>
  <c r="J3" i="65"/>
  <c r="M29" i="44"/>
  <c r="J5" i="65"/>
  <c r="M24" i="15"/>
  <c r="M30" i="44"/>
  <c r="M11" i="44"/>
  <c r="J15" i="15"/>
  <c r="F6" i="15"/>
  <c r="F37" i="15"/>
  <c r="F15" i="44"/>
  <c r="M26" i="15"/>
  <c r="I6" i="65"/>
  <c r="M24" i="44"/>
  <c r="I3" i="65"/>
  <c r="M8" i="15"/>
  <c r="I5" i="65"/>
  <c r="M25" i="44"/>
  <c r="E457" i="3" l="1"/>
  <c r="E200" i="3"/>
  <c r="AO6" i="3"/>
  <c r="E143" i="3"/>
  <c r="AD6" i="3"/>
  <c r="E152" i="3"/>
  <c r="E26" i="3"/>
  <c r="E389" i="3"/>
  <c r="E327" i="3"/>
  <c r="X6" i="3"/>
  <c r="E46" i="3"/>
  <c r="E69" i="3"/>
  <c r="E372" i="3"/>
  <c r="E220" i="3"/>
  <c r="E230" i="3"/>
  <c r="E62" i="3"/>
  <c r="E103" i="3"/>
  <c r="E299" i="3"/>
  <c r="AA6" i="3"/>
  <c r="E31" i="3"/>
  <c r="E221" i="3"/>
  <c r="E437" i="3"/>
  <c r="E446" i="3"/>
  <c r="E192" i="3"/>
  <c r="E423" i="3"/>
  <c r="E246" i="3"/>
  <c r="E109" i="3"/>
  <c r="E381" i="3"/>
  <c r="C6" i="46"/>
  <c r="AK6" i="3"/>
  <c r="E520" i="3"/>
  <c r="E454" i="3"/>
  <c r="Z6" i="3"/>
  <c r="E548" i="3"/>
  <c r="I6" i="3"/>
  <c r="E215" i="3"/>
  <c r="E266" i="3"/>
  <c r="E127" i="3"/>
  <c r="E321" i="3"/>
  <c r="E391" i="3"/>
  <c r="E195" i="3"/>
  <c r="E359" i="3"/>
  <c r="E115" i="3"/>
  <c r="E91" i="3"/>
  <c r="E333" i="3"/>
  <c r="E132" i="3"/>
  <c r="E206" i="3"/>
  <c r="E421" i="3"/>
  <c r="E68" i="3"/>
  <c r="E41" i="3"/>
  <c r="E473" i="3"/>
  <c r="E66" i="3"/>
  <c r="E182" i="3"/>
  <c r="E294" i="3"/>
  <c r="E111" i="3"/>
  <c r="E191" i="3"/>
  <c r="E325" i="3"/>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475" i="3"/>
  <c r="E476" i="3"/>
  <c r="E86" i="3"/>
  <c r="E418" i="3"/>
  <c r="E435" i="3"/>
  <c r="N6" i="3"/>
  <c r="E465" i="3"/>
  <c r="E76" i="3"/>
  <c r="E81" i="3"/>
  <c r="E315" i="3"/>
  <c r="S6" i="3"/>
  <c r="R6" i="3"/>
  <c r="E38" i="3"/>
  <c r="E233" i="3"/>
  <c r="E347" i="3"/>
  <c r="E300" i="3"/>
  <c r="E278" i="3"/>
  <c r="E507" i="3"/>
  <c r="AZ103" i="3"/>
  <c r="AZ90" i="3"/>
  <c r="AZ76" i="3"/>
  <c r="D29" i="59"/>
  <c r="C30" i="59"/>
  <c r="AZ67" i="3"/>
  <c r="AZ55" i="3"/>
  <c r="AZ140" i="3"/>
  <c r="AZ113" i="3"/>
  <c r="AZ268" i="3"/>
  <c r="AZ249" i="3"/>
  <c r="AZ245" i="3"/>
  <c r="AZ217" i="3"/>
  <c r="AZ213" i="3"/>
  <c r="AZ479" i="3"/>
  <c r="AZ475" i="3"/>
  <c r="AZ444" i="3"/>
  <c r="AZ428" i="3"/>
  <c r="AZ394" i="3"/>
  <c r="AB9" i="33"/>
  <c r="U9" i="33"/>
  <c r="H81" i="46"/>
  <c r="H84" i="46"/>
  <c r="H86" i="46"/>
  <c r="H87" i="46"/>
  <c r="H83" i="46"/>
  <c r="H82" i="46"/>
  <c r="H85" i="46"/>
  <c r="H80" i="46"/>
  <c r="F68" i="15"/>
  <c r="F65" i="15"/>
  <c r="I54" i="15"/>
  <c r="J53" i="15"/>
  <c r="F1" i="15" s="1"/>
  <c r="L58" i="15"/>
  <c r="Q74" i="15" s="1"/>
  <c r="J57" i="15"/>
  <c r="J55" i="15" s="1"/>
  <c r="J58" i="15" s="1"/>
  <c r="Q51" i="15" s="1"/>
  <c r="L56" i="15"/>
  <c r="F50" i="15"/>
  <c r="F64" i="15"/>
  <c r="C68" i="59"/>
  <c r="D68" i="59" s="1"/>
  <c r="D69" i="59"/>
  <c r="C22" i="59"/>
  <c r="D21" i="59"/>
  <c r="AB23" i="36"/>
  <c r="U23" i="36"/>
  <c r="AA12" i="35"/>
  <c r="S12" i="35"/>
  <c r="W9" i="35"/>
  <c r="AC9" i="35"/>
  <c r="BA5" i="3"/>
  <c r="W24" i="36"/>
  <c r="AC24" i="36"/>
  <c r="K34" i="9"/>
  <c r="O52" i="59"/>
  <c r="D52" i="59"/>
  <c r="AA23" i="36"/>
  <c r="S23" i="36"/>
  <c r="AC23" i="36"/>
  <c r="W23" i="36"/>
  <c r="U12" i="35"/>
  <c r="AB12" i="35"/>
  <c r="AB9" i="35"/>
  <c r="U9" i="35"/>
  <c r="U24" i="36"/>
  <c r="AB24" i="36"/>
  <c r="AA9" i="33"/>
  <c r="S9" i="33"/>
  <c r="E202" i="3"/>
  <c r="E545" i="3"/>
  <c r="L6" i="3"/>
  <c r="E74" i="3"/>
  <c r="E493" i="3"/>
  <c r="E95" i="3"/>
  <c r="E384" i="3"/>
  <c r="E157" i="3"/>
  <c r="E84" i="3"/>
  <c r="E405" i="3"/>
  <c r="E255" i="3"/>
  <c r="E285" i="3"/>
  <c r="E163" i="3"/>
  <c r="E550" i="3"/>
  <c r="E241" i="3"/>
  <c r="M6" i="3"/>
  <c r="E413" i="3"/>
  <c r="AZ5" i="3"/>
  <c r="E58" i="39"/>
  <c r="E414" i="3"/>
  <c r="E47" i="3"/>
  <c r="E303" i="3"/>
  <c r="E448" i="3"/>
  <c r="E180" i="3"/>
  <c r="E524" i="3"/>
  <c r="E512" i="3"/>
  <c r="E464" i="3"/>
  <c r="E343" i="3"/>
  <c r="E412" i="3"/>
  <c r="E288" i="3"/>
  <c r="E162" i="3"/>
  <c r="E169" i="3"/>
  <c r="E34" i="3"/>
  <c r="E250" i="3"/>
  <c r="E238" i="3"/>
  <c r="E199" i="3"/>
  <c r="E442" i="3"/>
  <c r="E129" i="3"/>
  <c r="E37" i="3"/>
  <c r="E116" i="3"/>
  <c r="E369" i="3"/>
  <c r="E123" i="3"/>
  <c r="E271" i="3"/>
  <c r="E108" i="3"/>
  <c r="E385" i="3"/>
  <c r="E298" i="3"/>
  <c r="E159" i="3"/>
  <c r="E487" i="3"/>
  <c r="E280" i="3"/>
  <c r="E534" i="3"/>
  <c r="AH6" i="3"/>
  <c r="E431" i="3"/>
  <c r="E313" i="3"/>
  <c r="E190" i="3"/>
  <c r="E402" i="3"/>
  <c r="E145" i="3"/>
  <c r="E58" i="3"/>
  <c r="E433" i="3"/>
  <c r="E217" i="3"/>
  <c r="E137" i="3"/>
  <c r="E367" i="3"/>
  <c r="E126" i="3"/>
  <c r="F27" i="6"/>
  <c r="E411" i="3"/>
  <c r="E408" i="3"/>
  <c r="E253" i="3"/>
  <c r="E536" i="3"/>
  <c r="E174" i="3"/>
  <c r="E232" i="3"/>
  <c r="E467" i="3"/>
  <c r="E264" i="3"/>
  <c r="E505" i="3"/>
  <c r="E24" i="3"/>
  <c r="E551" i="3"/>
  <c r="E16" i="3"/>
  <c r="E212" i="3"/>
  <c r="E312" i="3"/>
  <c r="E567" i="3"/>
  <c r="AN6" i="3"/>
  <c r="E450" i="3"/>
  <c r="E64" i="3"/>
  <c r="E410" i="3"/>
  <c r="E148" i="3"/>
  <c r="E293" i="3"/>
  <c r="E39" i="3"/>
  <c r="E88" i="3"/>
  <c r="E453" i="3"/>
  <c r="E229" i="3"/>
  <c r="E538" i="3"/>
  <c r="E406" i="3"/>
  <c r="E30" i="3"/>
  <c r="U6" i="3"/>
  <c r="E219" i="3"/>
  <c r="E302" i="3"/>
  <c r="E498" i="3"/>
  <c r="E361" i="3"/>
  <c r="E323" i="3"/>
  <c r="E501" i="3"/>
  <c r="E310" i="3"/>
  <c r="AB6" i="3"/>
  <c r="E395" i="3"/>
  <c r="E270" i="3"/>
  <c r="E161" i="3"/>
  <c r="E387" i="3"/>
  <c r="E125" i="3"/>
  <c r="P6" i="3"/>
  <c r="AP6" i="3"/>
  <c r="E70" i="3"/>
  <c r="E151" i="3"/>
  <c r="E53" i="3"/>
  <c r="W6" i="3"/>
  <c r="E420" i="3"/>
  <c r="E203" i="3"/>
  <c r="E172" i="3"/>
  <c r="E417" i="3"/>
  <c r="E279" i="3"/>
  <c r="E400" i="3"/>
  <c r="E197" i="3"/>
  <c r="E61" i="3"/>
  <c r="E529" i="3"/>
  <c r="E379" i="3"/>
  <c r="E210" i="3"/>
  <c r="E510" i="3"/>
  <c r="E561" i="3"/>
  <c r="E165" i="3"/>
  <c r="E141" i="3"/>
  <c r="E139" i="3"/>
  <c r="E281" i="3"/>
  <c r="E54" i="3"/>
  <c r="E277" i="3"/>
  <c r="E19" i="3"/>
  <c r="E35" i="3"/>
  <c r="E267" i="3"/>
  <c r="E514" i="3"/>
  <c r="E371" i="3"/>
  <c r="E329" i="3"/>
  <c r="E322" i="3"/>
  <c r="E59" i="3"/>
  <c r="E209" i="3"/>
  <c r="E376" i="3"/>
  <c r="E21" i="3"/>
  <c r="E140" i="3"/>
  <c r="E142" i="3"/>
  <c r="E468" i="3"/>
  <c r="E185" i="3"/>
  <c r="E27" i="3"/>
  <c r="E469" i="3"/>
  <c r="E560" i="3"/>
  <c r="E261" i="3"/>
  <c r="E107" i="3"/>
  <c r="E393" i="3"/>
  <c r="E480" i="3"/>
  <c r="E517" i="3"/>
  <c r="AQ6" i="3"/>
  <c r="E235" i="3"/>
  <c r="E120" i="3"/>
  <c r="E555" i="3"/>
  <c r="E307" i="3"/>
  <c r="AL6" i="3"/>
  <c r="E484" i="3"/>
  <c r="E131" i="3"/>
  <c r="E80" i="3"/>
  <c r="E85" i="3"/>
  <c r="AR6" i="3"/>
  <c r="E112" i="3"/>
  <c r="E499" i="3"/>
  <c r="E173" i="3"/>
  <c r="E260" i="3"/>
  <c r="E153" i="3"/>
  <c r="E14" i="3"/>
  <c r="E378" i="3"/>
  <c r="E342" i="3"/>
  <c r="E572" i="3"/>
  <c r="E227" i="3"/>
  <c r="E71" i="3"/>
  <c r="E382" i="3"/>
  <c r="E481" i="3"/>
  <c r="E156" i="3"/>
  <c r="E193" i="3"/>
  <c r="E36" i="3"/>
  <c r="E428" i="3"/>
  <c r="E374" i="3"/>
  <c r="E205" i="3"/>
  <c r="E478" i="3"/>
  <c r="E357" i="3"/>
  <c r="AS6" i="3"/>
  <c r="E383" i="3"/>
  <c r="E568" i="3"/>
  <c r="E245" i="3"/>
  <c r="E556" i="3"/>
  <c r="E73" i="3"/>
  <c r="Y6" i="3"/>
  <c r="E513" i="3"/>
  <c r="E324" i="3"/>
  <c r="T6" i="3"/>
  <c r="E273" i="3"/>
  <c r="E472" i="3"/>
  <c r="E422" i="3"/>
  <c r="AG6" i="3"/>
  <c r="E530" i="3"/>
  <c r="E403" i="3"/>
  <c r="E177" i="3"/>
  <c r="E90" i="3"/>
  <c r="E106" i="3"/>
  <c r="E226" i="3"/>
  <c r="E351" i="3"/>
  <c r="E368" i="3"/>
  <c r="E504" i="3"/>
  <c r="E244" i="3"/>
  <c r="E301" i="3"/>
  <c r="E356" i="3"/>
  <c r="E535" i="3"/>
  <c r="E427" i="3"/>
  <c r="E94" i="3"/>
  <c r="E304" i="3"/>
  <c r="E404" i="3"/>
  <c r="E441" i="3"/>
  <c r="E415" i="3"/>
  <c r="E28" i="3"/>
  <c r="E168" i="3"/>
  <c r="E407" i="3"/>
  <c r="E136" i="3"/>
  <c r="E332" i="3"/>
  <c r="E451" i="3"/>
  <c r="E527" i="3"/>
  <c r="E211" i="3"/>
  <c r="E51" i="3"/>
  <c r="E559" i="3"/>
  <c r="E373" i="3"/>
  <c r="E566" i="3"/>
  <c r="E503" i="3"/>
  <c r="E63" i="3"/>
  <c r="E243" i="3"/>
  <c r="E355" i="3"/>
  <c r="E558" i="3"/>
  <c r="E436" i="3"/>
  <c r="E432" i="3"/>
  <c r="E339" i="3"/>
  <c r="E118" i="3"/>
  <c r="E364" i="3"/>
  <c r="E522" i="3"/>
  <c r="E516" i="3"/>
  <c r="E488" i="3"/>
  <c r="E240" i="3"/>
  <c r="E326" i="3"/>
  <c r="E283" i="3"/>
  <c r="E49" i="3"/>
  <c r="E104" i="3"/>
  <c r="E237" i="3"/>
  <c r="E100" i="3"/>
  <c r="E223" i="3"/>
  <c r="E399" i="3"/>
  <c r="E317" i="3"/>
  <c r="E179" i="3"/>
  <c r="E444" i="3"/>
  <c r="E247" i="3"/>
  <c r="E539" i="3"/>
  <c r="E52" i="3"/>
  <c r="E305" i="3"/>
  <c r="E248" i="3"/>
  <c r="E466" i="3"/>
  <c r="AF6" i="3"/>
  <c r="E216" i="3"/>
  <c r="E571" i="3"/>
  <c r="E175" i="3"/>
  <c r="E218" i="3"/>
  <c r="E214" i="3"/>
  <c r="E297" i="3"/>
  <c r="AI6" i="3"/>
  <c r="E176" i="3"/>
  <c r="E456" i="3"/>
  <c r="E56" i="3"/>
  <c r="E483" i="3"/>
  <c r="E130" i="3"/>
  <c r="E17" i="3"/>
  <c r="E509" i="3"/>
  <c r="E23" i="3"/>
  <c r="E149" i="3"/>
  <c r="I3" i="6"/>
  <c r="E60" i="3"/>
  <c r="E48" i="3"/>
  <c r="E79" i="3"/>
  <c r="O6" i="3"/>
  <c r="E196" i="3"/>
  <c r="E96" i="3"/>
  <c r="E87" i="3"/>
  <c r="E491" i="3"/>
  <c r="E50" i="3"/>
  <c r="E354" i="3"/>
  <c r="E335" i="3"/>
  <c r="E496" i="3"/>
  <c r="E155" i="3"/>
  <c r="E541" i="3"/>
  <c r="E194" i="3"/>
  <c r="E390" i="3"/>
  <c r="E492" i="3"/>
  <c r="E89" i="3"/>
  <c r="E170" i="3"/>
  <c r="E32" i="3"/>
  <c r="E447" i="3"/>
  <c r="Q6" i="3"/>
  <c r="E500" i="3"/>
  <c r="AE6" i="3"/>
  <c r="E113" i="3"/>
  <c r="E257" i="3"/>
  <c r="E102" i="3"/>
  <c r="E258" i="3"/>
  <c r="E43" i="3"/>
  <c r="E370" i="3"/>
  <c r="E477" i="3"/>
  <c r="E134" i="3"/>
  <c r="E239" i="3"/>
  <c r="E128" i="3"/>
  <c r="E554" i="3"/>
  <c r="E319" i="3"/>
  <c r="E569" i="3"/>
  <c r="E546" i="3"/>
  <c r="E251" i="3"/>
  <c r="E122" i="3"/>
  <c r="E485" i="3"/>
  <c r="E532" i="3"/>
  <c r="E521" i="3"/>
  <c r="E461" i="3"/>
  <c r="E511" i="3"/>
  <c r="E377" i="3"/>
  <c r="E358" i="3"/>
  <c r="E20" i="3"/>
  <c r="E443" i="3"/>
  <c r="E78" i="3"/>
  <c r="E296" i="3"/>
  <c r="E295" i="3"/>
  <c r="E201" i="3"/>
  <c r="E274" i="3"/>
  <c r="E547" i="3"/>
  <c r="E33" i="3"/>
  <c r="E119" i="3"/>
  <c r="E97" i="3"/>
  <c r="E289" i="3"/>
  <c r="E425" i="3"/>
  <c r="E25" i="3"/>
  <c r="E479" i="3"/>
  <c r="E276" i="3"/>
  <c r="E526" i="3"/>
  <c r="E540" i="3"/>
  <c r="E234" i="3"/>
  <c r="E508" i="3"/>
  <c r="AJ6" i="3"/>
  <c r="E15" i="3"/>
  <c r="E208" i="3"/>
  <c r="E340" i="3"/>
  <c r="E328" i="3"/>
  <c r="E18" i="3"/>
  <c r="E564" i="3"/>
  <c r="E265" i="3"/>
  <c r="E337" i="3"/>
  <c r="E249" i="3"/>
  <c r="E460" i="3"/>
  <c r="E463" i="3"/>
  <c r="E426" i="3"/>
  <c r="E75" i="3"/>
  <c r="J6" i="3"/>
  <c r="E438" i="3"/>
  <c r="E363" i="3"/>
  <c r="E401" i="3"/>
  <c r="E166" i="3"/>
  <c r="E204" i="3"/>
  <c r="E449" i="3"/>
  <c r="E259" i="3"/>
  <c r="E416" i="3"/>
  <c r="E160" i="3"/>
  <c r="E133" i="3"/>
  <c r="E458" i="3"/>
  <c r="E256" i="3"/>
  <c r="E525" i="3"/>
  <c r="E353" i="3"/>
  <c r="E236" i="3"/>
  <c r="E171" i="3"/>
  <c r="E531" i="3"/>
  <c r="E344" i="3"/>
  <c r="E366" i="3"/>
  <c r="E350" i="3"/>
  <c r="E352" i="3"/>
  <c r="E519" i="3"/>
  <c r="E252" i="3"/>
  <c r="E544" i="3"/>
  <c r="E523" i="3"/>
  <c r="AM6" i="3"/>
  <c r="E158" i="3"/>
  <c r="E549" i="3"/>
  <c r="E292" i="3"/>
  <c r="E178" i="3"/>
  <c r="E455" i="3"/>
  <c r="E272" i="3"/>
  <c r="E207" i="3"/>
  <c r="E308" i="3"/>
  <c r="E242" i="3"/>
  <c r="E29" i="3"/>
  <c r="K6" i="3"/>
  <c r="E474" i="3"/>
  <c r="E495" i="3"/>
  <c r="E330" i="3"/>
  <c r="E138" i="3"/>
  <c r="E346" i="3"/>
  <c r="E557" i="3"/>
  <c r="AC6" i="3"/>
  <c r="E445" i="3"/>
  <c r="E291" i="3"/>
  <c r="E365" i="3"/>
  <c r="E336" i="3"/>
  <c r="E65" i="3"/>
  <c r="E345" i="3"/>
  <c r="E440" i="3"/>
  <c r="E362" i="3"/>
  <c r="E314" i="3"/>
  <c r="E489" i="3"/>
  <c r="E183" i="3"/>
  <c r="E45" i="3"/>
  <c r="E42" i="3"/>
  <c r="E269" i="3"/>
  <c r="E562" i="3"/>
  <c r="E167" i="3"/>
  <c r="E494" i="3"/>
  <c r="E254" i="3"/>
  <c r="E316" i="3"/>
  <c r="E380" i="3"/>
  <c r="E44" i="3"/>
  <c r="E537" i="3"/>
  <c r="E490" i="3"/>
  <c r="E110" i="3"/>
  <c r="E98" i="3"/>
  <c r="E189" i="3"/>
  <c r="E67" i="3"/>
  <c r="E154" i="3"/>
  <c r="E105" i="3"/>
  <c r="E419" i="3"/>
  <c r="E188" i="3"/>
  <c r="E13" i="3"/>
  <c r="E198" i="3"/>
  <c r="E290" i="3"/>
  <c r="E40" i="3"/>
  <c r="E228" i="3"/>
  <c r="E334" i="3"/>
  <c r="E396" i="3"/>
  <c r="E392" i="3"/>
  <c r="E360" i="3"/>
  <c r="E144" i="3"/>
  <c r="E506" i="3"/>
  <c r="E497" i="3"/>
  <c r="E553" i="3"/>
  <c r="E563" i="3"/>
  <c r="E268" i="3"/>
  <c r="E565" i="3"/>
  <c r="E92" i="3"/>
  <c r="E225" i="3"/>
  <c r="E213" i="3"/>
  <c r="E462" i="3"/>
  <c r="E482" i="3"/>
  <c r="E533" i="3"/>
  <c r="E429" i="3"/>
  <c r="E543" i="3"/>
  <c r="V6" i="3"/>
  <c r="E224" i="3"/>
  <c r="E287" i="3"/>
  <c r="E32" i="6"/>
  <c r="L19" i="6" s="1"/>
  <c r="L27" i="6" s="1"/>
  <c r="K6" i="1"/>
  <c r="H6" i="3"/>
  <c r="E72" i="3"/>
  <c r="E331" i="3"/>
  <c r="E150" i="3"/>
  <c r="E502" i="3"/>
  <c r="E286" i="3"/>
  <c r="E320" i="3"/>
  <c r="E284" i="3"/>
  <c r="E181" i="3"/>
  <c r="E338" i="3"/>
  <c r="E518" i="3"/>
  <c r="E515" i="3"/>
  <c r="E542" i="3"/>
  <c r="E341" i="3"/>
  <c r="E318" i="3"/>
  <c r="E471" i="3"/>
  <c r="E187" i="3"/>
  <c r="E452" i="3"/>
  <c r="E397" i="3"/>
  <c r="E184" i="3"/>
  <c r="E398" i="3"/>
  <c r="E275" i="3"/>
  <c r="E486" i="3"/>
  <c r="E309" i="3"/>
  <c r="E121" i="3"/>
  <c r="E386" i="3"/>
  <c r="M43" i="9"/>
  <c r="D18" i="9"/>
  <c r="M44" i="9" s="1"/>
  <c r="F69" i="46"/>
  <c r="G17" i="46"/>
  <c r="C16" i="46" s="1"/>
  <c r="E11" i="6"/>
  <c r="E58" i="40" s="1"/>
  <c r="E15" i="6"/>
  <c r="E62" i="40" s="1"/>
  <c r="AA7" i="21"/>
  <c r="R48" i="21" s="1"/>
  <c r="S7" i="21"/>
  <c r="U7" i="21"/>
  <c r="H70" i="39"/>
  <c r="G72" i="39"/>
  <c r="E3" i="6"/>
  <c r="AY6" i="3"/>
  <c r="AY530" i="3" s="1"/>
  <c r="G30" i="6"/>
  <c r="G31" i="6" s="1"/>
  <c r="E28" i="6"/>
  <c r="D7" i="59"/>
  <c r="F13" i="59"/>
  <c r="F12" i="59" s="1"/>
  <c r="V14" i="59"/>
  <c r="D14" i="59"/>
  <c r="T14" i="59"/>
  <c r="C13" i="59"/>
  <c r="B52" i="59"/>
  <c r="N53" i="59"/>
  <c r="D37" i="59"/>
  <c r="C38" i="59"/>
  <c r="C46" i="59"/>
  <c r="D45" i="59"/>
  <c r="AA25" i="37"/>
  <c r="S25" i="37"/>
  <c r="AB34" i="35"/>
  <c r="U34" i="35"/>
  <c r="K31" i="9"/>
  <c r="K32" i="9" s="1"/>
  <c r="R7" i="54"/>
  <c r="B52" i="63" s="1"/>
  <c r="D24" i="59"/>
  <c r="C25" i="59"/>
  <c r="D16" i="59"/>
  <c r="C17" i="59"/>
  <c r="P52" i="59"/>
  <c r="P51" i="59"/>
  <c r="W25" i="37"/>
  <c r="AC25" i="37"/>
  <c r="U12" i="36"/>
  <c r="AB12" i="36"/>
  <c r="AA34" i="35"/>
  <c r="S34" i="35"/>
  <c r="B5" i="59"/>
  <c r="D6" i="59"/>
  <c r="C5" i="59"/>
  <c r="D5" i="59" s="1"/>
  <c r="J1" i="65"/>
  <c r="I1" i="65"/>
  <c r="E20" i="46"/>
  <c r="P28" i="46" s="1"/>
  <c r="AY107" i="3"/>
  <c r="AY545" i="3"/>
  <c r="AY488" i="3"/>
  <c r="AY473" i="3"/>
  <c r="E60" i="40"/>
  <c r="E65" i="39"/>
  <c r="E61" i="40"/>
  <c r="E66" i="39"/>
  <c r="E64" i="39"/>
  <c r="E59"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C7" i="46"/>
  <c r="Q61" i="15"/>
  <c r="Q76" i="44"/>
  <c r="Q63" i="44"/>
  <c r="Q54" i="44"/>
  <c r="F1" i="44"/>
  <c r="F13" i="44"/>
  <c r="C12" i="44" s="1"/>
  <c r="M11" i="15"/>
  <c r="J10" i="15" s="1"/>
  <c r="F11" i="15"/>
  <c r="M13" i="44"/>
  <c r="J12" i="44" s="1"/>
  <c r="Q75" i="15"/>
  <c r="Q62" i="15"/>
  <c r="Q75" i="44"/>
  <c r="Q62" i="44"/>
  <c r="E3" i="65"/>
  <c r="F7" i="15"/>
  <c r="E2" i="65"/>
  <c r="F9" i="44"/>
  <c r="F43" i="15"/>
  <c r="M29" i="15"/>
  <c r="M31" i="44"/>
  <c r="E63" i="39" l="1"/>
  <c r="AY521" i="3"/>
  <c r="AY173" i="3"/>
  <c r="AY514" i="3"/>
  <c r="AY71" i="3"/>
  <c r="AY494" i="3"/>
  <c r="AY292" i="3"/>
  <c r="AY541" i="3"/>
  <c r="AY134" i="3"/>
  <c r="AY451" i="3"/>
  <c r="AY391" i="3"/>
  <c r="AY213" i="3"/>
  <c r="AY401" i="3"/>
  <c r="AY358" i="3"/>
  <c r="AY380" i="3"/>
  <c r="AY420" i="3"/>
  <c r="AY508" i="3"/>
  <c r="BE6" i="3"/>
  <c r="AY439" i="3"/>
  <c r="AY165" i="3"/>
  <c r="AY243" i="3"/>
  <c r="AY444" i="3"/>
  <c r="AY460" i="3"/>
  <c r="AY251" i="3"/>
  <c r="AY566" i="3"/>
  <c r="AY539" i="3"/>
  <c r="AY403" i="3"/>
  <c r="AY455" i="3"/>
  <c r="AY363" i="3"/>
  <c r="AY84" i="3"/>
  <c r="AY63" i="3"/>
  <c r="AY163" i="3"/>
  <c r="AY552" i="3"/>
  <c r="AY288" i="3"/>
  <c r="AY369" i="3"/>
  <c r="AY55" i="3"/>
  <c r="C5" i="46"/>
  <c r="T30" i="59"/>
  <c r="D30" i="59"/>
  <c r="M7" i="15"/>
  <c r="J6" i="15" s="1"/>
  <c r="J5" i="15" s="1"/>
  <c r="J24" i="15" s="1"/>
  <c r="F49" i="15"/>
  <c r="C6" i="15"/>
  <c r="M9" i="44"/>
  <c r="J8" i="44" s="1"/>
  <c r="C8" i="44"/>
  <c r="F70" i="15"/>
  <c r="G16" i="1"/>
  <c r="F12" i="39" s="1"/>
  <c r="AA12" i="39" s="1"/>
  <c r="C48" i="15"/>
  <c r="C7" i="44"/>
  <c r="C34" i="44" s="1"/>
  <c r="J7" i="44"/>
  <c r="J28" i="44" s="1"/>
  <c r="J31" i="44" s="1"/>
  <c r="Q53" i="15"/>
  <c r="D22" i="59"/>
  <c r="T22" i="59"/>
  <c r="AY296" i="3"/>
  <c r="AY441" i="3"/>
  <c r="AY474" i="3"/>
  <c r="AY167" i="3"/>
  <c r="AY426" i="3"/>
  <c r="AY306" i="3"/>
  <c r="AY59" i="3"/>
  <c r="AY215" i="3"/>
  <c r="AY18" i="3"/>
  <c r="AY260" i="3"/>
  <c r="AY362" i="3"/>
  <c r="AY433" i="3"/>
  <c r="AY436" i="3"/>
  <c r="AY190" i="3"/>
  <c r="AY344" i="3"/>
  <c r="AY519" i="3"/>
  <c r="AY396" i="3"/>
  <c r="AY42" i="3"/>
  <c r="AY516" i="3"/>
  <c r="AY491" i="3"/>
  <c r="AY354" i="3"/>
  <c r="AY466" i="3"/>
  <c r="AY373" i="3"/>
  <c r="AY261" i="3"/>
  <c r="AY284" i="3"/>
  <c r="AY237" i="3"/>
  <c r="BB6" i="3"/>
  <c r="AY564" i="3"/>
  <c r="AY499" i="3"/>
  <c r="AY110" i="3"/>
  <c r="AY512" i="3"/>
  <c r="AY192" i="3"/>
  <c r="AY440" i="3"/>
  <c r="AY505" i="3"/>
  <c r="AY417" i="3"/>
  <c r="AY303" i="3"/>
  <c r="AY46" i="3"/>
  <c r="AY224" i="3"/>
  <c r="AY209" i="3"/>
  <c r="E27" i="6"/>
  <c r="F31" i="6"/>
  <c r="AY371" i="3"/>
  <c r="AY290" i="3"/>
  <c r="AY544" i="3"/>
  <c r="AY52" i="3"/>
  <c r="AY72" i="3"/>
  <c r="AY452" i="3"/>
  <c r="AY477" i="3"/>
  <c r="AY496" i="3"/>
  <c r="AY570" i="3"/>
  <c r="AY196" i="3"/>
  <c r="AY33" i="3"/>
  <c r="AY79" i="3"/>
  <c r="AY338" i="3"/>
  <c r="AY54" i="3"/>
  <c r="AY61" i="3"/>
  <c r="AY48" i="3"/>
  <c r="AY532" i="3"/>
  <c r="AY423" i="3"/>
  <c r="AY298" i="3"/>
  <c r="AY125" i="3"/>
  <c r="AY339" i="3"/>
  <c r="AY495" i="3"/>
  <c r="AY235" i="3"/>
  <c r="AY563" i="3"/>
  <c r="AY540" i="3"/>
  <c r="AY546" i="3"/>
  <c r="AY239" i="3"/>
  <c r="AY283" i="3"/>
  <c r="AY392" i="3"/>
  <c r="AY24" i="3"/>
  <c r="AY408" i="3"/>
  <c r="AY542" i="3"/>
  <c r="AY504" i="3"/>
  <c r="E16" i="6"/>
  <c r="AY121" i="3"/>
  <c r="AY482" i="3"/>
  <c r="AY180" i="3"/>
  <c r="AY255" i="3"/>
  <c r="AY301" i="3"/>
  <c r="AY551" i="3"/>
  <c r="BG6" i="3"/>
  <c r="AY419" i="3"/>
  <c r="AY522" i="3"/>
  <c r="AY312" i="3"/>
  <c r="AY353" i="3"/>
  <c r="AY23" i="3"/>
  <c r="AY568" i="3"/>
  <c r="AY212" i="3"/>
  <c r="AY507" i="3"/>
  <c r="AY228" i="3"/>
  <c r="AY454" i="3"/>
  <c r="AY252" i="3"/>
  <c r="AY502" i="3"/>
  <c r="AY547" i="3"/>
  <c r="AY410" i="3"/>
  <c r="AY267" i="3"/>
  <c r="AY195" i="3"/>
  <c r="AY357" i="3"/>
  <c r="AY223" i="3"/>
  <c r="AY328" i="3"/>
  <c r="BF6" i="3"/>
  <c r="AY152" i="3"/>
  <c r="AY245" i="3"/>
  <c r="AY162" i="3"/>
  <c r="AY569" i="3"/>
  <c r="AY515" i="3"/>
  <c r="AY86" i="3"/>
  <c r="AY123" i="3"/>
  <c r="AY308" i="3"/>
  <c r="AY169" i="3"/>
  <c r="AY41" i="3"/>
  <c r="E6" i="3"/>
  <c r="AY139" i="3"/>
  <c r="E67" i="39"/>
  <c r="AY282" i="3"/>
  <c r="AY183" i="3"/>
  <c r="AY555" i="3"/>
  <c r="AY226" i="3"/>
  <c r="AY83" i="3"/>
  <c r="AY523" i="3"/>
  <c r="AY535" i="3"/>
  <c r="AY517" i="3"/>
  <c r="BJ6" i="3"/>
  <c r="AY536" i="3"/>
  <c r="AY511" i="3"/>
  <c r="AY94" i="3"/>
  <c r="AY51" i="3"/>
  <c r="AY462" i="3"/>
  <c r="AY332" i="3"/>
  <c r="AY102" i="3"/>
  <c r="AY89" i="3"/>
  <c r="AY533" i="3"/>
  <c r="AY119" i="3"/>
  <c r="AY470" i="3"/>
  <c r="AY345" i="3"/>
  <c r="AY347" i="3"/>
  <c r="AY513" i="3"/>
  <c r="AY19" i="3"/>
  <c r="AY300" i="3"/>
  <c r="AY231" i="3"/>
  <c r="AY524" i="3"/>
  <c r="AY263" i="3"/>
  <c r="BM6" i="3"/>
  <c r="AY205" i="3"/>
  <c r="AY421" i="3"/>
  <c r="AY313" i="3"/>
  <c r="AY56" i="3"/>
  <c r="AY387" i="3"/>
  <c r="AY113" i="3"/>
  <c r="AY276" i="3"/>
  <c r="AY133" i="3"/>
  <c r="AY68" i="3"/>
  <c r="AY17" i="3"/>
  <c r="AY484" i="3"/>
  <c r="AY390" i="3"/>
  <c r="AY325" i="3"/>
  <c r="AY527" i="3"/>
  <c r="AY498" i="3"/>
  <c r="AY562" i="3"/>
  <c r="AY147" i="3"/>
  <c r="AY356" i="3"/>
  <c r="AY218" i="3"/>
  <c r="AY428" i="3"/>
  <c r="AY465" i="3"/>
  <c r="AY25" i="3"/>
  <c r="AY333" i="3"/>
  <c r="AY157" i="3"/>
  <c r="AY230" i="3"/>
  <c r="AY70" i="3"/>
  <c r="AY277" i="3"/>
  <c r="AY80" i="3"/>
  <c r="M6" i="1"/>
  <c r="H16" i="1"/>
  <c r="Q16" i="1"/>
  <c r="AP16" i="1"/>
  <c r="F22" i="11" s="1"/>
  <c r="H71" i="46"/>
  <c r="G71" i="46" s="1"/>
  <c r="H73" i="46"/>
  <c r="G73" i="46" s="1"/>
  <c r="H74" i="46"/>
  <c r="G74" i="46" s="1"/>
  <c r="H76" i="46"/>
  <c r="G76" i="46" s="1"/>
  <c r="H69" i="46"/>
  <c r="G69" i="46" s="1"/>
  <c r="H70" i="46"/>
  <c r="G70" i="46" s="1"/>
  <c r="H75" i="46"/>
  <c r="G75" i="46" s="1"/>
  <c r="H77" i="46"/>
  <c r="G77" i="46" s="1"/>
  <c r="H72" i="46"/>
  <c r="G72" i="46" s="1"/>
  <c r="D5" i="46"/>
  <c r="AY554" i="3"/>
  <c r="AY509" i="3"/>
  <c r="AY571" i="3"/>
  <c r="AY487" i="3"/>
  <c r="AY270" i="3"/>
  <c r="AY331" i="3"/>
  <c r="AY334" i="3"/>
  <c r="AY130" i="3"/>
  <c r="AY93" i="3"/>
  <c r="AY289" i="3"/>
  <c r="AY434" i="3"/>
  <c r="AY418" i="3"/>
  <c r="AY478" i="3"/>
  <c r="AY557" i="3"/>
  <c r="AY534" i="3"/>
  <c r="AY538" i="3"/>
  <c r="AY567" i="3"/>
  <c r="AY327" i="3"/>
  <c r="AY404" i="3"/>
  <c r="AY285" i="3"/>
  <c r="AY497" i="3"/>
  <c r="BR6" i="3"/>
  <c r="AY220" i="3"/>
  <c r="AY355" i="3"/>
  <c r="AY15" i="3"/>
  <c r="AY492" i="3"/>
  <c r="AY222" i="3"/>
  <c r="AY186" i="3"/>
  <c r="AY66" i="3"/>
  <c r="AY461" i="3"/>
  <c r="AY140" i="3"/>
  <c r="AY407" i="3"/>
  <c r="AY127" i="3"/>
  <c r="AY406" i="3"/>
  <c r="AY22" i="3"/>
  <c r="AY561" i="3"/>
  <c r="AY318" i="3"/>
  <c r="AY44" i="3"/>
  <c r="AY176" i="3"/>
  <c r="AY309" i="3"/>
  <c r="AY34" i="3"/>
  <c r="AY526" i="3"/>
  <c r="AY431" i="3"/>
  <c r="BH6" i="3"/>
  <c r="AY321" i="3"/>
  <c r="AY394" i="3"/>
  <c r="AY335" i="3"/>
  <c r="AY117" i="3"/>
  <c r="AY36" i="3"/>
  <c r="AY528" i="3"/>
  <c r="AY188" i="3"/>
  <c r="AY132" i="3"/>
  <c r="AY435" i="3"/>
  <c r="AY310" i="3"/>
  <c r="AY286" i="3"/>
  <c r="AY467" i="3"/>
  <c r="AY126" i="3"/>
  <c r="AY20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385" i="3"/>
  <c r="AY287" i="3"/>
  <c r="AY242" i="3"/>
  <c r="AY489" i="3"/>
  <c r="AY458" i="3"/>
  <c r="AY500" i="3"/>
  <c r="AY32" i="3"/>
  <c r="AY221" i="3"/>
  <c r="AY211" i="3"/>
  <c r="AY446" i="3"/>
  <c r="BA6" i="3"/>
  <c r="AY148" i="3"/>
  <c r="AY219" i="3"/>
  <c r="AY443" i="3"/>
  <c r="AY158" i="3"/>
  <c r="AY64" i="3"/>
  <c r="AY273" i="3"/>
  <c r="AY493" i="3"/>
  <c r="AY437" i="3"/>
  <c r="AY197" i="3"/>
  <c r="BS6" i="3"/>
  <c r="AY374" i="3"/>
  <c r="AY246" i="3"/>
  <c r="AY236" i="3"/>
  <c r="AY143" i="3"/>
  <c r="AY382" i="3"/>
  <c r="AY30" i="3"/>
  <c r="BK6" i="3"/>
  <c r="AY560" i="3"/>
  <c r="AY425" i="3"/>
  <c r="AY175" i="3"/>
  <c r="AY179" i="3"/>
  <c r="D3" i="6"/>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76" i="3"/>
  <c r="AY85" i="3"/>
  <c r="AY254" i="3"/>
  <c r="AY337" i="3"/>
  <c r="AY172" i="3"/>
  <c r="AY280" i="3"/>
  <c r="AY432" i="3"/>
  <c r="AY150" i="3"/>
  <c r="AY103" i="3"/>
  <c r="AY99" i="3"/>
  <c r="AY572" i="3"/>
  <c r="AY442" i="3"/>
  <c r="AY405" i="3"/>
  <c r="AY272" i="3"/>
  <c r="AY340" i="3"/>
  <c r="AY400" i="3"/>
  <c r="AY115" i="3"/>
  <c r="AY348" i="3"/>
  <c r="AY141" i="3"/>
  <c r="AY364" i="3"/>
  <c r="AY202" i="3"/>
  <c r="AY416" i="3"/>
  <c r="AY264" i="3"/>
  <c r="AY45" i="3"/>
  <c r="AY100" i="3"/>
  <c r="AY128" i="3"/>
  <c r="AY37"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510" i="3"/>
  <c r="AY207" i="3"/>
  <c r="AY268" i="3"/>
  <c r="AY320" i="3"/>
  <c r="AY314" i="3"/>
  <c r="AY430" i="3"/>
  <c r="AY229" i="3"/>
  <c r="AY359" i="3"/>
  <c r="AY341" i="3"/>
  <c r="AY111" i="3"/>
  <c r="AY257" i="3"/>
  <c r="AY311" i="3"/>
  <c r="AY28" i="3"/>
  <c r="AY216" i="3"/>
  <c r="AY204" i="3"/>
  <c r="AY481" i="3"/>
  <c r="AY501" i="3"/>
  <c r="AY43" i="3"/>
  <c r="AY429" i="3"/>
  <c r="AY305" i="3"/>
  <c r="AY101" i="3"/>
  <c r="AY161" i="3"/>
  <c r="AY241" i="3"/>
  <c r="AY459" i="3"/>
  <c r="AY238" i="3"/>
  <c r="AY398" i="3"/>
  <c r="AY250" i="3"/>
  <c r="AY479" i="3"/>
  <c r="AY384" i="3"/>
  <c r="AY118" i="3"/>
  <c r="AY182" i="3"/>
  <c r="AY95" i="3"/>
  <c r="AY58" i="3"/>
  <c r="AY82" i="3"/>
  <c r="AY346" i="3"/>
  <c r="AY50" i="3"/>
  <c r="AY350" i="3"/>
  <c r="AY265" i="3"/>
  <c r="AY65" i="3"/>
  <c r="AY343" i="3"/>
  <c r="AY181" i="3"/>
  <c r="AY402" i="3"/>
  <c r="AY317" i="3"/>
  <c r="AY234" i="3"/>
  <c r="AY31" i="3"/>
  <c r="AY47" i="3"/>
  <c r="AY105" i="3"/>
  <c r="AY159" i="3"/>
  <c r="AY67" i="3"/>
  <c r="AY486" i="3"/>
  <c r="AY200" i="3"/>
  <c r="AY445" i="3"/>
  <c r="AY271" i="3"/>
  <c r="AY187" i="3"/>
  <c r="AY411" i="3"/>
  <c r="AY386" i="3"/>
  <c r="AY293" i="3"/>
  <c r="AY92" i="3"/>
  <c r="AY21"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98" i="3"/>
  <c r="AY74" i="3"/>
  <c r="AY53" i="3"/>
  <c r="AY104" i="3"/>
  <c r="AY529" i="3"/>
  <c r="AY129" i="3"/>
  <c r="AY26" i="3"/>
  <c r="AY88" i="3"/>
  <c r="AY69" i="3"/>
  <c r="AY549" i="3"/>
  <c r="AY156" i="3"/>
  <c r="AY266" i="3"/>
  <c r="AY424" i="3"/>
  <c r="AY120" i="3"/>
  <c r="AY558" i="3"/>
  <c r="AY227" i="3"/>
  <c r="AY38" i="3"/>
  <c r="AY304" i="3"/>
  <c r="AY114" i="3"/>
  <c r="AY414" i="3"/>
  <c r="AY556" i="3"/>
  <c r="AY275" i="3"/>
  <c r="AY274" i="3"/>
  <c r="AY191" i="3"/>
  <c r="AY1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144" i="3"/>
  <c r="AY73" i="3"/>
  <c r="AY537" i="3"/>
  <c r="AY77" i="3"/>
  <c r="AY142" i="3"/>
  <c r="AY198" i="3"/>
  <c r="AY109" i="3"/>
  <c r="AY97" i="3"/>
  <c r="AY87" i="3"/>
  <c r="O28" i="46"/>
  <c r="G20" i="46" s="1"/>
  <c r="C20" i="46" s="1"/>
  <c r="E48" i="21"/>
  <c r="R49" i="21"/>
  <c r="H72" i="39"/>
  <c r="I70" i="39"/>
  <c r="D17" i="59"/>
  <c r="C18" i="59"/>
  <c r="D25" i="59"/>
  <c r="C26" i="59"/>
  <c r="D38" i="59"/>
  <c r="T38" i="59"/>
  <c r="D13" i="59"/>
  <c r="C12" i="59"/>
  <c r="D12" i="59" s="1"/>
  <c r="D46" i="59"/>
  <c r="T46" i="59"/>
  <c r="N52" i="59"/>
  <c r="N51" i="59"/>
  <c r="D16" i="43"/>
  <c r="C16" i="43" s="1"/>
  <c r="E6" i="6"/>
  <c r="D6" i="6" s="1"/>
  <c r="D44" i="9"/>
  <c r="D16" i="12"/>
  <c r="L38" i="9"/>
  <c r="B14" i="66" s="1"/>
  <c r="B1" i="66" s="1"/>
  <c r="D45" i="9"/>
  <c r="C21" i="4"/>
  <c r="O5" i="54" s="1"/>
  <c r="B45" i="63" s="1"/>
  <c r="D46" i="9"/>
  <c r="D10" i="11"/>
  <c r="M28" i="46"/>
  <c r="N28" i="46"/>
  <c r="B40" i="1"/>
  <c r="F24" i="15" s="1"/>
  <c r="C24" i="15" s="1"/>
  <c r="F17" i="11"/>
  <c r="K16" i="1"/>
  <c r="M14" i="1"/>
  <c r="E63" i="40"/>
  <c r="C22" i="4"/>
  <c r="D19" i="6"/>
  <c r="D21" i="6"/>
  <c r="D25" i="6"/>
  <c r="D10" i="6"/>
  <c r="D13" i="6"/>
  <c r="D23" i="6"/>
  <c r="D14" i="6"/>
  <c r="D28" i="6"/>
  <c r="D20" i="6"/>
  <c r="D8" i="6"/>
  <c r="E45" i="9"/>
  <c r="F45" i="9"/>
  <c r="F44" i="9"/>
  <c r="E68" i="39"/>
  <c r="K38" i="9"/>
  <c r="C14" i="66" s="1"/>
  <c r="B2" i="66" s="1"/>
  <c r="D24" i="6"/>
  <c r="D26" i="6"/>
  <c r="D22" i="6"/>
  <c r="D11" i="6"/>
  <c r="D12" i="6"/>
  <c r="D9" i="6"/>
  <c r="D5" i="6"/>
  <c r="D29" i="6"/>
  <c r="D15" i="6"/>
  <c r="E44" i="9"/>
  <c r="F46" i="9"/>
  <c r="E46" i="9"/>
  <c r="G52" i="37"/>
  <c r="H7" i="34"/>
  <c r="J7" i="34"/>
  <c r="S12" i="39"/>
  <c r="R49" i="33"/>
  <c r="E48" i="33"/>
  <c r="G48" i="35"/>
  <c r="G52" i="33"/>
  <c r="H52" i="33" s="1"/>
  <c r="G53" i="33"/>
  <c r="H53" i="33" s="1"/>
  <c r="I65" i="40"/>
  <c r="H67" i="40"/>
  <c r="F46" i="36"/>
  <c r="G46" i="36" s="1"/>
  <c r="H46" i="36" s="1"/>
  <c r="I46" i="36" s="1"/>
  <c r="J46" i="36" s="1"/>
  <c r="K46" i="36" s="1"/>
  <c r="L46" i="36" s="1"/>
  <c r="M46" i="36" s="1"/>
  <c r="N46" i="36" s="1"/>
  <c r="O46" i="36" s="1"/>
  <c r="F7" i="34"/>
  <c r="C52" i="15"/>
  <c r="C10" i="15"/>
  <c r="C16" i="15"/>
  <c r="C18" i="44"/>
  <c r="C8" i="11" l="1"/>
  <c r="C7" i="11" s="1"/>
  <c r="C5" i="15"/>
  <c r="C38" i="15" s="1"/>
  <c r="C40" i="44"/>
  <c r="C47" i="15"/>
  <c r="C65" i="15" s="1"/>
  <c r="F12" i="40"/>
  <c r="AA12" i="40" s="1"/>
  <c r="J12" i="39"/>
  <c r="AC12" i="39" s="1"/>
  <c r="J12" i="40"/>
  <c r="H12" i="39"/>
  <c r="AB12" i="39" s="1"/>
  <c r="H12" i="40"/>
  <c r="U12" i="40" s="1"/>
  <c r="J26" i="15"/>
  <c r="J29" i="15" s="1"/>
  <c r="J26" i="44"/>
  <c r="J18" i="15"/>
  <c r="J20" i="44"/>
  <c r="C10" i="11"/>
  <c r="D29" i="46"/>
  <c r="D1" i="46" s="1"/>
  <c r="U12" i="39"/>
  <c r="K26" i="6"/>
  <c r="M26" i="6" s="1"/>
  <c r="I26" i="6" s="1"/>
  <c r="K23" i="6"/>
  <c r="M23" i="6" s="1"/>
  <c r="I23" i="6" s="1"/>
  <c r="K25" i="6"/>
  <c r="M25" i="6" s="1"/>
  <c r="I25" i="6" s="1"/>
  <c r="K24" i="6"/>
  <c r="M24" i="6" s="1"/>
  <c r="I24" i="6" s="1"/>
  <c r="K20" i="6"/>
  <c r="M20" i="6" s="1"/>
  <c r="I20" i="6" s="1"/>
  <c r="K22" i="6"/>
  <c r="M22" i="6" s="1"/>
  <c r="I22" i="6" s="1"/>
  <c r="K21" i="6"/>
  <c r="M21" i="6" s="1"/>
  <c r="I21" i="6" s="1"/>
  <c r="K19" i="6"/>
  <c r="E31" i="6"/>
  <c r="W12" i="39"/>
  <c r="O6" i="1"/>
  <c r="P6" i="1" s="1"/>
  <c r="C15" i="12" s="1"/>
  <c r="C15" i="43"/>
  <c r="F33" i="12"/>
  <c r="C34" i="12" s="1"/>
  <c r="D33" i="12" s="1"/>
  <c r="F24" i="43"/>
  <c r="C26" i="43" s="1"/>
  <c r="D24" i="43" s="1"/>
  <c r="F18" i="11"/>
  <c r="M72" i="46"/>
  <c r="N72" i="46" s="1"/>
  <c r="K72" i="46"/>
  <c r="M69" i="46"/>
  <c r="N69" i="46" s="1"/>
  <c r="K69" i="46"/>
  <c r="K71" i="46"/>
  <c r="M71" i="46"/>
  <c r="N71" i="46" s="1"/>
  <c r="K70" i="46"/>
  <c r="M70" i="46"/>
  <c r="N70" i="46" s="1"/>
  <c r="K73" i="46"/>
  <c r="M73" i="46"/>
  <c r="N73" i="46" s="1"/>
  <c r="M75" i="46"/>
  <c r="N75" i="46" s="1"/>
  <c r="K75" i="46"/>
  <c r="M74" i="46"/>
  <c r="N74" i="46" s="1"/>
  <c r="K74" i="46"/>
  <c r="K77" i="46"/>
  <c r="J77" i="46" s="1"/>
  <c r="M77" i="46"/>
  <c r="N77" i="46" s="1"/>
  <c r="K76" i="46"/>
  <c r="J76" i="46" s="1"/>
  <c r="M76" i="46"/>
  <c r="N76" i="46" s="1"/>
  <c r="E41" i="46"/>
  <c r="C41" i="46" s="1"/>
  <c r="AB12" i="40"/>
  <c r="F21" i="43"/>
  <c r="C23" i="43" s="1"/>
  <c r="D21" i="43" s="1"/>
  <c r="C48" i="21"/>
  <c r="C49" i="21"/>
  <c r="B3" i="21" s="1"/>
  <c r="B2" i="21" s="1"/>
  <c r="E53" i="21"/>
  <c r="F53" i="21" s="1"/>
  <c r="E52" i="21"/>
  <c r="F52" i="21" s="1"/>
  <c r="I53" i="21"/>
  <c r="J53" i="21" s="1"/>
  <c r="F7" i="36"/>
  <c r="S7" i="36" s="1"/>
  <c r="J70" i="39"/>
  <c r="I72" i="39"/>
  <c r="C7" i="66"/>
  <c r="C6" i="66"/>
  <c r="C8" i="66"/>
  <c r="D26" i="59"/>
  <c r="T26" i="59"/>
  <c r="D18" i="59"/>
  <c r="M20" i="46" s="1"/>
  <c r="C19" i="46" s="1"/>
  <c r="T18" i="59"/>
  <c r="D19" i="12"/>
  <c r="C19" i="12" s="1"/>
  <c r="C16" i="12"/>
  <c r="D22" i="12"/>
  <c r="C22" i="12" s="1"/>
  <c r="C20" i="12" s="1"/>
  <c r="D13" i="11"/>
  <c r="C13" i="11" s="1"/>
  <c r="F26" i="12"/>
  <c r="C27" i="12" s="1"/>
  <c r="D26" i="12" s="1"/>
  <c r="C32" i="12" s="1"/>
  <c r="D30" i="12" s="1"/>
  <c r="F26" i="44"/>
  <c r="C26" i="44" s="1"/>
  <c r="D16" i="6"/>
  <c r="D30" i="6"/>
  <c r="D27" i="6"/>
  <c r="D7" i="66"/>
  <c r="D6" i="66"/>
  <c r="D8" i="66"/>
  <c r="A6" i="51"/>
  <c r="B7" i="63" s="1"/>
  <c r="A6" i="64"/>
  <c r="A20" i="64"/>
  <c r="A20" i="51"/>
  <c r="B15" i="63" s="1"/>
  <c r="N5" i="54"/>
  <c r="B43" i="63" s="1"/>
  <c r="M16" i="1"/>
  <c r="O14" i="1"/>
  <c r="O16" i="1"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Q49" i="44"/>
  <c r="Q55" i="44" s="1"/>
  <c r="Q67" i="44"/>
  <c r="Q58" i="44"/>
  <c r="L52" i="44"/>
  <c r="C17" i="11" l="1"/>
  <c r="C59" i="15"/>
  <c r="Q69" i="44"/>
  <c r="L58" i="44"/>
  <c r="L61" i="44" s="1"/>
  <c r="L47" i="44" s="1"/>
  <c r="S12" i="40"/>
  <c r="AC12" i="40"/>
  <c r="W12" i="40"/>
  <c r="C18" i="11"/>
  <c r="S20" i="6"/>
  <c r="H20" i="6"/>
  <c r="R20" i="6" s="1"/>
  <c r="S26" i="6"/>
  <c r="H26" i="6"/>
  <c r="R26" i="6" s="1"/>
  <c r="S22" i="6"/>
  <c r="H22" i="6"/>
  <c r="R22" i="6" s="1"/>
  <c r="S23" i="6"/>
  <c r="H23" i="6"/>
  <c r="R23" i="6" s="1"/>
  <c r="S21" i="6"/>
  <c r="H21" i="6"/>
  <c r="R21" i="6" s="1"/>
  <c r="S25" i="6"/>
  <c r="H25" i="6"/>
  <c r="R25" i="6" s="1"/>
  <c r="S6" i="1"/>
  <c r="M19" i="6"/>
  <c r="K27" i="6"/>
  <c r="S24" i="6"/>
  <c r="H24" i="6"/>
  <c r="R24" i="6" s="1"/>
  <c r="D73" i="46"/>
  <c r="J73" i="46"/>
  <c r="J71" i="46"/>
  <c r="D71" i="46"/>
  <c r="D74" i="46"/>
  <c r="J74" i="46"/>
  <c r="D72" i="46"/>
  <c r="J72" i="46"/>
  <c r="D70" i="46"/>
  <c r="J70" i="46"/>
  <c r="J75" i="46"/>
  <c r="D75" i="46"/>
  <c r="J69" i="46"/>
  <c r="D69" i="46"/>
  <c r="AA7" i="36"/>
  <c r="R36" i="36" s="1"/>
  <c r="R37" i="36" s="1"/>
  <c r="K70" i="39"/>
  <c r="J72" i="39"/>
  <c r="P14" i="1"/>
  <c r="P16" i="1" s="1"/>
  <c r="C13" i="12" s="1"/>
  <c r="C14" i="12" s="1"/>
  <c r="D31" i="6"/>
  <c r="I6" i="6" s="1"/>
  <c r="G3" i="46" s="1"/>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C19" i="44"/>
  <c r="C17" i="15"/>
  <c r="C19" i="11" l="1"/>
  <c r="C20" i="11" s="1"/>
  <c r="C21" i="11" s="1"/>
  <c r="C22" i="11" s="1"/>
  <c r="C23" i="11" s="1"/>
  <c r="B2" i="11" s="1"/>
  <c r="Q59" i="44"/>
  <c r="Q64" i="44" s="1"/>
  <c r="Q68" i="44"/>
  <c r="Q77" i="44" s="1"/>
  <c r="S16" i="1"/>
  <c r="T6" i="1" s="1"/>
  <c r="M27" i="6"/>
  <c r="I19" i="6"/>
  <c r="Y11" i="46"/>
  <c r="Y13" i="46" s="1"/>
  <c r="F101" i="46"/>
  <c r="I101" i="46"/>
  <c r="AD11" i="46"/>
  <c r="AD13" i="46" s="1"/>
  <c r="B113" i="46"/>
  <c r="E101" i="46"/>
  <c r="AG11" i="46"/>
  <c r="AG13" i="46" s="1"/>
  <c r="AI11" i="46"/>
  <c r="AI13" i="46" s="1"/>
  <c r="H22" i="46"/>
  <c r="J22" i="46"/>
  <c r="AC11" i="46"/>
  <c r="AC13" i="46" s="1"/>
  <c r="J101" i="46"/>
  <c r="F22" i="46"/>
  <c r="E22" i="46"/>
  <c r="AA11" i="46"/>
  <c r="AA13" i="46" s="1"/>
  <c r="G22" i="46"/>
  <c r="N101" i="46"/>
  <c r="G101" i="46"/>
  <c r="L101" i="46"/>
  <c r="K101" i="46"/>
  <c r="AH11" i="46"/>
  <c r="AH13" i="46" s="1"/>
  <c r="AE11" i="46"/>
  <c r="AE13" i="46" s="1"/>
  <c r="AB11" i="46"/>
  <c r="AB13" i="46" s="1"/>
  <c r="H101" i="46"/>
  <c r="D101" i="46"/>
  <c r="M101" i="46"/>
  <c r="AJ11" i="46"/>
  <c r="AJ13" i="46" s="1"/>
  <c r="C101" i="46"/>
  <c r="N104" i="45"/>
  <c r="Z7" i="46"/>
  <c r="Z11" i="46"/>
  <c r="Z13" i="46" s="1"/>
  <c r="AF11" i="46"/>
  <c r="AF13" i="46" s="1"/>
  <c r="E69" i="46"/>
  <c r="B67" i="46" s="1"/>
  <c r="C24" i="46" s="1"/>
  <c r="C17" i="12"/>
  <c r="C18" i="12" s="1"/>
  <c r="C23" i="12" s="1"/>
  <c r="C35" i="12" s="1"/>
  <c r="C33" i="12" s="1"/>
  <c r="K72" i="39"/>
  <c r="L70" i="39"/>
  <c r="I5" i="6"/>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D19" i="9"/>
  <c r="L44" i="9" l="1"/>
  <c r="B4" i="11"/>
  <c r="B5" i="11"/>
  <c r="B3" i="11"/>
  <c r="T9" i="1"/>
  <c r="T13" i="1"/>
  <c r="T12" i="1"/>
  <c r="T8" i="1"/>
  <c r="T11" i="1"/>
  <c r="T10" i="1"/>
  <c r="T7" i="1"/>
  <c r="H19" i="6"/>
  <c r="S19" i="6"/>
  <c r="S27" i="6" s="1"/>
  <c r="I27" i="6"/>
  <c r="B115" i="46"/>
  <c r="C115" i="46" s="1"/>
  <c r="D118" i="46"/>
  <c r="E118" i="46" s="1"/>
  <c r="F118" i="46" s="1"/>
  <c r="B117" i="46"/>
  <c r="C117" i="46" s="1"/>
  <c r="I118" i="46"/>
  <c r="J118" i="46" s="1"/>
  <c r="K118" i="46" s="1"/>
  <c r="L118" i="46" s="1"/>
  <c r="M118" i="46" s="1"/>
  <c r="G118" i="46"/>
  <c r="H118" i="46" s="1"/>
  <c r="D117" i="46"/>
  <c r="E117" i="46" s="1"/>
  <c r="F117" i="46" s="1"/>
  <c r="G117" i="46" s="1"/>
  <c r="H117" i="46" s="1"/>
  <c r="I115" i="46"/>
  <c r="J115" i="46" s="1"/>
  <c r="K115" i="46" s="1"/>
  <c r="L115" i="46" s="1"/>
  <c r="M115" i="46" s="1"/>
  <c r="B116" i="46"/>
  <c r="C116" i="46" s="1"/>
  <c r="I117" i="46"/>
  <c r="J117" i="46" s="1"/>
  <c r="K117" i="46" s="1"/>
  <c r="L117" i="46" s="1"/>
  <c r="M117" i="46" s="1"/>
  <c r="I116" i="46"/>
  <c r="J116" i="46" s="1"/>
  <c r="K116" i="46" s="1"/>
  <c r="L116" i="46" s="1"/>
  <c r="M116" i="46" s="1"/>
  <c r="D116" i="46"/>
  <c r="E116" i="46" s="1"/>
  <c r="F116" i="46" s="1"/>
  <c r="G116" i="46" s="1"/>
  <c r="H116" i="46" s="1"/>
  <c r="D115" i="46"/>
  <c r="E115" i="46" s="1"/>
  <c r="F115" i="46" s="1"/>
  <c r="G115" i="46" s="1"/>
  <c r="H115" i="46" s="1"/>
  <c r="B118" i="46"/>
  <c r="C118" i="46" s="1"/>
  <c r="D106" i="46"/>
  <c r="D105" i="46"/>
  <c r="D107" i="46"/>
  <c r="D102" i="46"/>
  <c r="D104" i="46"/>
  <c r="D103" i="46"/>
  <c r="D109" i="46"/>
  <c r="N105" i="46"/>
  <c r="N107" i="46"/>
  <c r="N106" i="46"/>
  <c r="N104" i="46"/>
  <c r="N109" i="46"/>
  <c r="N102" i="46"/>
  <c r="N103" i="46"/>
  <c r="M107" i="46"/>
  <c r="M103" i="46"/>
  <c r="M109" i="46"/>
  <c r="M104" i="46"/>
  <c r="M102" i="46"/>
  <c r="M106" i="46"/>
  <c r="M105" i="46"/>
  <c r="G102" i="46"/>
  <c r="G109" i="46"/>
  <c r="G107" i="46"/>
  <c r="G103" i="46"/>
  <c r="G105" i="46"/>
  <c r="G106" i="46"/>
  <c r="G104" i="46"/>
  <c r="E104" i="46"/>
  <c r="E102" i="46"/>
  <c r="E105" i="46"/>
  <c r="E109" i="46"/>
  <c r="E103" i="46"/>
  <c r="E106" i="46"/>
  <c r="E107" i="46"/>
  <c r="F106" i="46"/>
  <c r="F105" i="46"/>
  <c r="F109" i="46"/>
  <c r="F107" i="46"/>
  <c r="F102" i="46"/>
  <c r="F103" i="46"/>
  <c r="F104" i="46"/>
  <c r="L104" i="46"/>
  <c r="L103" i="46"/>
  <c r="L105" i="46"/>
  <c r="L107" i="46"/>
  <c r="L102" i="46"/>
  <c r="L109" i="46"/>
  <c r="L106" i="46"/>
  <c r="I102" i="46"/>
  <c r="I109" i="46"/>
  <c r="I107" i="46"/>
  <c r="I105" i="46"/>
  <c r="I106" i="46"/>
  <c r="I104" i="46"/>
  <c r="I103" i="46"/>
  <c r="C109" i="46"/>
  <c r="C104" i="46"/>
  <c r="C106" i="46"/>
  <c r="C102" i="46"/>
  <c r="C103" i="46"/>
  <c r="C107" i="46"/>
  <c r="C105" i="46"/>
  <c r="H102" i="46"/>
  <c r="H103" i="46"/>
  <c r="H109" i="46"/>
  <c r="H106" i="46"/>
  <c r="H105" i="46"/>
  <c r="H104" i="46"/>
  <c r="H107" i="46"/>
  <c r="K102" i="46"/>
  <c r="K105" i="46"/>
  <c r="K103" i="46"/>
  <c r="K107" i="46"/>
  <c r="K104" i="46"/>
  <c r="K106" i="46"/>
  <c r="K109" i="46"/>
  <c r="J102" i="46"/>
  <c r="J106" i="46"/>
  <c r="J109" i="46"/>
  <c r="J107" i="46"/>
  <c r="J103" i="46"/>
  <c r="J105" i="46"/>
  <c r="J104" i="46"/>
  <c r="D22" i="46"/>
  <c r="C35" i="46"/>
  <c r="T10" i="46"/>
  <c r="V10" i="46" s="1"/>
  <c r="T15" i="46"/>
  <c r="V15" i="46" s="1"/>
  <c r="C36" i="46"/>
  <c r="T14" i="46"/>
  <c r="V14" i="46" s="1"/>
  <c r="C39" i="46"/>
  <c r="C34" i="46"/>
  <c r="T12" i="46"/>
  <c r="V12" i="46" s="1"/>
  <c r="T11" i="46"/>
  <c r="V11" i="46" s="1"/>
  <c r="T9" i="46"/>
  <c r="V9" i="46" s="1"/>
  <c r="C37" i="46"/>
  <c r="T13" i="46"/>
  <c r="V13" i="46" s="1"/>
  <c r="T16" i="46"/>
  <c r="V16" i="46" s="1"/>
  <c r="T8" i="46"/>
  <c r="V8" i="46" s="1"/>
  <c r="C38" i="46"/>
  <c r="C33" i="46"/>
  <c r="L72" i="39"/>
  <c r="M70" i="39"/>
  <c r="C18" i="43"/>
  <c r="C19" i="43" s="1"/>
  <c r="C25" i="43" s="1"/>
  <c r="C24" i="43" s="1"/>
  <c r="C28" i="12"/>
  <c r="C26" i="12" s="1"/>
  <c r="C31" i="12" s="1"/>
  <c r="C30" i="12" s="1"/>
  <c r="C36" i="12" s="1"/>
  <c r="B2" i="12" s="1"/>
  <c r="L67" i="40"/>
  <c r="M65" i="40"/>
  <c r="K48" i="35"/>
  <c r="L48" i="35" s="1"/>
  <c r="M48" i="35" s="1"/>
  <c r="N48" i="35" s="1"/>
  <c r="O48" i="35" s="1"/>
  <c r="K52" i="37"/>
  <c r="D20" i="9"/>
  <c r="C14" i="15"/>
  <c r="C16" i="44"/>
  <c r="D21" i="9"/>
  <c r="J7" i="35" l="1"/>
  <c r="W7" i="35" s="1"/>
  <c r="T16" i="1"/>
  <c r="C23" i="46"/>
  <c r="C21" i="46" s="1"/>
  <c r="C29" i="46" s="1"/>
  <c r="S3" i="46"/>
  <c r="T3" i="46" s="1"/>
  <c r="V3" i="46" s="1"/>
  <c r="S7" i="46"/>
  <c r="T7" i="46" s="1"/>
  <c r="V7" i="46" s="1"/>
  <c r="S5" i="46"/>
  <c r="T5" i="46" s="1"/>
  <c r="V5" i="46" s="1"/>
  <c r="S6" i="46"/>
  <c r="T6" i="46" s="1"/>
  <c r="V6" i="46" s="1"/>
  <c r="S4" i="46"/>
  <c r="T4" i="46" s="1"/>
  <c r="V4" i="46" s="1"/>
  <c r="S2" i="46"/>
  <c r="T2" i="46" s="1"/>
  <c r="V2" i="46" s="1"/>
  <c r="C17" i="44"/>
  <c r="C20" i="44"/>
  <c r="C18" i="15"/>
  <c r="C15" i="15"/>
  <c r="H27" i="6"/>
  <c r="R19" i="6"/>
  <c r="D113" i="46"/>
  <c r="G33" i="46"/>
  <c r="I33" i="46" s="1"/>
  <c r="E33" i="46"/>
  <c r="G36" i="46"/>
  <c r="I36" i="46" s="1"/>
  <c r="E36" i="46"/>
  <c r="G35" i="46"/>
  <c r="I35" i="46" s="1"/>
  <c r="E35" i="46"/>
  <c r="E37" i="46"/>
  <c r="G37" i="46"/>
  <c r="I37" i="46" s="1"/>
  <c r="G34" i="46"/>
  <c r="I34" i="46" s="1"/>
  <c r="E34" i="46"/>
  <c r="G38" i="46"/>
  <c r="I38" i="46" s="1"/>
  <c r="E38" i="46"/>
  <c r="E39" i="46"/>
  <c r="G39" i="46"/>
  <c r="I39" i="46" s="1"/>
  <c r="N70" i="39"/>
  <c r="N72" i="39" s="1"/>
  <c r="M72" i="39"/>
  <c r="B5" i="12"/>
  <c r="B4" i="12"/>
  <c r="B3" i="12"/>
  <c r="C22" i="43"/>
  <c r="C21" i="43" s="1"/>
  <c r="C28" i="43" s="1"/>
  <c r="C30" i="43" s="1"/>
  <c r="C32" i="43" s="1"/>
  <c r="B2" i="43" s="1"/>
  <c r="AC7" i="35"/>
  <c r="V38" i="35" s="1"/>
  <c r="I38" i="35" s="1"/>
  <c r="N65" i="40"/>
  <c r="N67" i="40" s="1"/>
  <c r="M67" i="40"/>
  <c r="L52" i="37"/>
  <c r="F7" i="35"/>
  <c r="H7" i="35"/>
  <c r="C30" i="46" l="1"/>
  <c r="E30" i="46" s="1"/>
  <c r="C27" i="46" s="1"/>
  <c r="C19" i="15"/>
  <c r="C20" i="15" s="1"/>
  <c r="C26" i="15" s="1"/>
  <c r="E29" i="46"/>
  <c r="C21" i="44"/>
  <c r="C22" i="44" s="1"/>
  <c r="C25" i="44" s="1"/>
  <c r="R27" i="6"/>
  <c r="R6" i="1"/>
  <c r="F9" i="39"/>
  <c r="J9" i="39"/>
  <c r="H9" i="39"/>
  <c r="B4" i="43"/>
  <c r="B5" i="43"/>
  <c r="B3" i="43"/>
  <c r="AB7" i="35"/>
  <c r="T38" i="35" s="1"/>
  <c r="G38" i="35" s="1"/>
  <c r="U7" i="35"/>
  <c r="AA7" i="35"/>
  <c r="R38" i="35" s="1"/>
  <c r="S7" i="35"/>
  <c r="M52" i="37"/>
  <c r="J9" i="40"/>
  <c r="F9" i="40"/>
  <c r="H9" i="40"/>
  <c r="I42" i="35"/>
  <c r="J42" i="35" s="1"/>
  <c r="M21" i="15"/>
  <c r="F7" i="67"/>
  <c r="F37" i="44"/>
  <c r="F35" i="15"/>
  <c r="M23" i="44"/>
  <c r="C21" i="9" l="1"/>
  <c r="C36" i="44"/>
  <c r="C34" i="15"/>
  <c r="F62" i="15"/>
  <c r="C61" i="15" s="1"/>
  <c r="J20" i="15"/>
  <c r="J22" i="44"/>
  <c r="R16" i="1"/>
  <c r="E4" i="67"/>
  <c r="C26" i="46"/>
  <c r="B2" i="46" s="1"/>
  <c r="C28" i="44"/>
  <c r="C31" i="44" s="1"/>
  <c r="C23" i="15"/>
  <c r="C29" i="15" s="1"/>
  <c r="AC9" i="39"/>
  <c r="V49" i="39" s="1"/>
  <c r="I49" i="39" s="1"/>
  <c r="W9" i="39"/>
  <c r="AB9" i="39"/>
  <c r="T49" i="39" s="1"/>
  <c r="G49" i="39" s="1"/>
  <c r="U9" i="39"/>
  <c r="AA9" i="39"/>
  <c r="R49" i="39" s="1"/>
  <c r="S9" i="39"/>
  <c r="S9" i="40"/>
  <c r="AA9" i="40"/>
  <c r="R44" i="40" s="1"/>
  <c r="U9" i="40"/>
  <c r="AB9" i="40"/>
  <c r="T44" i="40" s="1"/>
  <c r="G44" i="40" s="1"/>
  <c r="W9" i="40"/>
  <c r="AC9" i="40"/>
  <c r="V44" i="40" s="1"/>
  <c r="I44" i="40" s="1"/>
  <c r="N52" i="37"/>
  <c r="O52" i="37" s="1"/>
  <c r="R39" i="35"/>
  <c r="E38" i="35"/>
  <c r="G42" i="35"/>
  <c r="H42" i="35" s="1"/>
  <c r="G43" i="35"/>
  <c r="H43" i="35" s="1"/>
  <c r="C19" i="9"/>
  <c r="E7" i="67"/>
  <c r="B7" i="67"/>
  <c r="F7" i="37" l="1"/>
  <c r="S7" i="37" s="1"/>
  <c r="E3" i="67"/>
  <c r="C35" i="44"/>
  <c r="C33" i="44" s="1"/>
  <c r="J21" i="44"/>
  <c r="J19" i="44" s="1"/>
  <c r="J16" i="44"/>
  <c r="Q51" i="44"/>
  <c r="C15" i="44"/>
  <c r="C38" i="44"/>
  <c r="C36" i="15"/>
  <c r="J59" i="15"/>
  <c r="J60" i="15" s="1"/>
  <c r="Q49" i="15" s="1"/>
  <c r="Q50" i="15"/>
  <c r="C56" i="15"/>
  <c r="C33" i="15"/>
  <c r="C31" i="15" s="1"/>
  <c r="J14" i="15"/>
  <c r="C13" i="15"/>
  <c r="J19" i="15"/>
  <c r="J17" i="15" s="1"/>
  <c r="D22" i="9"/>
  <c r="G19" i="9"/>
  <c r="L43" i="9"/>
  <c r="B2" i="67"/>
  <c r="B4" i="46"/>
  <c r="B3" i="46"/>
  <c r="D4" i="46"/>
  <c r="G54" i="39"/>
  <c r="H54" i="39" s="1"/>
  <c r="G53" i="39"/>
  <c r="H53" i="39" s="1"/>
  <c r="I53" i="39"/>
  <c r="J53" i="39" s="1"/>
  <c r="E49" i="39"/>
  <c r="R50" i="39"/>
  <c r="AA7" i="37"/>
  <c r="R42" i="37" s="1"/>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J35" i="15" l="1"/>
  <c r="C37" i="15"/>
  <c r="C30" i="15" s="1"/>
  <c r="C39" i="15" s="1"/>
  <c r="C55" i="15"/>
  <c r="C64" i="15" s="1"/>
  <c r="Q71" i="15"/>
  <c r="C39" i="44"/>
  <c r="C32" i="44" s="1"/>
  <c r="C42" i="44" s="1"/>
  <c r="Q72" i="44"/>
  <c r="C43" i="44"/>
  <c r="J24" i="44"/>
  <c r="J15" i="44"/>
  <c r="J25" i="44" s="1"/>
  <c r="C60" i="15"/>
  <c r="C58" i="15" s="1"/>
  <c r="C63" i="15"/>
  <c r="J13" i="15"/>
  <c r="J23" i="15" s="1"/>
  <c r="J22" i="15"/>
  <c r="G21" i="9"/>
  <c r="G20" i="9"/>
  <c r="C32" i="9"/>
  <c r="N43" i="9"/>
  <c r="G22" i="9"/>
  <c r="B4" i="67"/>
  <c r="B3" i="67"/>
  <c r="C50" i="39"/>
  <c r="C49" i="39"/>
  <c r="E53" i="39"/>
  <c r="F53" i="39" s="1"/>
  <c r="E54" i="39"/>
  <c r="F54" i="39" s="1"/>
  <c r="I54" i="39"/>
  <c r="J54" i="39" s="1"/>
  <c r="W7" i="37"/>
  <c r="AC7" i="37"/>
  <c r="V42" i="37" s="1"/>
  <c r="I42" i="37" s="1"/>
  <c r="C45" i="40"/>
  <c r="C44" i="40"/>
  <c r="AB7" i="37"/>
  <c r="T42" i="37" s="1"/>
  <c r="G42" i="37" s="1"/>
  <c r="U7" i="37"/>
  <c r="E48" i="40"/>
  <c r="F48" i="40" s="1"/>
  <c r="E49" i="40"/>
  <c r="F49" i="40" s="1"/>
  <c r="E42" i="37"/>
  <c r="R43" i="37"/>
  <c r="L51" i="15"/>
  <c r="J18" i="44" l="1"/>
  <c r="J27" i="44" s="1"/>
  <c r="J16" i="15"/>
  <c r="J25" i="15" s="1"/>
  <c r="Q68" i="15"/>
  <c r="L57" i="15"/>
  <c r="L60" i="15" s="1"/>
  <c r="L46" i="15" s="1"/>
  <c r="C57" i="15"/>
  <c r="C66" i="15" s="1"/>
  <c r="C67" i="15" s="1"/>
  <c r="J39" i="15"/>
  <c r="J40" i="15" s="1"/>
  <c r="Q71" i="44"/>
  <c r="Q70" i="44" s="1"/>
  <c r="C44" i="44"/>
  <c r="C45" i="44" s="1"/>
  <c r="B2" i="44" s="1"/>
  <c r="C40" i="15"/>
  <c r="Q70" i="15"/>
  <c r="Q69" i="15" s="1"/>
  <c r="O38" i="9"/>
  <c r="C35" i="9"/>
  <c r="F42" i="9" s="1"/>
  <c r="C34" i="9"/>
  <c r="O43" i="9"/>
  <c r="C42" i="9"/>
  <c r="C33"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3" i="44" l="1"/>
  <c r="B4" i="44"/>
  <c r="B5" i="44"/>
  <c r="Q57" i="15"/>
  <c r="Q48" i="15"/>
  <c r="Q54" i="15" s="1"/>
  <c r="C43" i="15"/>
  <c r="Q66" i="15"/>
  <c r="B2" i="15"/>
  <c r="B3" i="15" s="1"/>
  <c r="J42" i="15"/>
  <c r="J43" i="15" s="1"/>
  <c r="C70" i="15"/>
  <c r="C46" i="15"/>
  <c r="Q58" i="15"/>
  <c r="Q67" i="15"/>
  <c r="R5" i="54"/>
  <c r="B48" i="63" s="1"/>
  <c r="D63" i="9"/>
  <c r="N68" i="9"/>
  <c r="D14" i="66"/>
  <c r="N38" i="9"/>
  <c r="K28" i="9" s="1"/>
  <c r="D42" i="9"/>
  <c r="Q5" i="54" s="1"/>
  <c r="B47" i="63" s="1"/>
  <c r="E42" i="9"/>
  <c r="P5" i="54" s="1"/>
  <c r="B46" i="63" s="1"/>
  <c r="M38" i="9"/>
  <c r="K27" i="9" s="1"/>
  <c r="K26" i="9"/>
  <c r="K25" i="9"/>
  <c r="B5" i="39"/>
  <c r="B3" i="39"/>
  <c r="B4" i="39"/>
  <c r="B5" i="40"/>
  <c r="B4" i="40"/>
  <c r="B3" i="40"/>
  <c r="Q76" i="15" l="1"/>
  <c r="Q63" i="15"/>
  <c r="D71" i="9"/>
  <c r="D66" i="9" s="1"/>
  <c r="N72" i="9" s="1"/>
  <c r="D77" i="9"/>
  <c r="N75" i="9" s="1"/>
  <c r="C103" i="9"/>
  <c r="C82" i="9"/>
  <c r="C81" i="9" s="1"/>
  <c r="C85" i="9" s="1"/>
  <c r="C86" i="9" s="1"/>
  <c r="D72" i="9" s="1"/>
  <c r="C111" i="9"/>
  <c r="C104" i="9" s="1"/>
  <c r="D70" i="9"/>
  <c r="C90" i="9"/>
  <c r="C96" i="9"/>
  <c r="C91" i="9" s="1"/>
  <c r="F14" i="66"/>
  <c r="B5" i="66"/>
  <c r="E14" i="66"/>
  <c r="C97" i="9" l="1"/>
  <c r="D5" i="66"/>
  <c r="C5" i="66"/>
  <c r="C113" i="9"/>
  <c r="C98" i="9" l="1"/>
  <c r="E98" i="9" s="1"/>
  <c r="E99" i="9" s="1"/>
  <c r="C114" i="9"/>
  <c r="E114" i="9" s="1"/>
  <c r="E115"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<sst xmlns="http://schemas.openxmlformats.org/spreadsheetml/2006/main" count="7025" uniqueCount="3135">
  <si>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</si>
  <si>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</si>
  <si>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</si>
  <si>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</si>
  <si>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</si>
  <si>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</si>
  <si>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</si>
  <si>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</si>
  <si>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</si>
  <si>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</si>
  <si>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</si>
  <si>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</si>
  <si>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</si>
  <si>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</si>
  <si>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</si>
  <si>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</si>
  <si>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</si>
  <si>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</si>
  <si>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</si>
  <si>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</si>
  <si>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</si>
  <si>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</si>
  <si>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</si>
  <si>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</si>
  <si>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</si>
  <si>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</si>
  <si>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</si>
  <si>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</si>
  <si>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</si>
  <si>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</si>
  <si>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</si>
  <si>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</si>
  <si>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</si>
  <si>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</si>
  <si>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</si>
  <si>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</si>
  <si>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</si>
  <si>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</si>
  <si>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</si>
  <si>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</si>
  <si>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</si>
  <si>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</si>
  <si>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</si>
  <si>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</si>
  <si>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</si>
  <si>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</si>
  <si>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</si>
  <si>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</si>
  <si>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</si>
  <si>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</si>
  <si>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</si>
  <si>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</si>
  <si>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</si>
  <si>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</si>
  <si>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</si>
  <si>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</si>
  <si>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</si>
  <si>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</si>
  <si>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</si>
  <si>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</si>
  <si>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</si>
  <si>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</si>
  <si>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</si>
  <si>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</si>
  <si>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</si>
  <si>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</si>
  <si>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</si>
  <si>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</si>
  <si>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</si>
  <si>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</si>
  <si>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</si>
  <si>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</si>
  <si>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</si>
  <si>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</si>
  <si>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</si>
  <si>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</si>
  <si>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</si>
  <si>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</si>
  <si>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</si>
  <si>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</si>
  <si>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</si>
  <si>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</si>
  <si>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</si>
  <si>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</si>
  <si>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</si>
  <si>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</si>
  <si>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</si>
  <si>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</si>
  <si>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</si>
  <si>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</si>
  <si>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</si>
  <si>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</si>
  <si>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</si>
  <si>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</si>
  <si>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</si>
  <si>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</si>
  <si>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</si>
  <si>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</si>
  <si>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</si>
  <si>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</si>
  <si>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</si>
  <si>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</si>
  <si>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</si>
  <si>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</si>
  <si>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</si>
  <si>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</si>
  <si>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</si>
  <si>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</si>
  <si>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</si>
  <si>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</si>
  <si>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</si>
  <si>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</si>
  <si>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</si>
  <si>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</si>
  <si>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</si>
  <si>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</si>
  <si>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</si>
  <si>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</si>
  <si>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</si>
  <si>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</si>
  <si>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</si>
  <si>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</si>
  <si>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</si>
  <si>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</si>
  <si>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</si>
  <si>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</si>
  <si>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</si>
  <si>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</si>
  <si>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</si>
  <si>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</si>
  <si>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</si>
  <si>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</si>
  <si>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</si>
  <si>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</si>
  <si>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</si>
  <si>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</si>
  <si>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</si>
  <si>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</si>
  <si>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</si>
  <si>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</si>
  <si>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</si>
  <si>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</si>
  <si>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</si>
  <si>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</si>
  <si>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</si>
  <si>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</si>
  <si>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</si>
  <si>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</si>
  <si>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</si>
  <si>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</si>
  <si>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</si>
  <si>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</si>
  <si>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</si>
  <si>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</si>
  <si>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</si>
  <si>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</si>
  <si>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</si>
  <si>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</si>
  <si>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</si>
  <si>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</si>
  <si>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</si>
  <si>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</si>
  <si>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</si>
  <si>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</si>
  <si>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</si>
  <si>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</si>
  <si>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</si>
  <si>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</si>
  <si>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</si>
  <si>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</si>
  <si>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</si>
  <si>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</si>
  <si>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</si>
  <si>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</si>
  <si>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</si>
  <si>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</si>
  <si>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</si>
  <si>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</si>
  <si>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</si>
  <si>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</si>
  <si>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</si>
  <si>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</si>
  <si>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</si>
  <si>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</si>
  <si>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</si>
  <si>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</si>
  <si>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</si>
  <si>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</si>
  <si>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</si>
  <si>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</si>
  <si>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</si>
  <si>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</si>
  <si>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</si>
  <si>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</si>
  <si>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</si>
  <si>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</si>
  <si>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</si>
  <si>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</si>
  <si>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</si>
  <si>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</si>
  <si>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</si>
  <si>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</si>
  <si>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</si>
  <si>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</si>
  <si>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</si>
  <si>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</si>
  <si>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</si>
  <si>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</si>
  <si>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</si>
  <si>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</si>
  <si>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</si>
  <si>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</si>
  <si>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</si>
  <si>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</si>
  <si>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</si>
  <si>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</si>
  <si>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</si>
  <si>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</si>
  <si>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</si>
  <si>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</si>
  <si>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</si>
  <si>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</si>
  <si>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</si>
  <si>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</si>
  <si>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</si>
  <si>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</si>
  <si>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</si>
  <si>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</si>
  <si>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</si>
  <si>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</si>
  <si>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</si>
  <si>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</si>
  <si>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</si>
  <si>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</si>
  <si>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</si>
  <si>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</si>
  <si>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</si>
  <si>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</si>
  <si>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</si>
  <si>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</si>
  <si>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</si>
  <si>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</si>
  <si>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</si>
  <si>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</si>
  <si>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</si>
  <si>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</si>
  <si>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</si>
  <si>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</si>
  <si>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</si>
  <si>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</si>
  <si>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</si>
  <si>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</si>
  <si>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</si>
  <si>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</si>
  <si>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</si>
  <si>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</si>
  <si>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</si>
  <si>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</si>
  <si>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</si>
  <si>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</si>
  <si>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</si>
  <si>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</si>
  <si>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</si>
  <si>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</si>
  <si>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</si>
  <si>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</si>
  <si>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</si>
  <si>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</si>
  <si>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</si>
  <si>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</si>
  <si>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</si>
  <si>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</si>
  <si>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</si>
  <si>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</si>
  <si>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</si>
  <si>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</si>
  <si>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</si>
  <si>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</si>
  <si>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</si>
  <si>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</si>
  <si>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</si>
  <si>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</si>
  <si>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</si>
  <si>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</si>
  <si>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</si>
  <si>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</si>
  <si>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</si>
  <si>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</si>
  <si>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</si>
  <si>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</si>
  <si>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</si>
  <si>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</si>
  <si>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</si>
  <si>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</si>
  <si>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</si>
  <si>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</si>
  <si>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</si>
  <si>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</si>
  <si>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</si>
  <si>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</si>
  <si>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</si>
  <si>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</si>
  <si>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</si>
  <si>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</si>
  <si>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</si>
  <si>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</si>
  <si>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</si>
  <si>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</si>
  <si>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</si>
  <si>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</si>
  <si>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</si>
  <si>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</si>
  <si>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</si>
  <si>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</si>
  <si>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</si>
  <si>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</si>
  <si>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</si>
  <si>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</si>
  <si>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</si>
  <si>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</si>
  <si>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</si>
  <si>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</si>
  <si>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</si>
  <si>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</si>
  <si>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</si>
  <si>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</si>
  <si>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</si>
  <si>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</si>
  <si>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</si>
  <si>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</si>
  <si>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</si>
  <si>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</si>
  <si>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</si>
  <si>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</si>
  <si>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</si>
  <si>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</si>
  <si>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</si>
  <si>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</si>
  <si>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</si>
  <si>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</si>
  <si>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</si>
  <si>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</si>
  <si>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</si>
  <si>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</si>
  <si>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</si>
  <si>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</si>
  <si>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</si>
  <si>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</si>
  <si>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</si>
  <si>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</si>
  <si>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</si>
  <si>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</si>
  <si>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</si>
  <si>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</si>
  <si>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</si>
  <si>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</si>
  <si>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</si>
  <si>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</si>
  <si>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</si>
  <si>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</si>
  <si>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</si>
  <si>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</si>
  <si>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</si>
  <si>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</si>
  <si>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</si>
  <si>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</si>
  <si>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</si>
  <si>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</si>
  <si>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</si>
  <si>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</si>
  <si>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</si>
  <si>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</si>
  <si>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</si>
  <si>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</si>
  <si>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</si>
  <si>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</si>
  <si>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</si>
  <si>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</si>
  <si>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</si>
  <si>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</si>
  <si>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</si>
  <si>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</si>
  <si>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</si>
  <si>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</si>
  <si>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</si>
  <si>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</si>
  <si>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</si>
  <si>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</si>
  <si>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</si>
  <si>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</si>
  <si>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</si>
  <si>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</si>
  <si>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</si>
  <si>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</si>
  <si>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</si>
  <si>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</si>
  <si>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</si>
  <si>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</si>
  <si>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</si>
  <si>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</si>
  <si>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</si>
  <si>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</si>
  <si>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</si>
  <si>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</si>
  <si>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</si>
  <si>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</si>
  <si>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</si>
  <si>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</si>
  <si>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</si>
  <si>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</si>
  <si>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</si>
  <si>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</si>
  <si>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</si>
  <si>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</si>
  <si>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</si>
  <si>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</si>
  <si>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</si>
  <si>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</si>
  <si>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</si>
  <si>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</si>
  <si>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</si>
  <si>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</si>
  <si>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</si>
  <si>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</si>
  <si>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</si>
  <si>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</si>
  <si>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</si>
  <si>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</si>
  <si>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</si>
  <si>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</si>
  <si>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</si>
  <si>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</si>
  <si>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</si>
  <si>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</si>
  <si>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</si>
  <si>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</si>
  <si>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</si>
  <si>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</si>
  <si>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</si>
  <si>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</si>
  <si>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</si>
  <si>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</si>
  <si>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</si>
  <si>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</si>
  <si>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</si>
  <si>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</si>
  <si>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</si>
  <si>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</si>
  <si>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</si>
  <si>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</si>
  <si>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</si>
  <si>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</si>
  <si>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</si>
  <si>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</si>
  <si>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</si>
  <si>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</si>
  <si>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</si>
  <si>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</si>
  <si>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</si>
  <si>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</si>
  <si>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</si>
  <si>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</si>
  <si>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</si>
  <si>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</si>
  <si>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</si>
  <si>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</si>
  <si>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</si>
  <si>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</si>
  <si>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</si>
  <si>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</si>
  <si>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</si>
  <si>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</si>
  <si>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</si>
  <si>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</si>
  <si>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</si>
  <si>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</si>
  <si>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</si>
  <si>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</si>
  <si>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</si>
  <si>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</si>
  <si>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</si>
  <si>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</si>
  <si>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</si>
  <si>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</si>
  <si>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</si>
  <si>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</si>
  <si>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</si>
  <si>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</si>
  <si>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</si>
  <si>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</si>
  <si>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</si>
  <si>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</si>
  <si>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</si>
  <si>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</si>
  <si>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</si>
  <si>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</si>
  <si>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</si>
  <si>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</si>
  <si>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</si>
  <si>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</si>
  <si>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</si>
  <si>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</si>
  <si>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</si>
  <si>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</si>
  <si>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</si>
  <si>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</si>
  <si>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</si>
  <si>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</si>
  <si>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</si>
  <si>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</si>
  <si>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</si>
  <si>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</si>
  <si>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</si>
  <si>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</si>
  <si>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</si>
  <si>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</si>
  <si>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</si>
  <si>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</si>
  <si>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</si>
  <si>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</si>
  <si>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</si>
  <si>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</si>
  <si>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</si>
  <si>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</si>
  <si>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</si>
  <si>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</si>
  <si>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</si>
  <si>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</si>
  <si>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</si>
  <si>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</si>
  <si>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</si>
  <si>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</si>
  <si>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</si>
  <si>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</si>
  <si>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</si>
  <si>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</si>
  <si>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</si>
  <si>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</si>
  <si>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</si>
  <si>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</si>
  <si>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</si>
  <si>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</si>
  <si>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</si>
  <si>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</si>
  <si>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</si>
  <si>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</si>
  <si>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</si>
  <si>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</si>
  <si>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</si>
  <si>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</si>
  <si>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</si>
  <si>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</si>
  <si>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</si>
  <si>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</si>
  <si>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</si>
  <si>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</si>
  <si>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</si>
  <si>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</si>
  <si>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</si>
  <si>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</si>
  <si>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</si>
  <si>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</si>
  <si>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</si>
  <si>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</si>
  <si>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</si>
  <si>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</si>
  <si>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</si>
  <si>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</si>
  <si>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</si>
  <si>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</si>
  <si>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</si>
  <si>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</si>
  <si>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</si>
  <si>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</si>
  <si>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</si>
  <si>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</si>
  <si>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</si>
  <si>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</si>
  <si>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</si>
  <si>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</si>
  <si>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</si>
  <si>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</si>
  <si>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</si>
  <si>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</si>
  <si>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</si>
  <si>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</si>
  <si>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</si>
  <si>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</si>
  <si>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</si>
  <si>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</si>
  <si>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</si>
  <si>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</si>
  <si>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</si>
  <si>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</si>
  <si>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</si>
  <si>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</si>
  <si>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</si>
  <si>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</si>
  <si>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</si>
  <si>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</si>
  <si>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</si>
  <si>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</si>
  <si>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</si>
  <si>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</si>
  <si>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</si>
  <si>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</si>
  <si>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</si>
  <si>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</si>
  <si>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</si>
  <si>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</si>
  <si>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</si>
  <si>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</si>
  <si>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</si>
  <si>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</si>
  <si>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</si>
  <si>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</si>
  <si>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</si>
  <si>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</si>
  <si>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</si>
  <si>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</si>
  <si>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</si>
  <si>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</si>
  <si>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</si>
  <si>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</si>
  <si>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</si>
  <si>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</si>
  <si>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</si>
  <si>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</si>
  <si>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</si>
  <si>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</si>
  <si>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</si>
  <si>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</si>
  <si>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</si>
  <si>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</si>
  <si>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</si>
  <si>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</si>
  <si>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</si>
  <si>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</si>
  <si>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</si>
  <si>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</si>
  <si>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</si>
  <si>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</si>
  <si>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</si>
  <si>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</si>
  <si>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</si>
  <si>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</si>
  <si>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</si>
  <si>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</si>
  <si>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</si>
  <si>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</si>
  <si>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</si>
  <si>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</si>
  <si>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</si>
  <si>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</si>
  <si>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</si>
  <si>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</si>
  <si>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</si>
  <si>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</si>
  <si>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</si>
  <si>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</si>
  <si>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</si>
  <si>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</si>
  <si>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</si>
  <si>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</si>
  <si>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</si>
  <si>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</si>
  <si>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</si>
  <si>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</si>
  <si>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</si>
  <si>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</si>
  <si>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</si>
  <si>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</si>
  <si>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</si>
  <si>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</si>
  <si>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</si>
  <si>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</si>
  <si>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</si>
  <si>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</si>
  <si>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</si>
  <si>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</si>
  <si>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</si>
  <si>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</si>
  <si>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</si>
  <si>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</si>
  <si>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</si>
  <si>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</si>
  <si>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</si>
  <si>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</si>
  <si>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</si>
  <si>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</si>
  <si>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</si>
  <si>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</si>
  <si>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</si>
  <si>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</si>
  <si>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</si>
  <si>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</si>
  <si>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</si>
  <si>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</si>
  <si>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</si>
  <si>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</si>
  <si>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</si>
  <si>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</si>
  <si>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</si>
  <si>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</si>
  <si>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</si>
  <si>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</si>
  <si>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</si>
  <si>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</si>
  <si>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</si>
  <si>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</si>
  <si>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</si>
  <si>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</si>
  <si>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</si>
  <si>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</si>
  <si>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</si>
  <si>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</si>
  <si>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</si>
  <si>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</si>
  <si>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</si>
  <si>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</si>
  <si>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</si>
  <si>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</si>
  <si>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</si>
  <si>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</si>
  <si>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</si>
  <si>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</si>
  <si>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</si>
  <si>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</si>
  <si>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</si>
  <si>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</si>
  <si>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</si>
  <si>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</si>
  <si>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</si>
  <si>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</si>
  <si>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</si>
  <si>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</si>
  <si>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</si>
  <si>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</si>
  <si>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</si>
  <si>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</si>
  <si>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</si>
  <si>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</si>
  <si>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</si>
  <si>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</si>
  <si>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</si>
  <si>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</si>
  <si>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</si>
  <si>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</si>
  <si>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</si>
  <si>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</si>
  <si>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</si>
  <si>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</si>
  <si>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</si>
  <si>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</si>
  <si>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</si>
  <si>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</si>
  <si>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</si>
  <si>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</si>
  <si>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</si>
  <si>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</si>
  <si>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</si>
  <si>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</si>
  <si>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</si>
  <si>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</si>
  <si>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</si>
  <si>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</si>
  <si>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</si>
  <si>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</si>
  <si>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</si>
  <si>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</si>
  <si>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</si>
  <si>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</si>
  <si>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</si>
  <si>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</si>
  <si>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</si>
  <si>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</si>
  <si>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</si>
  <si>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</si>
  <si>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</si>
  <si>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</si>
  <si>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</si>
  <si>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</si>
  <si>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</si>
  <si>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</si>
  <si>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</si>
  <si>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</si>
  <si>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</si>
  <si>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</si>
  <si>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</si>
  <si>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</si>
  <si>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</si>
  <si>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</si>
  <si>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</si>
  <si>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</si>
  <si>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</si>
  <si>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</si>
  <si>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</si>
  <si>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</si>
  <si>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</si>
  <si>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</si>
  <si>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</si>
  <si>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</si>
  <si>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</si>
  <si>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</si>
  <si>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</si>
  <si>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</si>
  <si>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</si>
  <si>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</si>
  <si>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</si>
  <si>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</si>
  <si>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</si>
  <si>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</si>
  <si>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</si>
  <si>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</si>
  <si>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</si>
  <si>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</si>
  <si>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</si>
  <si>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</si>
  <si>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</si>
  <si>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</si>
  <si>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</si>
  <si>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</si>
  <si>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</si>
  <si>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</si>
  <si>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</si>
  <si>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</si>
  <si>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</si>
  <si>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</si>
  <si>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</si>
  <si>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</si>
  <si>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</si>
  <si>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</si>
  <si>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</si>
  <si>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</si>
  <si>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</si>
  <si>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</si>
  <si>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</si>
  <si>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</si>
  <si>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</si>
  <si>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</si>
  <si>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</si>
  <si>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</si>
  <si>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</si>
  <si>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</si>
  <si>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</si>
  <si>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</si>
  <si>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</si>
  <si>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</si>
  <si>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</si>
  <si>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</si>
  <si>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</si>
  <si>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</si>
  <si>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</si>
  <si>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</si>
  <si>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</si>
  <si>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</si>
  <si>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</si>
  <si>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</si>
  <si>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</si>
  <si>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</si>
  <si>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</si>
  <si>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</si>
  <si>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</si>
  <si>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</si>
  <si>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</si>
  <si>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</si>
  <si>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</si>
  <si>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</si>
  <si>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</si>
  <si>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</si>
  <si>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</si>
  <si>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</si>
  <si>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</si>
  <si>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</si>
  <si>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</si>
  <si>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</si>
  <si>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</si>
  <si>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</si>
  <si>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</si>
  <si>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</si>
  <si>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</si>
  <si>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</si>
  <si>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</si>
  <si>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</si>
  <si>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</si>
  <si>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</si>
  <si>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</si>
  <si>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</si>
  <si>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</si>
  <si>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</si>
  <si>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</si>
  <si>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</si>
  <si>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</si>
  <si>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</si>
  <si>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</si>
  <si>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</si>
  <si>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</si>
  <si>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</si>
  <si>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</si>
  <si>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</si>
  <si>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</si>
  <si>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</si>
  <si>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</si>
  <si>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</si>
  <si>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</si>
  <si>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</si>
  <si>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</si>
  <si>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</si>
  <si>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</si>
  <si>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</si>
  <si>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</si>
  <si>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</si>
  <si>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</si>
  <si>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</si>
  <si>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</si>
  <si>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</si>
  <si>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</si>
  <si>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</si>
  <si>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</si>
  <si>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</si>
  <si>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</si>
  <si>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</si>
  <si>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</si>
  <si>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</si>
  <si>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</si>
  <si>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</si>
  <si>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</si>
  <si>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</si>
  <si>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</si>
  <si>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</si>
  <si>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</si>
  <si>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</si>
  <si>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</si>
  <si>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</si>
  <si>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</si>
  <si>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</si>
  <si>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</si>
  <si>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</si>
  <si>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</si>
  <si>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</si>
  <si>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</si>
  <si>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</si>
  <si>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</si>
  <si>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</si>
  <si>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</si>
  <si>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</si>
  <si>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</si>
  <si>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</si>
  <si>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</si>
  <si>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</si>
  <si>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</si>
  <si>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</si>
  <si>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</si>
  <si>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</si>
  <si>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</si>
  <si>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</si>
  <si>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</si>
  <si>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</si>
  <si>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</si>
  <si>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</si>
  <si>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</si>
  <si>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</si>
  <si>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</si>
  <si>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</si>
  <si>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</si>
  <si>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</si>
  <si>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</si>
  <si>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</si>
  <si>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</si>
  <si>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</si>
  <si>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</si>
  <si>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</si>
  <si>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</si>
  <si>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</si>
  <si>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</si>
  <si>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</si>
  <si>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</si>
  <si>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</si>
  <si>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</si>
  <si>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</si>
  <si>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</si>
  <si>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</si>
  <si>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</si>
  <si>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</si>
  <si>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</si>
  <si>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</si>
  <si>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</si>
  <si>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</si>
  <si>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</si>
  <si>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</si>
  <si>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</si>
  <si>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</si>
  <si>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</si>
  <si>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</si>
  <si>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</si>
  <si>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</si>
  <si>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</si>
  <si>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</si>
  <si>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</si>
  <si>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</si>
  <si>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</si>
  <si>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</si>
  <si>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</si>
  <si>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</si>
  <si>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</si>
  <si>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</si>
  <si>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</si>
  <si>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</si>
  <si>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</si>
  <si>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</si>
  <si>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</si>
  <si>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</si>
  <si>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</si>
  <si>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</si>
  <si>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</si>
  <si>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</si>
  <si>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</si>
  <si>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</si>
  <si>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</si>
  <si>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</si>
  <si>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</si>
  <si>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</si>
  <si>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</si>
  <si>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</si>
  <si>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</si>
  <si>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</si>
  <si>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</si>
  <si>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</si>
  <si>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</si>
  <si>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</si>
  <si>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</si>
  <si>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</si>
  <si>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</si>
  <si>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</si>
  <si>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</si>
  <si>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</si>
  <si>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</si>
  <si>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</si>
  <si>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</si>
  <si>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</si>
  <si>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</si>
  <si>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</si>
  <si>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</si>
  <si>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</si>
  <si>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</si>
  <si>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</si>
  <si>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</si>
  <si>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</si>
  <si>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</si>
  <si>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</si>
  <si>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</si>
  <si>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</si>
  <si>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</si>
  <si>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</si>
  <si>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</si>
  <si>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</si>
  <si>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</si>
  <si>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</si>
  <si>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</si>
  <si>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</si>
  <si>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</si>
  <si>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</si>
  <si>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</si>
  <si>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</si>
  <si>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</si>
  <si>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</si>
  <si>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</si>
  <si>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</si>
  <si>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</si>
  <si>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</si>
  <si>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</si>
  <si>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</si>
  <si>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</si>
  <si>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</si>
  <si>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</si>
  <si>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</si>
  <si>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</si>
  <si>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</si>
  <si>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</si>
  <si>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</si>
  <si>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</si>
  <si>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</si>
  <si>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</si>
  <si>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</si>
  <si>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</si>
  <si>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</si>
  <si>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</si>
  <si>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</si>
  <si>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</si>
  <si>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</si>
  <si>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</si>
  <si>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</si>
  <si>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</si>
  <si>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</si>
  <si>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</si>
  <si>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</si>
  <si>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</si>
  <si>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</si>
  <si>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</si>
  <si>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</si>
  <si>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</si>
  <si>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</si>
  <si>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</si>
  <si>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</si>
  <si>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</si>
  <si>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</si>
  <si>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</si>
  <si>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</si>
  <si>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</si>
  <si>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</si>
  <si>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</si>
  <si>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</si>
  <si>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</si>
  <si>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</si>
  <si>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</si>
  <si>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</si>
  <si>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</si>
  <si>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</si>
  <si>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</si>
  <si>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</si>
  <si>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</si>
  <si>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</si>
  <si>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</si>
  <si>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</si>
  <si>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</si>
  <si>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</si>
  <si>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</si>
  <si>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</si>
  <si>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</si>
  <si>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</si>
  <si>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</si>
  <si>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</si>
  <si>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</si>
  <si>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</si>
  <si>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</si>
  <si>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</si>
  <si>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</si>
  <si>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</si>
  <si>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</si>
  <si>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</si>
  <si>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</si>
  <si>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</si>
  <si>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</si>
  <si>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</si>
  <si>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</si>
  <si>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</si>
  <si>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</si>
  <si>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</si>
  <si>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</si>
  <si>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</si>
  <si>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</si>
  <si>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</si>
  <si>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</si>
  <si>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</si>
  <si>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</si>
  <si>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</si>
  <si>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</si>
  <si>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</si>
  <si>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</si>
  <si>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</si>
  <si>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</si>
  <si>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</si>
  <si>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</si>
  <si>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</si>
  <si>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</si>
  <si>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</si>
  <si>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</si>
  <si>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</si>
  <si>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</si>
  <si>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</si>
  <si>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</si>
  <si>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</si>
  <si>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</si>
  <si>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</si>
  <si>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</si>
  <si>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</si>
  <si>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</si>
  <si>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</si>
  <si>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</si>
  <si>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</si>
  <si>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</si>
  <si>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</si>
  <si>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</si>
  <si>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</si>
  <si>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</si>
  <si>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</si>
  <si>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</si>
  <si>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</si>
  <si>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</si>
  <si>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</si>
  <si>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</si>
  <si>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</si>
  <si>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</si>
  <si>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</si>
  <si>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</si>
  <si>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</si>
  <si>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</si>
  <si>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</si>
  <si>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</si>
  <si>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</si>
  <si>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</si>
  <si>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</si>
  <si>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</si>
  <si>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</si>
  <si>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</si>
  <si>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</si>
  <si>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</si>
  <si>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</si>
  <si>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</si>
  <si>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</si>
  <si>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</si>
  <si>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</si>
  <si>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</si>
  <si>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</si>
  <si>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</si>
  <si>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</si>
  <si>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</si>
  <si>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</si>
  <si>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</si>
  <si>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</si>
  <si>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</si>
  <si>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</si>
  <si>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</si>
  <si>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</si>
  <si>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</si>
  <si>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</si>
  <si>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</si>
  <si>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</si>
  <si>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</si>
  <si>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</si>
  <si>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</si>
  <si>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</si>
  <si>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</si>
  <si>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</si>
  <si>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</si>
  <si>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</si>
  <si>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</si>
  <si>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</si>
  <si>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</si>
  <si>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</si>
  <si>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</si>
  <si>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</si>
  <si>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</si>
  <si>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</si>
  <si>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</si>
  <si>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</si>
  <si>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</si>
  <si>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</si>
  <si>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</si>
  <si>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</si>
  <si>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</si>
  <si>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</si>
  <si>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</si>
  <si>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</si>
  <si>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</si>
  <si>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</si>
  <si>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</si>
  <si>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</si>
  <si>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</si>
  <si>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</si>
  <si>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</si>
  <si>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</si>
  <si>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</si>
  <si>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</si>
  <si>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</si>
  <si>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</si>
  <si>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</si>
  <si>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</si>
  <si>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</si>
  <si>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</si>
  <si>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</si>
  <si>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</si>
  <si>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</si>
  <si>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</si>
  <si>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</si>
  <si>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</si>
  <si>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</si>
  <si>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</si>
  <si>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</si>
  <si>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</si>
  <si>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</si>
  <si>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</si>
  <si>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</si>
  <si>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</si>
  <si>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</si>
  <si>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</si>
  <si>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</si>
  <si>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</si>
  <si>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</si>
  <si>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</si>
  <si>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</si>
  <si>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</si>
  <si>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</si>
  <si>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</si>
  <si>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</si>
  <si>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</si>
  <si>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</si>
  <si>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</si>
  <si>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</si>
  <si>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</si>
  <si>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</si>
  <si>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</si>
  <si>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</si>
  <si>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</si>
  <si>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</si>
  <si>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</si>
  <si>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</si>
  <si>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</si>
  <si>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</si>
  <si>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</si>
  <si>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</si>
  <si>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</si>
  <si>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</si>
  <si>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</si>
  <si>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</si>
  <si>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</si>
  <si>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</si>
  <si>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</si>
  <si>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</si>
  <si>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</si>
  <si>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</si>
  <si>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</si>
  <si>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</si>
  <si>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</si>
  <si>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</si>
  <si>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</si>
  <si>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</si>
  <si>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</si>
  <si>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</si>
  <si>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</si>
  <si>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</si>
  <si>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</si>
  <si>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</si>
  <si>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</si>
  <si>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</si>
  <si>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</si>
  <si>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</si>
  <si>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</si>
  <si>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</si>
  <si>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</si>
  <si>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</si>
  <si>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</si>
  <si>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</si>
  <si>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</si>
  <si>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</si>
  <si>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</si>
  <si>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</si>
  <si>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</si>
  <si>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</si>
  <si>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</si>
  <si>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</si>
  <si>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</si>
  <si>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</si>
  <si>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</si>
  <si>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</si>
  <si>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</si>
  <si>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</si>
  <si>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</si>
  <si>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</si>
  <si>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</si>
  <si>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</si>
  <si>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</si>
  <si>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</si>
  <si>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</si>
  <si>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</si>
  <si>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</si>
  <si>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</si>
  <si>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</si>
  <si>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</si>
  <si>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</si>
  <si>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</si>
  <si>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</si>
  <si>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</si>
  <si>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</si>
  <si>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</si>
  <si>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</si>
  <si>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</si>
  <si>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</si>
  <si>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</si>
  <si>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</si>
  <si>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</si>
  <si>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</si>
  <si>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</si>
  <si>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</si>
  <si>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</si>
  <si>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</si>
  <si>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</si>
  <si>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</si>
  <si>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</si>
  <si>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</si>
  <si>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</si>
  <si>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</si>
  <si>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</si>
  <si>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</si>
  <si>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</si>
  <si>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</si>
  <si>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</si>
  <si>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</si>
  <si>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</si>
  <si>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</si>
  <si>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</si>
  <si>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</si>
  <si>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</si>
  <si>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</si>
  <si>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</si>
  <si>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</si>
  <si>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</si>
  <si>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</si>
  <si>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</si>
  <si>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</si>
  <si>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</si>
  <si>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</si>
  <si>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</si>
  <si>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</si>
  <si>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</si>
  <si>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</si>
  <si>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</si>
  <si>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</si>
  <si>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</si>
  <si>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</si>
  <si>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</si>
  <si>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</si>
  <si>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</si>
  <si>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</si>
  <si>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</si>
  <si>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</si>
  <si>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</si>
  <si>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</si>
  <si>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</si>
  <si>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</si>
  <si>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</si>
  <si>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</si>
  <si>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</si>
  <si>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</si>
  <si>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</si>
  <si>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</si>
  <si>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</si>
  <si>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</si>
  <si>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</si>
  <si>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</si>
  <si>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</si>
  <si>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</si>
  <si>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</si>
  <si>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</si>
  <si>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</si>
  <si>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</si>
  <si>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</si>
  <si>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</si>
  <si>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</si>
  <si>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</si>
  <si>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</si>
  <si>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</si>
  <si>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</si>
  <si>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</si>
  <si>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</si>
  <si>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</si>
  <si>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</si>
  <si>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</si>
  <si>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</si>
  <si>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</si>
  <si>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</si>
  <si>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</si>
  <si>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</si>
  <si>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</si>
  <si>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</si>
  <si>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</si>
  <si>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</si>
  <si>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</si>
  <si>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</si>
  <si>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</si>
  <si>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</si>
  <si>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</si>
  <si>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</si>
  <si>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</si>
  <si>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</si>
  <si>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</si>
  <si>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</si>
  <si>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</si>
  <si>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</si>
  <si>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</si>
  <si>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</si>
  <si>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</si>
  <si>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</si>
  <si>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</si>
  <si>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</si>
  <si>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</si>
  <si>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</si>
  <si>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</si>
  <si>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</si>
  <si>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</si>
  <si>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</si>
  <si>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</si>
  <si>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</si>
  <si>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</si>
  <si>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</si>
  <si>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</si>
  <si>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</si>
  <si>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</si>
  <si>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</si>
  <si>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</si>
  <si>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</si>
  <si>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</si>
  <si>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</si>
  <si>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</si>
  <si>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</si>
  <si>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</si>
  <si>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</si>
  <si>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</si>
  <si>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</si>
  <si>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</si>
  <si>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</si>
  <si>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</si>
  <si>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</si>
  <si>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</si>
  <si>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</si>
  <si>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</si>
  <si>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</si>
  <si>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</si>
  <si>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</si>
  <si>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</si>
  <si>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</si>
  <si>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</si>
  <si>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</si>
  <si>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</si>
  <si>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</si>
  <si>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</si>
  <si>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</si>
  <si>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</si>
  <si>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</si>
  <si>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</si>
  <si>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</si>
  <si>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</si>
  <si>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</si>
  <si>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</si>
  <si>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</si>
  <si>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</si>
  <si>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</si>
  <si>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</si>
  <si>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</si>
  <si>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</si>
  <si>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</si>
  <si>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</si>
  <si>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</si>
  <si>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</si>
  <si>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</si>
  <si>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</si>
  <si>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</si>
  <si>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</si>
  <si>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</si>
  <si>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</si>
  <si>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</si>
  <si>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</si>
  <si>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</si>
  <si>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</si>
  <si>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</si>
  <si>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</si>
  <si>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</si>
  <si>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</si>
  <si>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</si>
  <si>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</si>
  <si>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</si>
  <si>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</si>
  <si>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</si>
  <si>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</si>
  <si>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</si>
  <si>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</si>
  <si>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</si>
  <si>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</si>
  <si>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</si>
  <si>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</si>
  <si>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</si>
  <si>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</si>
  <si>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</si>
  <si>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</si>
  <si>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</si>
  <si>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</si>
  <si>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</si>
  <si>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</si>
  <si>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</si>
  <si>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</si>
  <si>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</si>
  <si>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</si>
  <si>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</si>
  <si>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</si>
  <si>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</si>
  <si>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</si>
  <si>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</si>
  <si>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</si>
  <si>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</si>
  <si>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</si>
  <si>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</si>
  <si>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</si>
  <si>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</si>
  <si>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</si>
  <si>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</si>
  <si>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</si>
  <si>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</si>
  <si>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</si>
  <si>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</si>
  <si>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</si>
  <si>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</si>
  <si>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</si>
  <si>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</si>
  <si>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</si>
  <si>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</si>
  <si>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</si>
  <si>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</si>
  <si>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</si>
  <si>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</si>
  <si>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</si>
  <si>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</si>
  <si>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</si>
  <si>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</si>
  <si>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</si>
  <si>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</si>
  <si>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</si>
  <si>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</si>
  <si>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</si>
  <si>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</si>
  <si>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</si>
  <si>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</si>
  <si>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</si>
  <si>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</si>
  <si>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</si>
  <si>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</si>
  <si>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</si>
  <si>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</si>
  <si>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</si>
  <si>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</si>
  <si>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</si>
  <si>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</si>
  <si>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</si>
  <si>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</si>
  <si>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</si>
  <si>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</si>
  <si>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</si>
  <si>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</si>
  <si>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</si>
  <si>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</si>
  <si>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</si>
  <si>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</si>
  <si>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</si>
  <si>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</si>
  <si>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</si>
  <si>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</si>
  <si>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</si>
  <si>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</si>
  <si>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</si>
  <si>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</si>
  <si>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</si>
  <si>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</si>
  <si>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</si>
  <si>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</si>
  <si>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</si>
  <si>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</si>
  <si>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</si>
  <si>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</si>
  <si>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</si>
  <si>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</si>
  <si>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</si>
  <si>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</si>
  <si>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</si>
  <si>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</si>
  <si>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</si>
  <si>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</si>
  <si>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</si>
  <si>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</si>
  <si>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</si>
  <si>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</si>
  <si>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</si>
  <si>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</si>
  <si>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</si>
  <si>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</si>
  <si>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</si>
  <si>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</si>
  <si>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</si>
  <si>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</si>
  <si>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</si>
  <si>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</si>
  <si>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</si>
  <si>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</si>
  <si>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</si>
  <si>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</si>
  <si>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</si>
  <si>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</si>
  <si>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</si>
  <si>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</si>
  <si>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</si>
  <si>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</si>
  <si>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</si>
  <si>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</si>
  <si>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</si>
  <si>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</si>
  <si>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</si>
  <si>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</si>
  <si>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</si>
  <si>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</si>
  <si>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</si>
  <si>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</si>
  <si>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</si>
  <si>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</si>
  <si>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</si>
  <si>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</si>
  <si>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</si>
  <si>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</si>
  <si>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</si>
  <si>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</si>
  <si>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</si>
  <si>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</si>
  <si>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</si>
  <si>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</si>
  <si>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</si>
  <si>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</si>
  <si>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</si>
  <si>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</si>
  <si>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</si>
  <si>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</si>
  <si>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</si>
  <si>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</si>
  <si>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</si>
  <si>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</si>
  <si>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</si>
  <si>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</si>
  <si>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</si>
  <si>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</si>
  <si>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</si>
  <si>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</si>
  <si>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</si>
  <si>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</si>
  <si>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</si>
  <si>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</si>
  <si>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</si>
  <si>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</si>
  <si>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</si>
  <si>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</si>
  <si>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</si>
  <si>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</si>
  <si>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</si>
  <si>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</si>
  <si>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</si>
  <si>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</si>
  <si>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</si>
  <si>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</si>
  <si>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</si>
  <si>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</si>
  <si>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</si>
  <si>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</si>
  <si>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</si>
  <si>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</si>
  <si>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</si>
  <si>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</si>
  <si>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</si>
  <si>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</si>
  <si>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</si>
  <si>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</si>
  <si>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</si>
  <si>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</si>
  <si>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</si>
  <si>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</si>
  <si>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</si>
  <si>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</si>
  <si>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</si>
  <si>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</si>
  <si>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</si>
  <si>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</si>
  <si>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</si>
  <si>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</si>
  <si>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</si>
  <si>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</si>
  <si>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</si>
  <si>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</si>
  <si>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</si>
  <si>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</si>
  <si>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</si>
  <si>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</si>
  <si>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</si>
  <si>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</si>
  <si>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</si>
  <si>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</si>
  <si>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</si>
  <si>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</si>
  <si>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</si>
  <si>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</si>
  <si>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</si>
  <si>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</si>
  <si>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</si>
  <si>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</si>
  <si>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</si>
  <si>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</si>
  <si>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</si>
  <si>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</si>
  <si>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</si>
  <si>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</si>
  <si>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</si>
  <si>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</si>
  <si>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</si>
  <si>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</si>
  <si>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</si>
  <si>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</si>
  <si>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</si>
  <si>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</si>
  <si>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</si>
  <si>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</si>
  <si>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</si>
  <si>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</si>
  <si>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</si>
  <si>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</si>
  <si>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</si>
  <si>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</si>
  <si>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</si>
  <si>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</si>
  <si>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</si>
  <si>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</si>
  <si>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</si>
  <si>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</si>
  <si>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</si>
  <si>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</si>
  <si>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</si>
  <si>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</si>
  <si>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</si>
  <si>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</si>
  <si>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</si>
  <si>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</si>
  <si>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</si>
  <si>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</si>
  <si>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</si>
  <si>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</si>
  <si>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</si>
  <si>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</si>
  <si>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</si>
  <si>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</si>
  <si>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</si>
  <si>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</si>
  <si>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</si>
  <si>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</si>
  <si>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</si>
  <si>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</si>
  <si>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</si>
  <si>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</si>
  <si>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</si>
  <si>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</si>
  <si>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</si>
  <si>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</si>
  <si>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</si>
  <si>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</si>
  <si>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</si>
  <si>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</si>
  <si>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</si>
  <si>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</si>
  <si>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</si>
  <si>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</si>
  <si>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</si>
  <si>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</si>
  <si>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</si>
  <si>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</si>
  <si>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</si>
  <si>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</si>
  <si>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</si>
  <si>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</si>
  <si>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</si>
  <si>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</si>
  <si>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</si>
  <si>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</si>
  <si>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</si>
  <si>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</si>
  <si>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</si>
  <si>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</si>
  <si>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</si>
  <si>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</si>
  <si>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</si>
  <si>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</si>
  <si>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</si>
  <si>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</si>
  <si>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</si>
  <si>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</si>
  <si>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</si>
  <si>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</si>
  <si>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</si>
  <si>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</si>
  <si>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</si>
  <si>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</si>
  <si>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</si>
  <si>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</si>
  <si>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</si>
  <si>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</si>
  <si>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</si>
  <si>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</si>
  <si>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</si>
  <si>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</si>
  <si>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</si>
  <si>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</si>
  <si>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</si>
  <si>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</si>
  <si>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</si>
  <si>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</si>
  <si>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</si>
  <si>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</si>
  <si>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</si>
  <si>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</si>
  <si>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</si>
  <si>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</si>
  <si>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</si>
  <si>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</si>
  <si>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</si>
  <si>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</si>
  <si>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</si>
  <si>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</si>
  <si>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</si>
  <si>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</si>
  <si>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</si>
  <si>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</si>
  <si>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</si>
  <si>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</si>
  <si>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</si>
  <si>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</si>
  <si>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</si>
  <si>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</si>
  <si>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</si>
  <si>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</si>
  <si>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</si>
  <si>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</si>
  <si>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</si>
  <si>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</si>
  <si>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</si>
  <si>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</si>
  <si>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</si>
  <si>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</si>
  <si>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</si>
  <si>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</si>
  <si>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</si>
  <si>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</si>
  <si>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</si>
  <si>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</si>
  <si>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</si>
  <si>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</si>
  <si>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</si>
  <si>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</si>
  <si>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</si>
  <si>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</si>
  <si>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</si>
  <si>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</si>
  <si>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</si>
  <si>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</si>
  <si>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</si>
  <si>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</si>
  <si>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</si>
  <si>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</si>
  <si>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</si>
  <si>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</si>
  <si>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</si>
  <si>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</si>
  <si>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</si>
  <si>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</si>
  <si>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</si>
  <si>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</si>
  <si>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</si>
  <si>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</si>
  <si>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</si>
  <si>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</si>
  <si>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</si>
  <si>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</si>
  <si>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</si>
  <si>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</si>
  <si>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</si>
  <si>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</si>
  <si>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</si>
  <si>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</si>
  <si>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</si>
  <si>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</si>
  <si>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</si>
  <si>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</si>
  <si>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</si>
  <si>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</si>
  <si>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</si>
  <si>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</si>
  <si>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</si>
  <si>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</si>
  <si>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</si>
  <si>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</si>
  <si>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</si>
  <si>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</si>
  <si>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</si>
  <si>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</si>
  <si>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</si>
  <si>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</si>
  <si>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</si>
  <si>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</si>
  <si>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</si>
  <si>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</si>
  <si>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</si>
  <si>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</si>
  <si>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</si>
  <si>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</si>
  <si>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</si>
  <si>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</si>
  <si>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</si>
  <si>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</si>
  <si>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</si>
  <si>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</si>
  <si>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</si>
  <si>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</si>
  <si>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</si>
  <si>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</si>
  <si>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</si>
  <si>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</si>
  <si>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</si>
  <si>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</si>
  <si>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</si>
  <si>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</si>
  <si>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</si>
  <si>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</si>
  <si>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</si>
  <si>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</si>
  <si>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</si>
  <si>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</si>
  <si>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</si>
  <si>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</si>
  <si>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</si>
  <si>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</si>
  <si>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</si>
  <si>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</si>
  <si>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</si>
  <si>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</si>
  <si>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</si>
  <si>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</si>
  <si>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</si>
  <si>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</si>
  <si>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</si>
  <si>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</si>
  <si>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</si>
  <si>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</si>
  <si>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</si>
  <si>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</si>
  <si>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</si>
  <si>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</si>
  <si>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</si>
  <si>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</si>
  <si>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</si>
  <si>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</si>
  <si>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</si>
  <si>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</si>
  <si>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</si>
  <si>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</si>
  <si>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</si>
  <si>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</si>
  <si>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</si>
  <si>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</si>
  <si>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</si>
  <si>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</si>
  <si>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</si>
  <si>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</si>
  <si>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</si>
  <si>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</si>
  <si>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</si>
  <si>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</si>
  <si>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</si>
  <si>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</si>
  <si>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</si>
  <si>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</si>
  <si>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</si>
  <si>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</si>
  <si>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</si>
  <si>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</si>
  <si>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</si>
  <si>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</si>
  <si>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</si>
  <si>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</si>
  <si>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</si>
  <si>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</si>
  <si>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</si>
  <si>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</si>
  <si>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</si>
  <si>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</si>
  <si>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</si>
  <si>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</si>
  <si>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</si>
  <si>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</si>
  <si>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</si>
  <si>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</si>
  <si>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</si>
  <si>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</si>
  <si>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</si>
  <si>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</si>
  <si>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</si>
  <si>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</si>
  <si>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</si>
  <si>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</si>
  <si>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</si>
  <si>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</si>
  <si>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</si>
  <si>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</si>
  <si>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</si>
  <si>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</si>
  <si>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</si>
  <si>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</si>
  <si>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</si>
  <si>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</si>
  <si>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</si>
  <si>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</si>
  <si>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</si>
  <si>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</si>
  <si>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</si>
  <si>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</si>
  <si>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</si>
  <si>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</si>
  <si>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</si>
  <si>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</si>
  <si>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</si>
  <si>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</si>
  <si>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</si>
  <si>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</si>
  <si>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</si>
  <si>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</si>
  <si>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</si>
  <si>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</si>
  <si>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</si>
  <si>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</si>
  <si>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</si>
  <si>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</si>
  <si>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</si>
  <si>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</si>
  <si>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</si>
  <si>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</si>
  <si>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</si>
  <si>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</si>
  <si>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</si>
  <si>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</si>
  <si>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</si>
  <si>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</si>
  <si>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</si>
  <si>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</si>
  <si>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</si>
  <si>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</si>
  <si>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</si>
  <si>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</si>
  <si>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</si>
  <si>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</si>
  <si>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</si>
  <si>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</si>
  <si>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</si>
  <si>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</si>
  <si>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</si>
  <si>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</si>
  <si>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</si>
  <si>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</si>
  <si>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</si>
  <si>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</si>
  <si>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</si>
  <si>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</si>
  <si>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</si>
  <si>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</si>
  <si>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</si>
  <si>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</si>
  <si>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</si>
  <si>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</si>
  <si>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</si>
  <si>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</si>
  <si>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</si>
  <si>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</si>
  <si>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</si>
  <si>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</si>
  <si>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</si>
  <si>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</si>
  <si>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</si>
  <si>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</si>
  <si>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</si>
  <si>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</si>
  <si>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</si>
  <si>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</si>
  <si>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</si>
  <si>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</si>
  <si>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</si>
  <si>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</si>
  <si>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</si>
  <si>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</si>
  <si>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</si>
  <si>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</si>
  <si>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</si>
  <si>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</si>
  <si>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</si>
  <si>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</si>
  <si>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</si>
  <si>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</si>
  <si>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</si>
  <si>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</si>
  <si>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</si>
  <si>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</si>
  <si>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</si>
  <si>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</si>
  <si>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</si>
  <si>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</si>
  <si>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</si>
  <si>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</si>
  <si>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</si>
  <si>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</si>
  <si>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</si>
  <si>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</si>
  <si>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</si>
  <si>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</si>
  <si>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</si>
  <si>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</si>
  <si>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</si>
  <si>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</si>
  <si>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</si>
  <si>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</si>
  <si>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</si>
  <si>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</si>
  <si>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</si>
  <si>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</si>
  <si>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</si>
  <si>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</si>
  <si>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</si>
  <si>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</si>
  <si>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</si>
  <si>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</si>
  <si>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</si>
  <si>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</si>
  <si>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</si>
  <si>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</si>
  <si>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</si>
  <si>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</si>
  <si>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</si>
  <si>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</si>
  <si>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</si>
  <si>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</si>
  <si>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</si>
  <si>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</si>
  <si>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</si>
  <si>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</si>
  <si>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</si>
  <si>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</si>
  <si>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</si>
  <si>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</si>
  <si>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</si>
  <si>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</si>
  <si>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</si>
  <si>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</si>
  <si>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</si>
  <si>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</si>
  <si>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</si>
  <si>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</si>
  <si>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</si>
  <si>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</si>
  <si>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</si>
  <si>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</si>
  <si>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</si>
  <si>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</si>
  <si>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</si>
  <si>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</si>
  <si>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</si>
  <si>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</si>
  <si>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</si>
  <si>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</si>
  <si>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</si>
  <si>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</si>
  <si>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</si>
  <si>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</si>
  <si>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</si>
  <si>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</si>
  <si>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</si>
  <si>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</si>
  <si>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</si>
  <si>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</si>
  <si>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</si>
  <si>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</si>
  <si>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</si>
  <si>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</si>
  <si>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</si>
  <si>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</si>
  <si>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</si>
  <si>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</si>
  <si>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</si>
  <si>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</si>
  <si>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</si>
  <si>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</si>
  <si>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</si>
  <si>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</si>
  <si>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</si>
  <si>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</si>
  <si>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</si>
  <si>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</si>
  <si>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</si>
  <si>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</si>
  <si>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</si>
  <si>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</si>
  <si>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</si>
  <si>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</si>
  <si>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</si>
  <si>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</si>
  <si>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</si>
  <si>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</si>
  <si>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</si>
  <si>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</si>
  <si>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</si>
  <si>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</si>
  <si>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</si>
  <si>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</si>
  <si>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</si>
  <si>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</si>
  <si>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</si>
  <si>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</si>
  <si>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</si>
  <si>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</si>
  <si>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</si>
  <si>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</si>
  <si>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</si>
  <si>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</si>
  <si>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</si>
  <si>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</si>
  <si>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</si>
  <si>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</si>
  <si>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</si>
  <si>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</si>
  <si>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</si>
  <si>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</si>
  <si>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</si>
  <si>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</si>
  <si>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</si>
  <si>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</si>
  <si>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</si>
  <si>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</si>
  <si>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</si>
  <si>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</si>
  <si>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</si>
  <si>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</si>
  <si>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</si>
  <si>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</si>
  <si>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</si>
  <si>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</si>
  <si>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</si>
  <si>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</si>
  <si>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</si>
  <si>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</si>
  <si>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</si>
  <si>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</si>
  <si>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</si>
  <si>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</si>
  <si>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</si>
  <si>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</si>
  <si>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</si>
  <si>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</si>
  <si>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</si>
  <si>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</si>
  <si>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</si>
  <si>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</si>
  <si>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</si>
  <si>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</si>
  <si>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</si>
  <si>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</si>
  <si>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</si>
  <si>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</si>
  <si>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</si>
  <si>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</si>
  <si>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</si>
  <si>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</si>
  <si>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</si>
  <si>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</si>
  <si>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</si>
  <si>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</si>
  <si>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</si>
  <si>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</si>
  <si>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</si>
  <si>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</si>
  <si>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</si>
  <si>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</si>
  <si>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</si>
  <si>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</si>
  <si>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</si>
  <si>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</si>
  <si>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</si>
  <si>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</si>
  <si>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</si>
  <si>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</si>
  <si>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</si>
  <si>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</si>
  <si>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</si>
  <si>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</si>
  <si>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</si>
  <si>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</si>
  <si>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</si>
  <si>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</si>
  <si>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</si>
  <si>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</si>
  <si>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</si>
  <si>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</si>
  <si>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</si>
  <si>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</si>
  <si>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</si>
  <si>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</si>
  <si>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</si>
  <si>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</si>
  <si>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</si>
  <si>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</si>
  <si>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</si>
  <si>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</si>
  <si>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</si>
  <si>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</si>
  <si>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</si>
  <si>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</si>
  <si>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</si>
  <si>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</si>
  <si>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</si>
  <si>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</si>
  <si>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</si>
  <si>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</si>
  <si>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</si>
  <si>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</si>
  <si>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</si>
  <si>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</si>
  <si>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</si>
  <si>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</si>
  <si>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</si>
  <si>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</si>
  <si>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</si>
  <si>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</si>
  <si>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</si>
  <si>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</si>
  <si>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</si>
  <si>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</si>
  <si>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</si>
  <si>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</si>
  <si>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</si>
  <si>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</si>
  <si>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</si>
  <si>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</si>
  <si>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</si>
  <si>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</si>
  <si>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</si>
  <si>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</si>
  <si>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</si>
  <si>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</si>
  <si>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</si>
  <si>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</si>
  <si>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</si>
  <si>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</si>
  <si>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</si>
  <si>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</si>
  <si>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</si>
  <si>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</si>
  <si>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</si>
  <si>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</si>
  <si>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</si>
  <si>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</si>
  <si>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</si>
  <si>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</si>
  <si>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</si>
  <si>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</si>
  <si>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</si>
  <si>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</si>
  <si>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</si>
  <si>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</si>
  <si>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</si>
  <si>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</si>
  <si>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</si>
  <si>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</si>
  <si>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</si>
  <si>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</si>
  <si>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</si>
  <si>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</si>
  <si>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</si>
  <si>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</si>
  <si>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</si>
  <si>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</si>
  <si>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</si>
  <si>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</si>
  <si>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</si>
  <si>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</si>
  <si>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</si>
  <si>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</si>
  <si>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</si>
  <si>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</si>
  <si>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</si>
  <si>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</si>
  <si>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</si>
  <si>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</si>
  <si>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</si>
  <si>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</si>
  <si>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</si>
  <si>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</si>
  <si>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</si>
  <si>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</si>
  <si>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</si>
  <si>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</si>
  <si>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</si>
  <si>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</si>
  <si>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</si>
  <si>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</si>
  <si>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</si>
  <si>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</si>
  <si>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</si>
  <si>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</si>
  <si>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</si>
  <si>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</si>
  <si>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</si>
  <si>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</si>
  <si>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</si>
  <si>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</si>
  <si>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</si>
  <si>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</si>
  <si>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</si>
  <si>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</si>
  <si>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</si>
  <si>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</si>
  <si>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</si>
  <si>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</si>
  <si>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</si>
  <si>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</si>
  <si>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</si>
  <si>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</si>
  <si>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</si>
  <si>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</si>
  <si>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</si>
  <si>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</si>
  <si>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</si>
  <si>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</si>
  <si>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</si>
  <si>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</si>
  <si>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</si>
  <si>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</si>
  <si>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</si>
  <si>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</si>
  <si>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</si>
  <si>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</si>
  <si>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</si>
  <si>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</si>
  <si>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</si>
  <si>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</si>
  <si>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</si>
  <si>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</si>
  <si>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</si>
  <si>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</si>
  <si>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</si>
  <si>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</si>
  <si>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</si>
  <si>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</si>
  <si>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</si>
  <si>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</si>
  <si>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</si>
  <si>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</si>
  <si>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</si>
  <si>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</si>
  <si>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</si>
  <si>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</si>
  <si>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</si>
  <si>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</si>
  <si>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</si>
  <si>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</si>
  <si>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</si>
  <si>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</si>
  <si>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</si>
  <si>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</si>
  <si>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</si>
  <si>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</si>
  <si>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</si>
  <si>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</si>
  <si>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</si>
  <si>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</si>
  <si>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</si>
  <si>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</si>
  <si>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</si>
  <si>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</si>
  <si>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</si>
  <si>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</si>
  <si>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</si>
  <si>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</si>
  <si>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</si>
  <si>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</si>
  <si>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</si>
  <si>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</si>
  <si>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</si>
  <si>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</si>
  <si>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</si>
  <si>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</si>
  <si>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</si>
  <si>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</si>
  <si>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</si>
  <si>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</si>
  <si>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</si>
  <si>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</si>
  <si>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</si>
  <si>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</si>
  <si>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</si>
  <si>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</si>
  <si>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</si>
  <si>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</si>
  <si>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</si>
  <si>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</si>
  <si>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</si>
  <si>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</si>
  <si>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</si>
  <si>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</si>
  <si>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</si>
  <si>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</si>
  <si>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</si>
  <si>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</si>
  <si>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</si>
  <si>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</si>
  <si>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</si>
  <si>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</si>
  <si>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</si>
  <si>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</si>
  <si>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</si>
  <si>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</si>
  <si>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</si>
  <si>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</si>
  <si>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</si>
  <si>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</si>
  <si>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</si>
  <si>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</si>
  <si>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</si>
  <si>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</si>
  <si>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</si>
  <si>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</si>
  <si>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</si>
  <si>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</si>
  <si>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</si>
  <si>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</si>
  <si>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</si>
  <si>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</si>
  <si>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</si>
  <si>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</si>
  <si>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</si>
  <si>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</si>
  <si>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</si>
  <si>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</si>
  <si>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</si>
  <si>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</si>
  <si>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</si>
  <si>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</si>
  <si>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</si>
  <si>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</si>
  <si>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</si>
  <si>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</si>
  <si>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</si>
  <si>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</si>
  <si>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</si>
  <si>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</si>
  <si>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</si>
  <si>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</si>
  <si>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</si>
  <si>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</si>
  <si>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</si>
  <si>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</si>
  <si>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</si>
  <si>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</si>
  <si>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</si>
  <si>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</si>
  <si>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</si>
  <si>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</si>
  <si>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</si>
  <si>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</si>
  <si>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</si>
  <si>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</si>
  <si>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</si>
  <si>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</si>
  <si>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</si>
  <si>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</si>
  <si>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</si>
  <si>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</si>
  <si>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</si>
  <si>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</si>
  <si>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</si>
  <si>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</si>
  <si>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</si>
  <si>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</si>
  <si>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</si>
  <si>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</si>
  <si>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</si>
  <si>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</si>
  <si>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</si>
  <si>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</si>
  <si>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</si>
  <si>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</si>
  <si>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</si>
  <si>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</si>
  <si>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</si>
  <si>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</si>
  <si>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</si>
  <si>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</si>
  <si>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</si>
  <si>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</si>
  <si>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</si>
  <si>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</si>
  <si>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</si>
  <si>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</si>
  <si>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</si>
  <si>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</si>
  <si>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</si>
  <si>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</si>
  <si>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</si>
  <si>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</si>
  <si>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</si>
  <si>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</si>
  <si>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</si>
  <si>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</si>
  <si>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</si>
  <si>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</si>
  <si>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</si>
  <si>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</si>
  <si>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</si>
  <si>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</si>
  <si>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</si>
  <si>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</si>
  <si>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</si>
  <si>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</si>
  <si>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</si>
  <si>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</si>
  <si>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</si>
  <si>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</si>
  <si>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</si>
  <si>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</si>
  <si>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</si>
  <si>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</si>
  <si>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</si>
  <si>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</si>
  <si>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</si>
  <si>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</si>
  <si>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</si>
  <si>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</si>
  <si>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</si>
  <si>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</si>
  <si>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</si>
  <si>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</si>
  <si>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</si>
  <si>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</si>
  <si>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</si>
  <si>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</si>
  <si>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</si>
  <si>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</si>
  <si>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</si>
  <si>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</si>
  <si>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</si>
  <si>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</si>
  <si>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</si>
  <si>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</si>
  <si>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</si>
  <si>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</si>
  <si>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</si>
  <si>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</si>
  <si>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</si>
  <si>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</si>
  <si>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</si>
  <si>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</si>
  <si>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</si>
  <si>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</si>
  <si>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</si>
  <si>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</si>
  <si>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</si>
  <si>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</si>
  <si>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</si>
  <si>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</si>
  <si>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</si>
  <si>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</si>
  <si>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</si>
  <si>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</si>
  <si>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</si>
  <si>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</si>
  <si>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</si>
  <si>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</si>
  <si>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</si>
  <si>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</si>
  <si>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</si>
  <si>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</si>
  <si>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</si>
  <si>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</si>
  <si>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</si>
  <si>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</si>
  <si>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</si>
  <si>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</si>
  <si>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</si>
  <si>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</si>
  <si>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</si>
  <si>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</si>
  <si>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</si>
  <si>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</si>
  <si>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</si>
  <si>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</si>
  <si>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</si>
  <si>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</si>
  <si>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</si>
  <si>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</si>
  <si>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</si>
  <si>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</si>
  <si>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</si>
  <si>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</si>
  <si>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</si>
  <si>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</si>
  <si>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</si>
  <si>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</si>
  <si>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</si>
  <si>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</si>
  <si>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</si>
  <si>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</si>
  <si>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</si>
  <si>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</si>
  <si>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</si>
  <si>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</si>
  <si>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</si>
  <si>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</si>
  <si>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</si>
  <si>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</si>
  <si>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</si>
  <si>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</si>
  <si>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</si>
  <si>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</si>
  <si>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</si>
  <si>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</si>
  <si>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</si>
  <si>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</si>
  <si>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</si>
  <si>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</si>
  <si>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</si>
  <si>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</si>
  <si>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</si>
  <si>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</si>
  <si>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</si>
  <si>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</si>
  <si>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</si>
  <si>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</si>
  <si>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</si>
  <si>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</si>
  <si>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</si>
  <si>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</si>
  <si>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</si>
  <si>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</si>
  <si>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</si>
  <si>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</si>
  <si>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</si>
  <si>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</si>
  <si>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</si>
  <si>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</si>
  <si>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</si>
  <si>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</si>
  <si>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</si>
  <si>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</si>
  <si>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</si>
  <si>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</si>
  <si>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</si>
  <si>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</si>
  <si>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</si>
  <si>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</si>
  <si>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</si>
  <si>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</si>
  <si>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</si>
  <si>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</si>
  <si>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</si>
  <si>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</si>
  <si>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</si>
  <si>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</si>
  <si>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</si>
  <si>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</si>
  <si>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</si>
  <si>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</si>
  <si>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</si>
  <si>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</si>
  <si>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</si>
  <si>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</si>
  <si>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</si>
  <si>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</si>
  <si>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</si>
  <si>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</si>
  <si>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</si>
  <si>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</si>
  <si>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</si>
  <si>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</si>
  <si>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</si>
  <si>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</si>
  <si>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</si>
  <si>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</si>
  <si>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</si>
  <si>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</si>
  <si>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</si>
  <si>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</si>
  <si>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</si>
  <si>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</si>
  <si>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</si>
  <si>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</si>
  <si>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</si>
  <si>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</si>
  <si>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</si>
  <si>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</si>
  <si>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</si>
  <si>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</si>
  <si>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</si>
  <si>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</si>
  <si>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</si>
  <si>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</si>
  <si>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</si>
  <si>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</si>
  <si>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</si>
  <si>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</si>
  <si>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</si>
  <si>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</si>
  <si>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</si>
  <si>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</si>
  <si>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</si>
  <si>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</si>
  <si>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</si>
  <si>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</si>
  <si>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</si>
  <si>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</si>
  <si>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</si>
  <si>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</si>
  <si>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</si>
  <si>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</si>
  <si>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</si>
  <si>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</si>
  <si>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</si>
  <si>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</si>
  <si>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</si>
  <si>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</si>
  <si>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</si>
  <si>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</si>
  <si>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</si>
  <si>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</si>
  <si>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</si>
  <si>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</si>
  <si>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</si>
  <si>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</si>
  <si>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</si>
  <si>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</si>
  <si>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</si>
  <si>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</si>
  <si>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</si>
  <si>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</si>
  <si>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</si>
  <si>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</si>
  <si>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</si>
  <si>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</si>
  <si>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</si>
  <si>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</si>
  <si>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</si>
  <si>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</si>
  <si>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</si>
  <si>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</si>
  <si>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</si>
  <si>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</si>
  <si>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</si>
  <si>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</si>
  <si>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</si>
  <si>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</si>
  <si>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</si>
  <si>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</si>
  <si>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</si>
  <si>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</si>
  <si>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</si>
  <si>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</si>
  <si>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</si>
  <si>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</si>
  <si>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</si>
  <si>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</si>
  <si>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</si>
  <si>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</si>
  <si>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</si>
  <si>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</si>
  <si>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</si>
  <si>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</si>
  <si>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</si>
  <si>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</si>
  <si>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</si>
  <si>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</si>
  <si>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</si>
  <si>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</si>
  <si>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</si>
  <si>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</si>
  <si>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</si>
  <si>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</si>
  <si>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</si>
  <si>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</si>
  <si>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</si>
  <si>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</si>
  <si>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</si>
  <si>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</si>
  <si>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</si>
  <si>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</si>
  <si>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</si>
  <si>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</si>
  <si>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</si>
  <si>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</si>
  <si>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</si>
  <si>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</si>
  <si>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</si>
  <si>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</si>
  <si>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</si>
  <si>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</si>
  <si>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</si>
  <si>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</si>
  <si>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</si>
  <si>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</si>
  <si>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</si>
  <si>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</si>
  <si>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</si>
  <si>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</si>
  <si>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</si>
  <si>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2018A-027</t>
    <phoneticPr fontId="4" type="noConversion"/>
  </si>
  <si>
    <t>市场价格</t>
  </si>
  <si>
    <t>企业</t>
  </si>
  <si>
    <t>储备</t>
  </si>
  <si>
    <t>地上</t>
  </si>
  <si>
    <t>普通住宅</t>
  </si>
  <si>
    <t>住宅</t>
    <phoneticPr fontId="8" type="noConversion"/>
  </si>
  <si>
    <t>按公示增长率计算</t>
  </si>
  <si>
    <t>容积率修正</t>
  </si>
  <si>
    <t>较好</t>
  </si>
  <si>
    <t>一般</t>
  </si>
  <si>
    <t>土地开发补偿费</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</si>
  <si>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</si>
  <si>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</si>
  <si>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</si>
  <si>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</si>
  <si>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</si>
  <si>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</si>
  <si>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</si>
  <si>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</si>
  <si>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</si>
  <si>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</si>
  <si>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</si>
  <si>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</si>
  <si>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</si>
  <si>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</si>
  <si>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</si>
  <si>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</si>
  <si>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</si>
  <si>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</si>
  <si>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</si>
  <si>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</si>
  <si>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</si>
  <si>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</si>
  <si>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</si>
  <si>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</si>
  <si>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</si>
  <si>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</si>
  <si>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</si>
  <si>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成本逼近法</t>
  </si>
  <si>
    <t>土地</t>
  </si>
  <si>
    <t>项目全部</t>
  </si>
  <si>
    <t>自定义容积率</t>
  </si>
  <si>
    <t>通路</t>
  </si>
  <si>
    <t>通电</t>
  </si>
  <si>
    <t>通讯</t>
  </si>
  <si>
    <t>平整</t>
  </si>
  <si>
    <t>昌平、大兴、房山、顺义、怀柔近三年土地一级开发项目</t>
    <phoneticPr fontId="4" type="noConversion"/>
  </si>
  <si>
    <t>年度</t>
    <phoneticPr fontId="4" type="noConversion"/>
  </si>
  <si>
    <t>会期</t>
    <phoneticPr fontId="279"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</si>
  <si>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</si>
  <si>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</si>
  <si>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</si>
  <si>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</si>
  <si>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</si>
  <si>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</si>
  <si>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</si>
  <si>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</si>
  <si>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</si>
  <si>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</si>
  <si>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</si>
  <si>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</si>
  <si>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</si>
  <si>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</si>
  <si>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</si>
  <si>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</si>
  <si>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</si>
  <si>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</si>
  <si>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</si>
  <si>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</si>
  <si>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</si>
  <si>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</si>
  <si>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</si>
  <si>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</si>
  <si>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</si>
  <si>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</si>
  <si>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</si>
  <si>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</si>
  <si>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</si>
  <si>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</si>
  <si>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</si>
  <si>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</si>
  <si>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</si>
  <si>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</si>
  <si>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</si>
  <si>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</si>
  <si>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</si>
  <si>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</si>
  <si>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</si>
  <si>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</si>
  <si>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</si>
  <si>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</si>
  <si>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</si>
  <si>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</si>
  <si>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</si>
  <si>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</si>
  <si>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</si>
  <si>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</si>
  <si>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</si>
  <si>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</si>
  <si>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</si>
  <si>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</si>
  <si>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9"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</si>
  <si>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</si>
  <si>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</si>
  <si>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</si>
  <si>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</si>
  <si>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</si>
  <si>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</si>
  <si>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</si>
  <si>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</si>
  <si>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</si>
  <si>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</si>
  <si>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</si>
  <si>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</si>
  <si>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</si>
  <si>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</si>
  <si>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8" type="noConversion"/>
  </si>
  <si>
    <t>第8期</t>
    <phoneticPr fontId="279"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</si>
  <si>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</si>
  <si>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</si>
  <si>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</si>
  <si>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</si>
  <si>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9"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</si>
  <si>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</si>
  <si>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</si>
  <si>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</si>
  <si>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</si>
  <si>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9"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</si>
  <si>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</si>
  <si>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</si>
  <si>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</si>
  <si>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</si>
  <si>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</si>
  <si>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</si>
  <si>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</si>
  <si>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通上水</t>
  </si>
  <si>
    <t>通下水</t>
  </si>
  <si>
    <t xml:space="preserve">
市政建设程度为项目红线范围内城市支路的三通（通路、通上水（自来水）、通下水（污水、雨水），和场地自然平整，以上工作由北京兴创投资有限公司负责于二级竣工验收前完成。
</t>
    <phoneticPr fontId="229" type="noConversion"/>
  </si>
  <si>
    <t>与级别开发程度一致</t>
  </si>
  <si>
    <t>工业用地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</si>
</sst>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2"/>
      <color indexed="12"/>
      <name val="宋体"/>
      <family val="3"/>
      <charset val="134"/>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57" fillId="0" borderId="0"/>
    <xf numFmtId="0" fontId="1" fillId="0" borderId="0">
      <alignment vertical="center"/>
    </xf>
    <xf numFmtId="0" fontId="1" fillId="0" borderId="0">
      <alignment vertical="center"/>
    </xf>
    <xf numFmtId="0" fontId="275" fillId="0" borderId="0" applyNumberFormat="0" applyFill="0" applyBorder="0" applyAlignment="0" applyProtection="0">
      <alignment vertical="top"/>
      <protection locked="0"/>
    </xf>
    <xf numFmtId="0" fontId="1" fillId="0" borderId="0">
      <alignment vertical="center"/>
    </xf>
    <xf numFmtId="0" fontId="82" fillId="0" borderId="0">
      <alignment vertical="center"/>
    </xf>
    <xf numFmtId="0" fontId="257" fillId="0" borderId="0"/>
  </cellStyleXfs>
  <cellXfs count="355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77" fontId="77" fillId="3" borderId="9" xfId="0" applyNumberFormat="1" applyFont="1" applyFill="1" applyBorder="1" applyProtection="1">
      <alignment vertical="center"/>
      <protection locked="0"/>
    </xf>
    <xf numFmtId="10" fontId="150" fillId="17" borderId="2" xfId="0" applyNumberFormat="1" applyFont="1" applyFill="1" applyBorder="1" applyAlignment="1" applyProtection="1">
      <alignment horizontal="center" vertical="center"/>
      <protection locked="0"/>
    </xf>
    <xf numFmtId="177" fontId="0" fillId="0" borderId="0" xfId="0" applyNumberFormat="1">
      <alignment vertical="center"/>
    </xf>
    <xf numFmtId="0" fontId="87" fillId="17" borderId="25" xfId="2" applyNumberFormat="1" applyFont="1" applyFill="1" applyBorder="1" applyAlignment="1" applyProtection="1">
      <alignment horizontal="center" vertical="center"/>
      <protection locked="0"/>
    </xf>
    <xf numFmtId="178" fontId="96" fillId="0" borderId="2" xfId="2" applyNumberFormat="1" applyFont="1" applyFill="1" applyBorder="1" applyAlignment="1" applyProtection="1">
      <alignment horizontal="center" vertical="center"/>
      <protection locked="0"/>
    </xf>
    <xf numFmtId="0" fontId="43" fillId="6" borderId="12" xfId="2" applyFont="1" applyFill="1" applyBorder="1" applyAlignment="1" applyProtection="1">
      <alignment vertical="center"/>
      <protection locked="0"/>
    </xf>
    <xf numFmtId="0" fontId="276" fillId="6" borderId="2" xfId="21" applyFont="1" applyFill="1" applyBorder="1" applyAlignment="1">
      <alignment horizontal="center" vertical="center" wrapText="1" readingOrder="1"/>
    </xf>
    <xf numFmtId="177" fontId="128" fillId="0" borderId="2" xfId="22" applyNumberFormat="1" applyFont="1" applyFill="1" applyBorder="1" applyAlignment="1">
      <alignment horizontal="center" vertical="center" wrapText="1"/>
    </xf>
    <xf numFmtId="177" fontId="83" fillId="0" borderId="2" xfId="22" applyNumberFormat="1" applyFont="1" applyBorder="1" applyAlignment="1">
      <alignment horizontal="center" vertical="center" wrapText="1"/>
    </xf>
    <xf numFmtId="185" fontId="128" fillId="0" borderId="2" xfId="22" applyNumberFormat="1" applyFont="1" applyBorder="1" applyAlignment="1">
      <alignment horizontal="center" vertical="center" wrapText="1"/>
    </xf>
    <xf numFmtId="49" fontId="83" fillId="0" borderId="2" xfId="22" applyNumberFormat="1" applyFont="1" applyFill="1" applyBorder="1" applyAlignment="1">
      <alignment horizontal="center" vertical="center"/>
    </xf>
    <xf numFmtId="177" fontId="128" fillId="0" borderId="2" xfId="22" applyNumberFormat="1" applyFont="1" applyBorder="1" applyAlignment="1">
      <alignment horizontal="center" vertical="center" wrapText="1"/>
    </xf>
    <xf numFmtId="0" fontId="278" fillId="0" borderId="19" xfId="21" applyFont="1" applyFill="1" applyBorder="1" applyAlignment="1">
      <alignment horizontal="center" vertical="center" wrapText="1"/>
    </xf>
    <xf numFmtId="0" fontId="279" fillId="0" borderId="0" xfId="0" applyFont="1" applyFill="1" applyBorder="1">
      <alignment vertical="center"/>
    </xf>
    <xf numFmtId="0" fontId="280" fillId="0" borderId="2" xfId="21" applyFont="1" applyFill="1" applyBorder="1" applyAlignment="1">
      <alignment horizontal="center" vertical="center" wrapText="1"/>
    </xf>
    <xf numFmtId="195" fontId="280" fillId="0" borderId="2" xfId="21" applyNumberFormat="1" applyFont="1" applyFill="1" applyBorder="1" applyAlignment="1">
      <alignment horizontal="center" vertical="center" wrapText="1"/>
    </xf>
    <xf numFmtId="0" fontId="281" fillId="0" borderId="2" xfId="0" applyFont="1" applyFill="1" applyBorder="1" applyAlignment="1">
      <alignment horizontal="center" vertical="center" wrapText="1"/>
    </xf>
    <xf numFmtId="0" fontId="281" fillId="0" borderId="2" xfId="0" applyFont="1" applyFill="1" applyBorder="1" applyAlignment="1">
      <alignment horizontal="center" vertical="center"/>
    </xf>
    <xf numFmtId="0" fontId="280" fillId="0" borderId="2" xfId="21" applyFont="1" applyFill="1" applyBorder="1" applyAlignment="1">
      <alignment horizontal="center" vertical="center"/>
    </xf>
    <xf numFmtId="195" fontId="280" fillId="0" borderId="2" xfId="21" applyNumberFormat="1" applyFont="1" applyFill="1" applyBorder="1" applyAlignment="1">
      <alignment horizontal="center" vertical="center"/>
    </xf>
    <xf numFmtId="0" fontId="279" fillId="0" borderId="0" xfId="0" applyFont="1" applyFill="1" applyBorder="1" applyAlignment="1">
      <alignment vertical="center"/>
    </xf>
    <xf numFmtId="0" fontId="282" fillId="0" borderId="2" xfId="0" applyFont="1" applyFill="1" applyBorder="1" applyAlignment="1">
      <alignment horizontal="center" vertical="center"/>
    </xf>
    <xf numFmtId="0" fontId="283" fillId="0" borderId="2" xfId="0" applyNumberFormat="1" applyFont="1" applyFill="1" applyBorder="1" applyAlignment="1">
      <alignment horizontal="center" vertical="center" wrapText="1"/>
    </xf>
    <xf numFmtId="177"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4" fillId="0" borderId="2" xfId="0" applyNumberFormat="1" applyFont="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282" fillId="0" borderId="0" xfId="0" applyNumberFormat="1" applyFont="1" applyFill="1" applyBorder="1">
      <alignment vertical="center"/>
    </xf>
    <xf numFmtId="0" fontId="282" fillId="0" borderId="0" xfId="0" applyFont="1" applyFill="1" applyBorder="1">
      <alignment vertical="center"/>
    </xf>
    <xf numFmtId="177" fontId="83" fillId="9" borderId="2" xfId="0" applyNumberFormat="1" applyFont="1" applyFill="1" applyBorder="1" applyAlignment="1">
      <alignment horizontal="left" vertical="center" wrapText="1"/>
    </xf>
    <xf numFmtId="177" fontId="283" fillId="9" borderId="2" xfId="0" applyNumberFormat="1" applyFont="1" applyFill="1" applyBorder="1" applyAlignment="1">
      <alignment horizontal="center" vertical="center" wrapText="1"/>
    </xf>
    <xf numFmtId="177" fontId="282" fillId="9" borderId="0" xfId="0" applyNumberFormat="1" applyFont="1" applyFill="1" applyBorder="1">
      <alignment vertical="center"/>
    </xf>
    <xf numFmtId="0" fontId="0" fillId="9" borderId="0" xfId="0" applyFill="1">
      <alignment vertical="center"/>
    </xf>
    <xf numFmtId="185"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4"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5" fillId="0" borderId="2" xfId="0" applyFont="1" applyFill="1" applyBorder="1" applyAlignment="1">
      <alignment horizontal="center" vertical="center"/>
    </xf>
    <xf numFmtId="0" fontId="0" fillId="0" borderId="0" xfId="0" applyFill="1">
      <alignment vertical="center"/>
    </xf>
    <xf numFmtId="185" fontId="284" fillId="9" borderId="2" xfId="0" applyNumberFormat="1" applyFont="1" applyFill="1" applyBorder="1" applyAlignment="1">
      <alignment horizontal="center" vertical="center" wrapText="1"/>
    </xf>
    <xf numFmtId="0" fontId="128" fillId="0" borderId="2" xfId="0" applyFont="1" applyFill="1" applyBorder="1" applyAlignment="1">
      <alignment horizontal="center" vertical="center" wrapText="1"/>
    </xf>
    <xf numFmtId="177" fontId="286" fillId="0" borderId="2" xfId="0" applyNumberFormat="1" applyFont="1" applyFill="1" applyBorder="1" applyAlignment="1">
      <alignment horizontal="center" vertical="center"/>
    </xf>
    <xf numFmtId="177" fontId="286"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0" fontId="83" fillId="0" borderId="2" xfId="21"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21" applyFont="1" applyFill="1" applyBorder="1" applyAlignment="1">
      <alignment horizontal="center" vertical="center" wrapText="1"/>
    </xf>
    <xf numFmtId="195" fontId="83" fillId="0" borderId="2" xfId="21" applyNumberFormat="1" applyFont="1" applyFill="1" applyBorder="1" applyAlignment="1">
      <alignment horizontal="center" vertical="center" wrapText="1"/>
    </xf>
    <xf numFmtId="0" fontId="285" fillId="0" borderId="0" xfId="0" applyFont="1" applyFill="1" applyBorder="1">
      <alignment vertical="center"/>
    </xf>
    <xf numFmtId="0" fontId="285" fillId="0" borderId="10" xfId="0" applyFont="1" applyFill="1" applyBorder="1" applyAlignment="1">
      <alignment horizontal="center" vertical="center"/>
    </xf>
    <xf numFmtId="0" fontId="128" fillId="9" borderId="2" xfId="0" applyFont="1" applyFill="1" applyBorder="1" applyAlignment="1">
      <alignment horizontal="center" vertical="center" wrapText="1"/>
    </xf>
    <xf numFmtId="0" fontId="83" fillId="9" borderId="2" xfId="21" applyFont="1" applyFill="1" applyBorder="1" applyAlignment="1">
      <alignment horizontal="center" vertical="center" wrapText="1"/>
    </xf>
    <xf numFmtId="177" fontId="286" fillId="9" borderId="0" xfId="0" applyNumberFormat="1" applyFont="1" applyFill="1" applyBorder="1" applyAlignment="1">
      <alignment vertical="center"/>
    </xf>
    <xf numFmtId="185" fontId="128" fillId="9" borderId="2" xfId="22" applyNumberFormat="1" applyFont="1" applyFill="1" applyBorder="1" applyAlignment="1">
      <alignment horizontal="center" vertical="center" wrapText="1"/>
    </xf>
    <xf numFmtId="49" fontId="83" fillId="9" borderId="2" xfId="22" applyNumberFormat="1" applyFont="1" applyFill="1" applyBorder="1" applyAlignment="1">
      <alignment horizontal="center" vertical="center"/>
    </xf>
    <xf numFmtId="177" fontId="128" fillId="9" borderId="2" xfId="22" applyNumberFormat="1" applyFont="1" applyFill="1" applyBorder="1" applyAlignment="1">
      <alignment horizontal="center" vertical="center" wrapText="1"/>
    </xf>
    <xf numFmtId="177" fontId="83" fillId="9" borderId="2" xfId="22" applyNumberFormat="1" applyFont="1" applyFill="1" applyBorder="1" applyAlignment="1">
      <alignment horizontal="center" vertical="center" wrapText="1"/>
    </xf>
    <xf numFmtId="0" fontId="282" fillId="0" borderId="2" xfId="0" applyFont="1" applyFill="1" applyBorder="1" applyAlignment="1">
      <alignment horizontal="center" vertical="center" wrapText="1"/>
    </xf>
    <xf numFmtId="0" fontId="285" fillId="9" borderId="2" xfId="0" applyFont="1" applyFill="1" applyBorder="1" applyAlignment="1">
      <alignment horizontal="center" vertical="center"/>
    </xf>
    <xf numFmtId="177" fontId="286" fillId="9" borderId="2" xfId="0" applyNumberFormat="1" applyFont="1" applyFill="1" applyBorder="1" applyAlignment="1">
      <alignment horizontal="center" vertical="center"/>
    </xf>
    <xf numFmtId="177" fontId="83" fillId="9" borderId="2" xfId="0" applyNumberFormat="1" applyFont="1" applyFill="1" applyBorder="1" applyAlignment="1">
      <alignment horizontal="center" vertical="center" wrapText="1"/>
    </xf>
    <xf numFmtId="0" fontId="279" fillId="6" borderId="0" xfId="0" applyFont="1" applyFill="1" applyBorder="1" applyAlignment="1">
      <alignment vertical="center"/>
    </xf>
    <xf numFmtId="0" fontId="282" fillId="6" borderId="0" xfId="0" applyFont="1" applyFill="1" applyBorder="1">
      <alignment vertical="center"/>
    </xf>
    <xf numFmtId="185" fontId="165" fillId="0" borderId="2" xfId="0" applyNumberFormat="1" applyFont="1" applyFill="1" applyBorder="1" applyAlignment="1">
      <alignment horizontal="center" vertical="center" wrapText="1"/>
    </xf>
    <xf numFmtId="195" fontId="284" fillId="0" borderId="2" xfId="21" applyNumberFormat="1" applyFont="1" applyFill="1" applyBorder="1" applyAlignment="1">
      <alignment horizontal="center" vertical="center" wrapText="1"/>
    </xf>
    <xf numFmtId="177" fontId="284" fillId="0" borderId="2" xfId="0" applyNumberFormat="1" applyFont="1" applyFill="1" applyBorder="1" applyAlignment="1">
      <alignment horizontal="left" vertical="center" wrapText="1"/>
    </xf>
    <xf numFmtId="0" fontId="284" fillId="0" borderId="2" xfId="21" applyFont="1" applyFill="1" applyBorder="1" applyAlignment="1">
      <alignment horizontal="center" vertical="center" wrapText="1"/>
    </xf>
    <xf numFmtId="0" fontId="165" fillId="0" borderId="0" xfId="0" applyFont="1" applyFill="1" applyBorder="1" applyAlignment="1">
      <alignment horizontal="center" vertical="center"/>
    </xf>
    <xf numFmtId="195" fontId="83" fillId="9" borderId="2" xfId="21" applyNumberFormat="1" applyFont="1" applyFill="1" applyBorder="1" applyAlignment="1">
      <alignment horizontal="center" vertical="center" wrapText="1"/>
    </xf>
    <xf numFmtId="0" fontId="285" fillId="9" borderId="0" xfId="0" applyFont="1" applyFill="1" applyBorder="1">
      <alignment vertical="center"/>
    </xf>
    <xf numFmtId="0" fontId="170" fillId="9" borderId="0" xfId="0" applyFont="1" applyFill="1" applyBorder="1">
      <alignment vertical="center"/>
    </xf>
    <xf numFmtId="0" fontId="165" fillId="6" borderId="0" xfId="0" applyFont="1" applyFill="1" applyBorder="1">
      <alignment vertical="center"/>
    </xf>
    <xf numFmtId="0" fontId="72" fillId="9" borderId="10"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17" xfId="21" applyFont="1" applyFill="1" applyBorder="1" applyAlignment="1">
      <alignment horizontal="center" vertical="center" wrapText="1"/>
    </xf>
    <xf numFmtId="0" fontId="278" fillId="0" borderId="19" xfId="21" applyFont="1" applyFill="1" applyBorder="1" applyAlignment="1">
      <alignment horizontal="center" vertical="center" wrapText="1"/>
    </xf>
    <xf numFmtId="0" fontId="276" fillId="6" borderId="10" xfId="21" applyFont="1" applyFill="1" applyBorder="1" applyAlignment="1">
      <alignment horizontal="center" vertical="center" wrapText="1" readingOrder="1"/>
    </xf>
    <xf numFmtId="0" fontId="276" fillId="6" borderId="21" xfId="21" applyFont="1" applyFill="1" applyBorder="1" applyAlignment="1">
      <alignment horizontal="center" vertical="center" wrapText="1" readingOrder="1"/>
    </xf>
    <xf numFmtId="0" fontId="276" fillId="6" borderId="2" xfId="21" applyFont="1" applyFill="1" applyBorder="1" applyAlignment="1">
      <alignment horizontal="center" vertical="center" wrapText="1" readingOrder="1"/>
    </xf>
    <xf numFmtId="0" fontId="257" fillId="6" borderId="21" xfId="22" applyFill="1" applyBorder="1" applyAlignment="1">
      <alignment horizontal="center" vertical="center"/>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28622</xdr:rowOff>
    </xdr:from>
    <xdr:to>
      <xdr:col>11</xdr:col>
      <xdr:colOff>476250</xdr:colOff>
      <xdr:row>45</xdr:row>
      <xdr:rowOff>8811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57622"/>
          <a:ext cx="8020050" cy="4266439"/>
        </a:xfrm>
        <a:prstGeom prst="rect">
          <a:avLst/>
        </a:prstGeom>
      </xdr:spPr>
    </xdr:pic>
    <xdr:clientData/>
  </xdr:twoCellAnchor>
  <xdr:twoCellAnchor editAs="oneCell">
    <xdr:from>
      <xdr:col>0</xdr:col>
      <xdr:colOff>0</xdr:colOff>
      <xdr:row>0</xdr:row>
      <xdr:rowOff>0</xdr:rowOff>
    </xdr:from>
    <xdr:to>
      <xdr:col>8</xdr:col>
      <xdr:colOff>104792</xdr:colOff>
      <xdr:row>19</xdr:row>
      <xdr:rowOff>142875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0"/>
          <a:ext cx="5591192" cy="3400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北京市储备国有建设用地使用权市场价格预评估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受贵公司委托，我公司对北京市储备国有建设用地使用权市场价格进行了预评估。</v>
      </c>
      <c r="AM6" s="2854"/>
    </row>
    <row r="7" spans="1:55" s="2828" customFormat="1">
      <c r="A7" s="2829" t="s">
        <v>2657</v>
      </c>
      <c r="B7" s="2830" t="str">
        <f>'预评函-1'!A6</f>
        <v>估价对象为使用的、位于北京市储备国有建设用地使用权。根据《国有土地使用证》[]，估价对象（分摊）储备国有建设用地使用权面积为77720.2平方米。根据《建设工程规划许可证》[]、《出让合同》[]，估价对象规划建筑面积为77720.2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本次评估为委托估价方了解标的物之市场价格提供参考依据而评估储备国有建设用地使用权市场价格。</v>
      </c>
    </row>
    <row r="10" spans="1:55" s="2828" customFormat="1">
      <c r="A10" s="2829" t="s">
        <v>2659</v>
      </c>
      <c r="B10" s="2830" t="str">
        <f>'预评函-1'!A11</f>
        <v>2019年6月30日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根据《国有土地使用证》[]，估价对象（分摊）出让国有建设用地使用权面积为77720.2平方米。根据《建设工程规划许可证》[]、《出让合同》[]，估价对象规划建筑面积为77720.2平方米。</v>
      </c>
    </row>
    <row r="16" spans="1:55" s="2828" customFormat="1">
      <c r="A16" s="2829" t="s">
        <v>2669</v>
      </c>
      <c r="B16" s="2830" t="str">
        <f>'预评函-1'!A22</f>
        <v>本次估价对象国有建设用地使用权类型为划拨，无土地使用年限限制。</v>
      </c>
    </row>
    <row r="17" spans="1:48" s="2828" customFormat="1">
      <c r="A17" s="2829" t="s">
        <v>2670</v>
      </c>
      <c r="B17" s="2830" t="str">
        <f>'预评函-1'!A23</f>
        <v/>
      </c>
    </row>
    <row r="18" spans="1:48" s="2828" customFormat="1">
      <c r="A18" s="2829" t="s">
        <v>2671</v>
      </c>
      <c r="B18" s="2830"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828" customFormat="1">
      <c r="A19" s="2829" t="s">
        <v>2672</v>
      </c>
      <c r="B19" s="2830" t="str">
        <f>'预评函-1'!A26</f>
        <v>——</v>
      </c>
    </row>
    <row r="20" spans="1:48" s="2828" customFormat="1">
      <c r="A20" s="2829" t="s">
        <v>2673</v>
      </c>
      <c r="B20" s="2830" t="str">
        <f>'预评函-1'!A27</f>
        <v>——</v>
      </c>
    </row>
    <row r="21" spans="1:48" s="2844" customFormat="1" ht="15" thickBot="1">
      <c r="A21" s="2851" t="s">
        <v>2674</v>
      </c>
      <c r="B21" s="2852" t="str">
        <f>'预评函-1'!A28</f>
        <v>——</v>
      </c>
    </row>
    <row r="22" spans="1:48" ht="15" thickTop="1">
      <c r="A22" s="2840" t="s">
        <v>2675</v>
      </c>
      <c r="B22" s="284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829" t="s">
        <v>2676</v>
      </c>
      <c r="B23" s="2830" t="str">
        <f>'预评函-2'!K2</f>
        <v>估价期日：2019年6月30日</v>
      </c>
    </row>
    <row r="24" spans="1:48">
      <c r="A24" s="2829" t="s">
        <v>2677</v>
      </c>
      <c r="B24" s="2830" t="str">
        <f>'预评函-2'!R2</f>
        <v>估价期日的国有建设用地使用权性质：储备</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t="str">
        <f>'预评函-2'!M5</f>
        <v>——</v>
      </c>
    </row>
    <row r="42" spans="1:2">
      <c r="A42" s="2829" t="s">
        <v>2739</v>
      </c>
      <c r="B42" s="2830" t="str">
        <f>'预评函-2'!N3</f>
        <v>（分摊）储备国有建设用地使用权面积/㎡</v>
      </c>
    </row>
    <row r="43" spans="1:2">
      <c r="A43" s="2829" t="s">
        <v>2721</v>
      </c>
      <c r="B43" s="2830">
        <f>'预评函-2'!N5</f>
        <v>77720.2</v>
      </c>
    </row>
    <row r="44" spans="1:2">
      <c r="A44" s="2829" t="s">
        <v>2740</v>
      </c>
      <c r="B44" s="2830" t="str">
        <f>'预评函-2'!O3</f>
        <v>规划建筑面积/㎡</v>
      </c>
    </row>
    <row r="45" spans="1:2">
      <c r="A45" s="2829" t="s">
        <v>2722</v>
      </c>
      <c r="B45" s="2830">
        <f>'预评函-2'!O5</f>
        <v>77720.2</v>
      </c>
    </row>
    <row r="46" spans="1:2">
      <c r="A46" s="2829" t="s">
        <v>2723</v>
      </c>
      <c r="B46" s="2830">
        <f ca="1">'预评函-2'!P5</f>
        <v>4257</v>
      </c>
    </row>
    <row r="47" spans="1:2">
      <c r="A47" s="2829" t="s">
        <v>2724</v>
      </c>
      <c r="B47" s="2830">
        <f ca="1">'预评函-2'!Q5</f>
        <v>4257</v>
      </c>
    </row>
    <row r="48" spans="1:2">
      <c r="A48" s="2829" t="s">
        <v>2725</v>
      </c>
      <c r="B48" s="2830">
        <f ca="1">'预评函-2'!R5</f>
        <v>33082</v>
      </c>
    </row>
    <row r="49" spans="1:2">
      <c r="A49" s="2829" t="s">
        <v>2741</v>
      </c>
      <c r="B49" s="2830" t="str">
        <f>'预评函-2'!A6</f>
        <v>——</v>
      </c>
    </row>
    <row r="50" spans="1:2">
      <c r="A50" s="2829" t="s">
        <v>2726</v>
      </c>
      <c r="B50" s="2830" t="str">
        <f>'预评函-2'!R6</f>
        <v>——</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2.本次评估设定估价对象宗地权属无争议，未被查封或者以其他形式限制其房地产权利，未设定抵押权等他项权利，不涉及第三方权利义务。</v>
      </c>
    </row>
    <row r="60" spans="1:2">
      <c r="A60" s="2829" t="s">
        <v>2682</v>
      </c>
      <c r="B60" s="2830" t="str">
        <f>'预评函-3'!A9</f>
        <v>——</v>
      </c>
    </row>
    <row r="61" spans="1:2">
      <c r="A61" s="2829" t="s">
        <v>2684</v>
      </c>
      <c r="B61" s="2830" t="str">
        <f>'预评函-3'!A10</f>
        <v>——</v>
      </c>
    </row>
    <row r="62" spans="1:2">
      <c r="A62" s="2829" t="s">
        <v>2683</v>
      </c>
      <c r="B62" s="2830" t="str">
        <f>'预评函-3'!A11</f>
        <v>——</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v>
      </c>
    </row>
    <row r="66" spans="1:2">
      <c r="A66" s="2829" t="s">
        <v>2688</v>
      </c>
      <c r="B66" s="28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5" thickBot="1">
      <c r="A72" s="2851" t="s">
        <v>2691</v>
      </c>
      <c r="B72" s="2857">
        <f>'预评函-3'!B21</f>
        <v>0</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2786</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96" t="str">
        <f>IF(B10="北京市","北京市",C10)&amp;F10&amp;B16&amp;"国有建设用地使用权"&amp;B9&amp;"预评估"</f>
        <v>北京市储备国有建设用地使用权市场价格预评估</v>
      </c>
      <c r="C1" s="3297"/>
      <c r="D1" s="3297"/>
      <c r="E1" s="3297"/>
      <c r="F1" s="3297"/>
      <c r="G1" s="3297"/>
      <c r="H1" s="3297"/>
      <c r="I1" s="3298"/>
      <c r="J1" s="1676"/>
      <c r="K1" s="2416" t="str">
        <f>IF(B10="北京市","北京市",C10)&amp;F10&amp;B16&amp;"国有建设用地使用权"&amp;B9</f>
        <v>北京市储备国有建设用地使用权市场价格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6" t="str">
        <f>IF(B10="北京市","北京市",C10)&amp;F10&amp;B16&amp;"国有建设用地使用权"</f>
        <v>北京市储备国有建设用地使用权</v>
      </c>
      <c r="L2" s="1705"/>
      <c r="M2" s="1705"/>
      <c r="N2" s="1676"/>
      <c r="O2" s="1677"/>
      <c r="P2" s="1676"/>
      <c r="Q2" s="1676"/>
      <c r="R2" s="1676"/>
      <c r="S2" s="1676"/>
      <c r="T2" s="1676"/>
      <c r="U2" s="1676"/>
    </row>
    <row r="3" spans="1:21">
      <c r="A3" s="1643" t="s">
        <v>1939</v>
      </c>
      <c r="B3" s="1644"/>
      <c r="C3" s="1645" t="s">
        <v>1995</v>
      </c>
      <c r="D3" s="1644">
        <v>43646</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2888</v>
      </c>
      <c r="C4" s="1828">
        <f>SUMIF(土地估价师,B4,估价师及机构信息!E3:E24)</f>
        <v>0</v>
      </c>
      <c r="D4" s="1825" t="s">
        <v>2888</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6"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2990</v>
      </c>
      <c r="C8" s="1653"/>
      <c r="D8" s="3302" t="s">
        <v>1944</v>
      </c>
      <c r="E8" s="1826"/>
      <c r="F8" s="1654"/>
      <c r="G8" s="1642"/>
      <c r="H8" s="1642"/>
      <c r="I8" s="1689"/>
      <c r="J8" s="1676"/>
      <c r="K8" s="1756"/>
      <c r="L8" s="1705"/>
      <c r="M8" s="1705"/>
      <c r="N8" s="1676"/>
      <c r="O8" s="1677"/>
      <c r="P8" s="1676"/>
      <c r="Q8" s="1676"/>
      <c r="R8" s="1676"/>
      <c r="S8" s="1676"/>
      <c r="T8" s="1676"/>
      <c r="U8" s="1676"/>
    </row>
    <row r="9" spans="1:21" ht="15" thickBot="1">
      <c r="A9" s="1655" t="s">
        <v>1943</v>
      </c>
      <c r="B9" s="1656" t="s">
        <v>2995</v>
      </c>
      <c r="C9" s="1657"/>
      <c r="D9" s="3303"/>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1945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99"/>
      <c r="C12" s="3300"/>
      <c r="D12" s="3301"/>
      <c r="E12" s="1681" t="s">
        <v>2061</v>
      </c>
      <c r="F12" s="3317" t="s">
        <v>2889</v>
      </c>
      <c r="G12" s="3318"/>
      <c r="H12" s="3318"/>
      <c r="I12" s="3319"/>
      <c r="J12" s="1676"/>
      <c r="K12" s="1756"/>
      <c r="L12" s="1705"/>
      <c r="M12" s="1705"/>
      <c r="N12" s="1676"/>
      <c r="O12" s="1677"/>
      <c r="P12" s="1676"/>
      <c r="Q12" s="1676"/>
      <c r="R12" s="1676"/>
      <c r="S12" s="1676"/>
      <c r="T12" s="1676"/>
      <c r="U12" s="1676"/>
    </row>
    <row r="13" spans="1:21">
      <c r="A13" s="1669" t="s">
        <v>2059</v>
      </c>
      <c r="B13" s="3299"/>
      <c r="C13" s="3300"/>
      <c r="D13" s="3301"/>
      <c r="E13" s="1681" t="s">
        <v>2061</v>
      </c>
      <c r="F13" s="3317" t="s">
        <v>2890</v>
      </c>
      <c r="G13" s="3318"/>
      <c r="H13" s="3318"/>
      <c r="I13" s="3319"/>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5"/>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2997</v>
      </c>
      <c r="C16" s="1681" t="s">
        <v>1948</v>
      </c>
      <c r="D16" s="2606" t="s">
        <v>1949</v>
      </c>
      <c r="E16" s="1704"/>
      <c r="F16" s="1704"/>
      <c r="G16" s="1704"/>
      <c r="H16" s="1704"/>
      <c r="I16" s="1668" t="s">
        <v>1954</v>
      </c>
      <c r="J16" s="1676"/>
      <c r="K16" s="2417" t="str">
        <f>IF(D17="","",D16&amp;TEXT(D17,"yyyy年m月d日;;"))</f>
        <v>住宅2200年1月1日</v>
      </c>
      <c r="L16" s="1681" t="str">
        <f>IF(OR(K16="",M16=""),"","、")</f>
        <v/>
      </c>
      <c r="M16" s="2417" t="str">
        <f>IF(E17="","",E16&amp;TEXT(E17,"yyyy年m月d日;;"))</f>
        <v/>
      </c>
      <c r="N16" s="1681" t="str">
        <f>IF(OR(M16="",O16=""),"","、")</f>
        <v/>
      </c>
      <c r="O16" s="2417" t="str">
        <f>IF(F17="","",F16&amp;TEXT(F17,"yyyy年m月d日;;"))</f>
        <v/>
      </c>
      <c r="P16" s="1681" t="str">
        <f>IF(OR(O16="",Q16=""),"","、")</f>
        <v/>
      </c>
      <c r="Q16" s="2417" t="str">
        <f>IF(G17="","",G16&amp;TEXT(G17,"yyyy年m月d日;;"))</f>
        <v/>
      </c>
      <c r="R16" s="1681" t="str">
        <f>IF(OR(Q16="",S16=""),"","、")</f>
        <v/>
      </c>
      <c r="S16" s="2417" t="str">
        <f>IF(H17="","",H16&amp;TEXT(H17,"yyyy年m月d日;;"))</f>
        <v/>
      </c>
      <c r="T16" s="1681" t="str">
        <f>IF(OR(S16="",U16=""),"","、")</f>
        <v/>
      </c>
      <c r="U16" s="2417" t="str">
        <f>IF(I17="","",I16&amp;TEXT(I17,"yyyy年m月d日;;"))</f>
        <v>工业2200年1月1日</v>
      </c>
    </row>
    <row r="17" spans="1:21">
      <c r="A17" s="1745"/>
      <c r="B17" s="1664"/>
      <c r="C17" s="1665" t="s">
        <v>1955</v>
      </c>
      <c r="D17" s="1682">
        <v>109575</v>
      </c>
      <c r="E17" s="1682"/>
      <c r="F17" s="1682"/>
      <c r="G17" s="1682"/>
      <c r="H17" s="1682"/>
      <c r="I17" s="1682">
        <v>109575</v>
      </c>
      <c r="J17" s="1676"/>
      <c r="K17" s="2416" t="str">
        <f>CONCATENATE(K16,L16,M16,N16,O16,P16,Q16,R16,S16,T16,,U16)</f>
        <v>住宅2200年1月1日工业2200年1月1日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0</v>
      </c>
      <c r="F19" s="1667">
        <f>IF(B16="出让",IF(F17="","",ROUNDDOWN(MIN((F17-$D$3)/365,F18),2)),F18)</f>
        <v>0</v>
      </c>
      <c r="G19" s="1667">
        <f>IF(B16="出让",IF(G17="","",ROUNDDOWN(MIN((G17-$D$3)/365,G18),2)),G18)</f>
        <v>0</v>
      </c>
      <c r="H19" s="1667">
        <f>IF(B16="出让",IF(H17="","",ROUNDDOWN(MIN((H17-$D$3)/365,H18),2)),H18)</f>
        <v>0</v>
      </c>
      <c r="I19" s="1667">
        <f>IF(B16="出让",IF(I17="","",ROUNDDOWN(MIN((I17-$D$3)/365,I18),2)),I18)</f>
        <v>50</v>
      </c>
      <c r="J19" s="1676"/>
      <c r="K19" s="1756"/>
      <c r="L19" s="1705"/>
      <c r="M19" s="1705"/>
      <c r="N19" s="1676"/>
      <c r="O19" s="1677"/>
      <c r="P19" s="1676"/>
      <c r="Q19" s="1676"/>
      <c r="R19" s="1676"/>
      <c r="S19" s="1676"/>
      <c r="T19" s="1676"/>
      <c r="U19" s="1676"/>
    </row>
    <row r="20" spans="1:21">
      <c r="A20" s="1768"/>
      <c r="B20" s="1769"/>
      <c r="C20" s="1770" t="s">
        <v>2060</v>
      </c>
      <c r="D20" s="3314"/>
      <c r="E20" s="3315"/>
      <c r="F20" s="3315"/>
      <c r="G20" s="3315"/>
      <c r="H20" s="3315"/>
      <c r="I20" s="3316"/>
      <c r="J20" s="1676"/>
      <c r="K20" s="1756"/>
      <c r="L20" s="1705"/>
      <c r="M20" s="1705"/>
      <c r="N20" s="1676"/>
      <c r="O20" s="1677"/>
      <c r="P20" s="1676"/>
      <c r="Q20" s="1676"/>
      <c r="R20" s="1676"/>
      <c r="S20" s="1676"/>
      <c r="T20" s="1676"/>
      <c r="U20" s="1676"/>
    </row>
    <row r="21" spans="1:21">
      <c r="A21" s="1745" t="s">
        <v>1958</v>
      </c>
      <c r="B21" s="1746" t="s">
        <v>1959</v>
      </c>
      <c r="C21" s="1741">
        <f>'数据-汇总表'!E3</f>
        <v>77720.2</v>
      </c>
      <c r="D21" s="1742" t="s">
        <v>1960</v>
      </c>
      <c r="E21" s="3304" t="s">
        <v>1998</v>
      </c>
      <c r="F21" s="3305"/>
      <c r="G21" s="3305"/>
      <c r="H21" s="3305"/>
      <c r="I21" s="3306"/>
      <c r="J21" s="1676"/>
      <c r="K21" s="1756"/>
      <c r="L21" s="1705"/>
      <c r="M21" s="1705"/>
      <c r="N21" s="1676"/>
      <c r="O21" s="1677"/>
      <c r="P21" s="1676"/>
      <c r="Q21" s="1676"/>
      <c r="R21" s="1676"/>
      <c r="S21" s="1676"/>
      <c r="T21" s="1676"/>
      <c r="U21" s="1676"/>
    </row>
    <row r="22" spans="1:21">
      <c r="A22" s="3093" t="s">
        <v>952</v>
      </c>
      <c r="B22" s="1643" t="s">
        <v>1961</v>
      </c>
      <c r="C22" s="1668">
        <f>'数据-汇总表'!D3</f>
        <v>77720.2</v>
      </c>
      <c r="D22" s="1669" t="s">
        <v>1960</v>
      </c>
      <c r="E22" s="3304" t="s">
        <v>2891</v>
      </c>
      <c r="F22" s="3305"/>
      <c r="G22" s="3305"/>
      <c r="H22" s="3305"/>
      <c r="I22" s="3306"/>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307" t="s">
        <v>1966</v>
      </c>
      <c r="C24" s="3308"/>
      <c r="D24" s="3309" t="s">
        <v>1967</v>
      </c>
      <c r="E24" s="3310"/>
      <c r="F24" s="1690" t="s">
        <v>1968</v>
      </c>
      <c r="G24" s="1676"/>
      <c r="H24" s="1676"/>
      <c r="I24" s="1689"/>
      <c r="J24" s="1676"/>
      <c r="K24" s="3295"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9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9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1"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2"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2"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3"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81" t="s">
        <v>2001</v>
      </c>
      <c r="B31" s="1746" t="s">
        <v>2002</v>
      </c>
      <c r="C31" s="3320"/>
      <c r="D31" s="3321"/>
      <c r="E31" s="1676"/>
      <c r="F31" s="1676"/>
      <c r="G31" s="1676"/>
      <c r="H31" s="1676"/>
      <c r="I31" s="1689"/>
      <c r="J31" s="1676"/>
      <c r="K31" s="2419"/>
      <c r="L31" s="1676"/>
      <c r="M31" s="1676"/>
      <c r="N31" s="1676"/>
      <c r="O31" s="1676"/>
      <c r="P31" s="1676"/>
      <c r="Q31" s="1676"/>
      <c r="R31" s="1676"/>
      <c r="S31" s="1676"/>
      <c r="T31" s="1676"/>
      <c r="U31" s="1676"/>
    </row>
    <row r="32" spans="1:21">
      <c r="A32" s="3281"/>
      <c r="B32" s="1643" t="s">
        <v>2003</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81"/>
      <c r="B33" s="1643" t="s">
        <v>2004</v>
      </c>
      <c r="C33" s="1703"/>
      <c r="D33" s="1820"/>
      <c r="E33" s="1676"/>
      <c r="F33" s="1676"/>
      <c r="G33" s="1676"/>
      <c r="H33" s="1676"/>
      <c r="I33" s="1689"/>
      <c r="J33" s="1676"/>
      <c r="K33" s="2419"/>
      <c r="L33" s="1676"/>
      <c r="M33" s="1676"/>
      <c r="N33" s="1676"/>
      <c r="O33" s="1676"/>
      <c r="P33" s="1676"/>
      <c r="Q33" s="1676"/>
      <c r="R33" s="1676"/>
      <c r="S33" s="1676"/>
      <c r="T33" s="1676"/>
      <c r="U33" s="1676"/>
    </row>
    <row r="34" spans="1:21">
      <c r="A34" s="3282"/>
      <c r="B34" s="1643" t="s">
        <v>2005</v>
      </c>
      <c r="C34" s="3283"/>
      <c r="D34" s="3284"/>
      <c r="E34" s="1676"/>
      <c r="F34" s="1676"/>
      <c r="G34" s="1676"/>
      <c r="H34" s="1676"/>
      <c r="I34" s="1689"/>
      <c r="J34" s="1676"/>
      <c r="K34" s="2419"/>
      <c r="L34" s="1676"/>
      <c r="M34" s="1676"/>
      <c r="N34" s="1676"/>
      <c r="O34" s="1676"/>
      <c r="P34" s="1676"/>
      <c r="Q34" s="1676"/>
      <c r="R34" s="1676"/>
      <c r="S34" s="1676"/>
      <c r="T34" s="1676"/>
      <c r="U34" s="1676"/>
    </row>
    <row r="35" spans="1:21">
      <c r="A35" s="3285" t="s">
        <v>847</v>
      </c>
      <c r="B35" s="1704"/>
      <c r="C35" s="1758" t="str">
        <f>IF(B35="场地平整","——","具体情况：")</f>
        <v>具体情况：</v>
      </c>
      <c r="D35" s="3287"/>
      <c r="E35" s="3288"/>
      <c r="F35" s="3288"/>
      <c r="G35" s="3288"/>
      <c r="H35" s="3288"/>
      <c r="I35" s="3289"/>
      <c r="J35" s="1676"/>
      <c r="K35" s="1757"/>
      <c r="L35" s="1705"/>
      <c r="M35" s="1705"/>
      <c r="N35" s="1676"/>
      <c r="O35" s="1677"/>
      <c r="P35" s="1676"/>
      <c r="Q35" s="1676"/>
      <c r="R35" s="1676"/>
      <c r="S35" s="1676"/>
      <c r="T35" s="1676"/>
      <c r="U35" s="1676"/>
    </row>
    <row r="36" spans="1:21">
      <c r="A36" s="3281"/>
      <c r="B36" s="3290" t="s">
        <v>2054</v>
      </c>
      <c r="C36" s="3291"/>
      <c r="D36" s="1774"/>
      <c r="E36" s="3292"/>
      <c r="F36" s="3292"/>
      <c r="G36" s="1669" t="str">
        <f>IF(B35="场地未平整","估价结果处理","")</f>
        <v/>
      </c>
      <c r="H36" s="3293"/>
      <c r="I36" s="3293"/>
      <c r="J36" s="1676"/>
      <c r="K36" s="1757"/>
      <c r="L36" s="1705"/>
      <c r="M36" s="1705"/>
      <c r="N36" s="1676"/>
      <c r="O36" s="1677"/>
      <c r="P36" s="1676"/>
      <c r="Q36" s="1676"/>
      <c r="R36" s="1676"/>
      <c r="S36" s="1676"/>
      <c r="T36" s="1676"/>
      <c r="U36" s="1676"/>
    </row>
    <row r="37" spans="1:21" ht="28.5">
      <c r="A37" s="3281"/>
      <c r="B37" s="331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81"/>
      <c r="B38" s="3312"/>
      <c r="C38" s="1651" t="s">
        <v>850</v>
      </c>
      <c r="D38" s="1773">
        <f>ROUNDDOWN(MIN(('数据-取费表'!$B$2-D37)/365,D34),1)</f>
        <v>119.5</v>
      </c>
      <c r="E38" s="1709" t="s">
        <v>851</v>
      </c>
      <c r="F38" s="1676"/>
      <c r="G38" s="1676"/>
      <c r="H38" s="1676"/>
      <c r="I38" s="1689"/>
      <c r="J38" s="1676"/>
      <c r="K38" s="1757"/>
      <c r="L38" s="1676"/>
      <c r="M38" s="1676"/>
      <c r="N38" s="1676"/>
      <c r="O38" s="1676"/>
      <c r="P38" s="1676"/>
      <c r="Q38" s="1676"/>
      <c r="R38" s="1676"/>
      <c r="S38" s="1676"/>
      <c r="T38" s="1676"/>
      <c r="U38" s="1676"/>
    </row>
    <row r="39" spans="1:21">
      <c r="A39" s="3282"/>
      <c r="B39" s="331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94" t="s">
        <v>1985</v>
      </c>
      <c r="T40" s="1713" t="str">
        <f>NUMBERSTRING(7-K40,1)&amp;"通"</f>
        <v>七通</v>
      </c>
      <c r="U40" s="1676"/>
    </row>
    <row r="41" spans="1:21">
      <c r="A41" s="1645"/>
      <c r="B41" s="3286" t="s">
        <v>1721</v>
      </c>
      <c r="C41" s="3286"/>
      <c r="D41" s="3286"/>
      <c r="E41" s="328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9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t="s">
        <v>1415</v>
      </c>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t="s">
        <v>1141</v>
      </c>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77720.2</v>
      </c>
      <c r="B3" s="22">
        <f>IF(C3="否",G5-AT5,G5)</f>
        <v>77720.2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77720.2</v>
      </c>
      <c r="H5" s="27">
        <f t="shared" ref="H5:AT5" si="0">SUM(H13:H641)</f>
        <v>77720.2</v>
      </c>
      <c r="I5" s="27">
        <f t="shared" si="0"/>
        <v>77720.2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77720.2</v>
      </c>
      <c r="BA5" s="29">
        <f t="shared" si="1"/>
        <v>77720.2</v>
      </c>
      <c r="BB5" s="29">
        <f t="shared" si="1"/>
        <v>77720.2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77720.2</v>
      </c>
      <c r="F6" s="27" t="s">
        <v>1</v>
      </c>
      <c r="G6" s="27" t="s">
        <v>2</v>
      </c>
      <c r="H6" s="33">
        <f>SUMIF(I$12:AB$12,"总值",I6:AB6)</f>
        <v>77720.2</v>
      </c>
      <c r="I6" s="27">
        <f t="shared" ref="I6:AB6" si="2">ROUND($A$3*I5/$B$3,2)</f>
        <v>77720.2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77720.2</v>
      </c>
      <c r="AZ6" s="27" t="s">
        <v>3</v>
      </c>
      <c r="BA6" s="27">
        <f>ROUND($AY$6*BA5/$AZ$5,2)</f>
        <v>77720.2</v>
      </c>
      <c r="BB6" s="27">
        <f>ROUND($AY$6*BB5/$AZ$5,2)</f>
        <v>77720.2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2998</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2999</v>
      </c>
      <c r="J11" s="71"/>
      <c r="K11" s="2968"/>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c r="D13" s="2963" t="s">
        <v>1678</v>
      </c>
      <c r="E13" s="27">
        <f t="shared" ref="E13:E20" si="6">IF($C$3="是",ROUND($A$3*G13/$B$3,2),ROUND($A$3*(G13-AT13)/$B$3,2))</f>
        <v>77720.2</v>
      </c>
      <c r="F13" s="81"/>
      <c r="G13" s="82">
        <f t="shared" ref="G13:G20" si="7">H13+AC13+AT13</f>
        <v>77720.2</v>
      </c>
      <c r="H13" s="33">
        <f t="shared" ref="H13:H20" si="8">SUMIF(I$12:AB$12,"总值",I13:AB13)</f>
        <v>77720.2</v>
      </c>
      <c r="I13" s="2966">
        <f>A3</f>
        <v>77720.2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0</v>
      </c>
      <c r="AY13" s="995">
        <f t="shared" ref="AY13:AY20" si="11">ROUND($AY$6*AZ13/$AZ$5,2)</f>
        <v>77720.2</v>
      </c>
      <c r="AZ13" s="27">
        <f t="shared" ref="AZ13:AZ20" si="12">BA13+BL13</f>
        <v>77720.2</v>
      </c>
      <c r="BA13" s="27">
        <f t="shared" ref="BA13:BA20" si="13">SUM(BB13:BK13)</f>
        <v>77720.2</v>
      </c>
      <c r="BB13" s="27">
        <f t="shared" ref="BB13:BB20" si="14">IF($D13="是",I13-J13,0)</f>
        <v>77720.2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33" t="s">
        <v>203</v>
      </c>
      <c r="B2" s="3333"/>
      <c r="C2" s="3333"/>
      <c r="D2" s="1958" t="s">
        <v>204</v>
      </c>
      <c r="E2" s="106" t="s">
        <v>205</v>
      </c>
      <c r="F2" s="1967"/>
      <c r="G2" s="1193"/>
      <c r="H2" s="1194"/>
      <c r="I2" s="1195" t="s">
        <v>857</v>
      </c>
      <c r="J2" s="1967"/>
      <c r="K2" s="1967"/>
      <c r="L2" s="1967"/>
    </row>
    <row r="3" spans="1:16" ht="15.75" thickBot="1">
      <c r="A3" s="3334" t="s">
        <v>206</v>
      </c>
      <c r="B3" s="3334"/>
      <c r="C3" s="3334"/>
      <c r="D3" s="107">
        <f>'数据-基础表'!AY6</f>
        <v>77720.2</v>
      </c>
      <c r="E3" s="107">
        <f>'数据-基础表'!AZ5</f>
        <v>77720.2</v>
      </c>
      <c r="F3" s="1967"/>
      <c r="G3" s="280" t="s">
        <v>858</v>
      </c>
      <c r="H3" s="275" t="s">
        <v>859</v>
      </c>
      <c r="I3" s="1959">
        <f>ROUND('数据-基础表'!B3/'数据-基础表'!A3,2)</f>
        <v>1</v>
      </c>
      <c r="J3" s="1967"/>
      <c r="K3" s="1967"/>
      <c r="L3" s="1967"/>
    </row>
    <row r="4" spans="1:16" ht="15">
      <c r="A4" s="3335"/>
      <c r="B4" s="3336"/>
      <c r="C4" s="3337"/>
      <c r="D4" s="108" t="s">
        <v>204</v>
      </c>
      <c r="E4" s="109" t="s">
        <v>205</v>
      </c>
      <c r="F4" s="1967"/>
      <c r="G4" s="1196"/>
      <c r="H4" s="275" t="s">
        <v>860</v>
      </c>
      <c r="I4" s="1959">
        <f>ROUND(SUMIF('数据-基础表'!I9:AS9,"地上",'数据-基础表'!I5:AS5)/'数据-基础表'!A3,2)</f>
        <v>1</v>
      </c>
      <c r="J4" s="1967"/>
      <c r="K4" s="1967"/>
      <c r="L4" s="1967"/>
    </row>
    <row r="5" spans="1:16">
      <c r="A5" s="110" t="s">
        <v>207</v>
      </c>
      <c r="B5" s="3338" t="s">
        <v>230</v>
      </c>
      <c r="C5" s="3338"/>
      <c r="D5" s="111">
        <f>ROUND($D$3*E5/$E$3,2)</f>
        <v>77720.2</v>
      </c>
      <c r="E5" s="112">
        <f>SUMIF('数据-基础表'!$11:$11,"住宅",'数据-基础表'!$5:$5)</f>
        <v>77720.2</v>
      </c>
      <c r="F5" s="1967"/>
      <c r="G5" s="280" t="s">
        <v>861</v>
      </c>
      <c r="H5" s="275" t="s">
        <v>859</v>
      </c>
      <c r="I5" s="1959">
        <f>ROUND(E31/D31,2)</f>
        <v>1</v>
      </c>
      <c r="J5" s="1967"/>
      <c r="K5" s="1967"/>
      <c r="L5" s="1967"/>
    </row>
    <row r="6" spans="1:16" ht="15" thickBot="1">
      <c r="A6" s="113"/>
      <c r="B6" s="3338" t="s">
        <v>208</v>
      </c>
      <c r="C6" s="3338"/>
      <c r="D6" s="111">
        <f>ROUND($D$3*E6/$E$3,2)</f>
        <v>0</v>
      </c>
      <c r="E6" s="112">
        <f>E3-E5</f>
        <v>0</v>
      </c>
      <c r="F6" s="1967"/>
      <c r="G6" s="1196"/>
      <c r="H6" s="275" t="s">
        <v>860</v>
      </c>
      <c r="I6" s="1959">
        <f>ROUND(F31/D31,2)</f>
        <v>1</v>
      </c>
      <c r="J6" s="1967"/>
      <c r="K6" s="1967"/>
      <c r="L6" s="1967"/>
    </row>
    <row r="7" spans="1:16" ht="15">
      <c r="A7" s="3330"/>
      <c r="B7" s="3331"/>
      <c r="C7" s="3332"/>
      <c r="D7" s="108" t="s">
        <v>204</v>
      </c>
      <c r="E7" s="114" t="s">
        <v>231</v>
      </c>
      <c r="F7" s="1967"/>
      <c r="G7" s="1151" t="s">
        <v>1645</v>
      </c>
      <c r="H7" s="1152"/>
      <c r="I7" s="1829">
        <v>1</v>
      </c>
      <c r="J7" s="1967"/>
      <c r="K7" s="1967"/>
      <c r="L7" s="1967"/>
    </row>
    <row r="8" spans="1:16">
      <c r="A8" s="110" t="s">
        <v>209</v>
      </c>
      <c r="B8" s="115" t="s">
        <v>210</v>
      </c>
      <c r="C8" s="111" t="s">
        <v>211</v>
      </c>
      <c r="D8" s="111">
        <f t="shared" ref="D8:D15" si="0">ROUND($D$3*E8/$E$3,2)</f>
        <v>77720.2</v>
      </c>
      <c r="E8" s="116">
        <f>SUMIF('数据-基础表'!BB10:BK10,"地上",'数据-基础表'!BB5:BK5)</f>
        <v>77720.2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77720.2</v>
      </c>
      <c r="E16" s="120">
        <f>SUM(E8:E15)</f>
        <v>77720.2</v>
      </c>
      <c r="F16" s="1967"/>
      <c r="G16" s="1969"/>
      <c r="H16" s="967" t="s">
        <v>219</v>
      </c>
      <c r="I16" s="968"/>
      <c r="J16" s="1967"/>
      <c r="K16" s="3324" t="s">
        <v>2566</v>
      </c>
      <c r="L16" s="3325"/>
      <c r="M16" s="3325"/>
      <c r="N16" s="3325"/>
      <c r="O16" s="3325"/>
      <c r="P16" s="3326"/>
    </row>
    <row r="17" spans="1:19" ht="15">
      <c r="A17" s="121" t="s">
        <v>216</v>
      </c>
      <c r="B17" s="122" t="s">
        <v>217</v>
      </c>
      <c r="C17" s="2281" t="s">
        <v>2313</v>
      </c>
      <c r="D17" s="108" t="s">
        <v>204</v>
      </c>
      <c r="E17" s="124" t="s">
        <v>205</v>
      </c>
      <c r="F17" s="125"/>
      <c r="G17" s="1361"/>
      <c r="H17" s="969" t="s">
        <v>218</v>
      </c>
      <c r="I17" s="970" t="s">
        <v>2312</v>
      </c>
      <c r="J17" s="1967"/>
      <c r="K17" s="3327" t="s">
        <v>2567</v>
      </c>
      <c r="L17" s="3328"/>
      <c r="M17" s="3329"/>
      <c r="N17" s="3327" t="s">
        <v>2568</v>
      </c>
      <c r="O17" s="3328"/>
      <c r="P17" s="3329"/>
      <c r="R17" s="2282" t="s">
        <v>2311</v>
      </c>
      <c r="S17" s="144"/>
    </row>
    <row r="18" spans="1:19" ht="15">
      <c r="A18" s="117"/>
      <c r="B18" s="128"/>
      <c r="C18" s="129"/>
      <c r="D18" s="2602"/>
      <c r="E18" s="130" t="s">
        <v>220</v>
      </c>
      <c r="F18" s="131" t="s">
        <v>221</v>
      </c>
      <c r="G18" s="1362" t="s">
        <v>222</v>
      </c>
      <c r="H18" s="971" t="s">
        <v>223</v>
      </c>
      <c r="I18" s="972" t="s">
        <v>224</v>
      </c>
      <c r="J18" s="1967"/>
      <c r="K18" s="2565" t="s">
        <v>2569</v>
      </c>
      <c r="L18" s="2566" t="s">
        <v>2570</v>
      </c>
      <c r="M18" s="2567" t="s">
        <v>2571</v>
      </c>
      <c r="N18" s="2565" t="s">
        <v>2569</v>
      </c>
      <c r="O18" s="2566" t="s">
        <v>2570</v>
      </c>
      <c r="P18" s="2567" t="s">
        <v>2571</v>
      </c>
      <c r="R18" s="2283" t="s">
        <v>2309</v>
      </c>
      <c r="S18" s="2283" t="s">
        <v>2310</v>
      </c>
    </row>
    <row r="19" spans="1:19">
      <c r="A19" s="133"/>
      <c r="B19" s="115" t="s">
        <v>225</v>
      </c>
      <c r="C19" s="2973" t="s">
        <v>3000</v>
      </c>
      <c r="D19" s="111">
        <f t="shared" ref="D19:D26" si="1">ROUND($D$3*E19/$E$3,2)</f>
        <v>77720.2</v>
      </c>
      <c r="E19" s="134">
        <f t="shared" ref="E19:E26" si="2">SUM(F19:G19)</f>
        <v>77720.2</v>
      </c>
      <c r="F19" s="3179">
        <f>E5</f>
        <v>77720.2</v>
      </c>
      <c r="G19" s="1363"/>
      <c r="H19" s="973">
        <f>ROUND($D$3*I19/$E$3,2)</f>
        <v>0</v>
      </c>
      <c r="I19" s="116">
        <f>IF($I$17="自定义",P19,M19)</f>
        <v>0</v>
      </c>
      <c r="J19" s="1967"/>
      <c r="K19" s="2568">
        <f t="shared" ref="K19:K26" si="3">ROUND(E$28*E19/E$27,2)</f>
        <v>0</v>
      </c>
      <c r="L19" s="275">
        <f t="shared" ref="L19:L26" si="4">ROUND(IF(COUNTIF(C19,"*住宅*")&gt;0,E$29*E19/E$32,0),2)</f>
        <v>0</v>
      </c>
      <c r="M19" s="2569">
        <f>K19+L19</f>
        <v>0</v>
      </c>
      <c r="N19" s="2570"/>
      <c r="O19" s="2571"/>
      <c r="P19" s="2572">
        <f>N19+O19</f>
        <v>0</v>
      </c>
      <c r="R19" s="275">
        <f t="shared" ref="R19:S26" si="5">D19+H19</f>
        <v>77720.2</v>
      </c>
      <c r="S19" s="2284">
        <f t="shared" si="5"/>
        <v>77720.2</v>
      </c>
    </row>
    <row r="20" spans="1:19">
      <c r="A20" s="138"/>
      <c r="B20" s="115" t="s">
        <v>226</v>
      </c>
      <c r="C20" s="2973"/>
      <c r="D20" s="111">
        <f t="shared" si="1"/>
        <v>0</v>
      </c>
      <c r="E20" s="134">
        <f t="shared" si="2"/>
        <v>0</v>
      </c>
      <c r="F20" s="135"/>
      <c r="G20" s="1363"/>
      <c r="H20" s="973">
        <f t="shared" ref="H20:H26" si="6">ROUND($D$3*I20/$E$3,2)</f>
        <v>0</v>
      </c>
      <c r="I20" s="116">
        <f t="shared" ref="I20:I26" si="7">IF($I$17="自定义",P20,M20)</f>
        <v>0</v>
      </c>
      <c r="J20" s="1967"/>
      <c r="K20" s="2568">
        <f t="shared" si="3"/>
        <v>0</v>
      </c>
      <c r="L20" s="275">
        <f t="shared" si="4"/>
        <v>0</v>
      </c>
      <c r="M20" s="2569">
        <f t="shared" ref="M20:M26" si="8">K20+L20</f>
        <v>0</v>
      </c>
      <c r="N20" s="2570"/>
      <c r="O20" s="2571"/>
      <c r="P20" s="2572">
        <f t="shared" ref="P20:P26" si="9">N20+O20</f>
        <v>0</v>
      </c>
      <c r="R20" s="275">
        <f t="shared" si="5"/>
        <v>0</v>
      </c>
      <c r="S20" s="2284">
        <f t="shared" si="5"/>
        <v>0</v>
      </c>
    </row>
    <row r="21" spans="1:19">
      <c r="A21" s="138"/>
      <c r="B21" s="115" t="s">
        <v>226</v>
      </c>
      <c r="C21" s="2973"/>
      <c r="D21" s="111">
        <f t="shared" si="1"/>
        <v>0</v>
      </c>
      <c r="E21" s="134">
        <f t="shared" si="2"/>
        <v>0</v>
      </c>
      <c r="F21" s="135"/>
      <c r="G21" s="1363"/>
      <c r="H21" s="973">
        <f t="shared" si="6"/>
        <v>0</v>
      </c>
      <c r="I21" s="116">
        <f t="shared" si="7"/>
        <v>0</v>
      </c>
      <c r="J21" s="1967"/>
      <c r="K21" s="2568">
        <f t="shared" si="3"/>
        <v>0</v>
      </c>
      <c r="L21" s="275">
        <f t="shared" si="4"/>
        <v>0</v>
      </c>
      <c r="M21" s="2569">
        <f t="shared" si="8"/>
        <v>0</v>
      </c>
      <c r="N21" s="2570"/>
      <c r="O21" s="2571"/>
      <c r="P21" s="2572">
        <f t="shared" si="9"/>
        <v>0</v>
      </c>
      <c r="R21" s="275">
        <f t="shared" si="5"/>
        <v>0</v>
      </c>
      <c r="S21" s="2284">
        <f t="shared" si="5"/>
        <v>0</v>
      </c>
    </row>
    <row r="22" spans="1:19">
      <c r="A22" s="138"/>
      <c r="B22" s="115" t="s">
        <v>226</v>
      </c>
      <c r="C22" s="1360"/>
      <c r="D22" s="111">
        <f t="shared" si="1"/>
        <v>0</v>
      </c>
      <c r="E22" s="134">
        <f t="shared" si="2"/>
        <v>0</v>
      </c>
      <c r="F22" s="140"/>
      <c r="G22" s="1364"/>
      <c r="H22" s="973">
        <f t="shared" si="6"/>
        <v>0</v>
      </c>
      <c r="I22" s="116">
        <f t="shared" si="7"/>
        <v>0</v>
      </c>
      <c r="J22" s="1967"/>
      <c r="K22" s="2568">
        <f t="shared" si="3"/>
        <v>0</v>
      </c>
      <c r="L22" s="275">
        <f t="shared" si="4"/>
        <v>0</v>
      </c>
      <c r="M22" s="2569">
        <f t="shared" si="8"/>
        <v>0</v>
      </c>
      <c r="N22" s="2570"/>
      <c r="O22" s="2571"/>
      <c r="P22" s="2572">
        <f t="shared" si="9"/>
        <v>0</v>
      </c>
      <c r="R22" s="275">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68">
        <f t="shared" si="3"/>
        <v>0</v>
      </c>
      <c r="L23" s="275">
        <f t="shared" si="4"/>
        <v>0</v>
      </c>
      <c r="M23" s="2569">
        <f t="shared" si="8"/>
        <v>0</v>
      </c>
      <c r="N23" s="2570"/>
      <c r="O23" s="2571"/>
      <c r="P23" s="2572">
        <f t="shared" si="9"/>
        <v>0</v>
      </c>
      <c r="R23" s="275">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68">
        <f t="shared" si="3"/>
        <v>0</v>
      </c>
      <c r="L24" s="275">
        <f t="shared" si="4"/>
        <v>0</v>
      </c>
      <c r="M24" s="2569">
        <f t="shared" si="8"/>
        <v>0</v>
      </c>
      <c r="N24" s="2570"/>
      <c r="O24" s="2571"/>
      <c r="P24" s="2572">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68">
        <f t="shared" si="3"/>
        <v>0</v>
      </c>
      <c r="L25" s="275">
        <f t="shared" si="4"/>
        <v>0</v>
      </c>
      <c r="M25" s="2569">
        <f t="shared" si="8"/>
        <v>0</v>
      </c>
      <c r="N25" s="2570"/>
      <c r="O25" s="2571"/>
      <c r="P25" s="2572">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3">
        <f t="shared" si="3"/>
        <v>0</v>
      </c>
      <c r="L26" s="280">
        <f t="shared" si="4"/>
        <v>0</v>
      </c>
      <c r="M26" s="146">
        <f t="shared" si="8"/>
        <v>0</v>
      </c>
      <c r="N26" s="2574"/>
      <c r="O26" s="2575"/>
      <c r="P26" s="2576">
        <f t="shared" si="9"/>
        <v>0</v>
      </c>
      <c r="R26" s="275">
        <f t="shared" si="5"/>
        <v>0</v>
      </c>
      <c r="S26" s="2284">
        <f t="shared" si="5"/>
        <v>0</v>
      </c>
    </row>
    <row r="27" spans="1:19" ht="15.75" thickBot="1">
      <c r="A27" s="138"/>
      <c r="B27" s="111"/>
      <c r="C27" s="127" t="s">
        <v>215</v>
      </c>
      <c r="D27" s="134">
        <f>SUM(D19:D26)</f>
        <v>77720.2</v>
      </c>
      <c r="E27" s="143">
        <f>IF(SUM(E19:E26)='数据-基础表'!BA5,SUM(E19:E26),IF(F27="地上面积有误","面积有误","地下面积有误"))</f>
        <v>77720.2</v>
      </c>
      <c r="F27" s="134">
        <f>IF(SUM(F19:F26)=E8,SUM(F19:F26),"地上面积有误")</f>
        <v>77720.2</v>
      </c>
      <c r="G27" s="112">
        <f>SUM(G19:G26)</f>
        <v>0</v>
      </c>
      <c r="H27" s="974">
        <f>SUM(H19:H26)</f>
        <v>0</v>
      </c>
      <c r="I27" s="975">
        <f>SUM(I19:I26)</f>
        <v>0</v>
      </c>
      <c r="J27" s="1967"/>
      <c r="K27" s="2577">
        <f>SUM(K19:K26)</f>
        <v>0</v>
      </c>
      <c r="L27" s="2578">
        <f>SUM(L19:L26)</f>
        <v>0</v>
      </c>
      <c r="M27" s="2579">
        <f>SUM(M19:M26)</f>
        <v>0</v>
      </c>
      <c r="N27" s="2577">
        <f t="shared" ref="N27:O27" si="10">SUM(N19:N26)</f>
        <v>0</v>
      </c>
      <c r="O27" s="2578">
        <f t="shared" si="10"/>
        <v>0</v>
      </c>
      <c r="P27" s="2580">
        <f>SUM(P19:P26)</f>
        <v>0</v>
      </c>
      <c r="R27" s="2288">
        <f>IF(SUM(R19:R26)=$D$3,SUM(R19:R26),SUM(R19:R26)&amp;"误差"&amp;ROUND(SUM(R19:R26)-$D$3,2))</f>
        <v>77720.2</v>
      </c>
      <c r="S27" s="275">
        <f>IF(SUM(S19:S26)=$E$3,SUM(S19:S26),SUM(S19:S26)&amp;"误差"&amp;ROUND(SUM(S19:S26)-E3,2))</f>
        <v>77720.2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77720.2</v>
      </c>
      <c r="E31" s="1367">
        <f>E27+E30</f>
        <v>77720.2</v>
      </c>
      <c r="F31" s="1368">
        <f>F27+F30</f>
        <v>77720.2</v>
      </c>
      <c r="G31" s="1369">
        <f>G27+G30</f>
        <v>0</v>
      </c>
      <c r="H31" s="1967"/>
      <c r="I31" s="1967"/>
      <c r="J31" s="1967"/>
      <c r="K31" s="1967"/>
      <c r="L31" s="1967"/>
    </row>
    <row r="32" spans="1:19">
      <c r="A32" s="1967"/>
      <c r="B32" s="2325" t="s">
        <v>2321</v>
      </c>
      <c r="C32" s="2607"/>
      <c r="D32" s="1196"/>
      <c r="E32" s="1196">
        <f>SUMIF(C19:C26,"*住宅*",E19:E26)</f>
        <v>77720.2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13.75" style="198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1"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981</v>
      </c>
      <c r="D6" s="2291">
        <f>SUMIF(项目基本情况!D$15:I$15,C6,项目基本情况!D$18:I$18)</f>
        <v>50</v>
      </c>
      <c r="E6" s="2292">
        <f>IF(B6="","",SUMIF(项目基本情况!D$15:I$15,C6,项目基本情况!D$17:I$17))</f>
        <v>109575</v>
      </c>
      <c r="F6" s="174">
        <f>SUMIF(项目基本情况!D$15:I$15,C6,项目基本情况!D$19:I$19)</f>
        <v>50</v>
      </c>
      <c r="G6" s="175">
        <f>IF(ISERROR(ROUND(POWER(1+H6,D6-F6)*(POWER(1+H6,F6)-1)/(POWER(1+H6,D6)-1),3)),0,ROUND(POWER(1+H6,D6-F6)*(POWER(1+H6,F6)-1)/(POWER(1+H6,D6)-1),3))</f>
        <v>1</v>
      </c>
      <c r="H6" s="2974">
        <v>0.04</v>
      </c>
      <c r="I6" s="2974">
        <v>0.05</v>
      </c>
      <c r="J6" s="176">
        <v>0.08</v>
      </c>
      <c r="K6" s="179">
        <f>SUMIF('数据-汇总表'!C$19:C$33,'数据-取费表'!A6,'数据-汇总表'!E$19:E$33)</f>
        <v>77720.2</v>
      </c>
      <c r="L6" s="2975"/>
      <c r="M6" s="177">
        <f t="shared" ref="M6:M14" si="0">ROUND(K6*L6/10000,0)</f>
        <v>0</v>
      </c>
      <c r="N6" s="2976"/>
      <c r="O6" s="177">
        <f>IF($N$5="成新度","——",ROUND(M6*N6,0))</f>
        <v>0</v>
      </c>
      <c r="P6" s="178">
        <f>IF($N$5="成新度","——",M6-O6)</f>
        <v>0</v>
      </c>
      <c r="Q6" s="2977">
        <v>0.14000000000000001</v>
      </c>
      <c r="R6" s="179">
        <f>SUMIF('数据-汇总表'!C$19:C$33,A6,'数据-汇总表'!R$19:R$33)</f>
        <v>77720.2</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8"/>
      <c r="AN6" s="2354"/>
      <c r="AO6" s="1983"/>
      <c r="AP6" s="1199">
        <v>1</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77720.2</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294">
        <f>SUM(R6:R13)</f>
        <v>77720.2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1.5</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1.5</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160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100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3182"/>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2894</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2896</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49"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49" t="s">
        <v>2457</v>
      </c>
      <c r="B40" s="2441">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2" t="s">
        <v>2901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3" t="s">
        <v>2902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2903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c r="C53" s="3024" t="s">
        <v>2904</v>
      </c>
      <c r="D53" s="3025" t="s">
        <v>2905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2906</v>
      </c>
      <c r="B54" s="186"/>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2907</v>
      </c>
      <c r="B55" s="186"/>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2908</v>
      </c>
      <c r="B56" s="186"/>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2909</v>
      </c>
      <c r="B57" s="186"/>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2910</v>
      </c>
      <c r="B58" s="186"/>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2911</v>
      </c>
      <c r="B59" s="186"/>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2912</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2915</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9" t="s">
        <v>1663</v>
      </c>
      <c r="B1" s="3340"/>
      <c r="C1" s="3340"/>
      <c r="D1" s="3340"/>
      <c r="E1" s="3340"/>
      <c r="F1" s="3340"/>
      <c r="G1" s="3340"/>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29" t="s">
        <v>2922</v>
      </c>
      <c r="D3" s="1992"/>
      <c r="E3" s="1224" t="s">
        <v>1666</v>
      </c>
      <c r="F3" s="1225" t="s">
        <v>1654</v>
      </c>
      <c r="G3" s="3033" t="s">
        <v>2921</v>
      </c>
      <c r="H3" s="1991"/>
      <c r="I3" s="1991"/>
      <c r="J3" s="1991"/>
      <c r="K3" s="1991"/>
      <c r="L3" s="1991"/>
      <c r="M3" s="1991"/>
      <c r="N3" s="1991"/>
      <c r="O3" s="1991"/>
      <c r="P3" s="1991"/>
      <c r="Q3" s="1991"/>
      <c r="R3" s="1991"/>
    </row>
    <row r="4" spans="1:18" ht="41.25">
      <c r="A4" s="1224"/>
      <c r="B4" s="1226" t="s">
        <v>1667</v>
      </c>
      <c r="C4" s="3030" t="s">
        <v>2923</v>
      </c>
      <c r="D4" s="1992"/>
      <c r="E4" s="1227"/>
      <c r="F4" s="1228" t="s">
        <v>1668</v>
      </c>
      <c r="G4" s="3031" t="s">
        <v>2918</v>
      </c>
      <c r="H4" s="1991"/>
      <c r="I4" s="1991"/>
      <c r="J4" s="1991"/>
      <c r="K4" s="1991"/>
      <c r="L4" s="1991"/>
      <c r="M4" s="1991"/>
      <c r="N4" s="1991"/>
      <c r="O4" s="1991"/>
      <c r="P4" s="1991"/>
      <c r="Q4" s="1991"/>
      <c r="R4" s="1991"/>
    </row>
    <row r="5" spans="1:18" ht="41.25">
      <c r="A5" s="1224"/>
      <c r="B5" s="1226" t="s">
        <v>1669</v>
      </c>
      <c r="C5" s="3030" t="s">
        <v>2924</v>
      </c>
      <c r="D5" s="1992"/>
      <c r="E5" s="1227"/>
      <c r="F5" s="1226" t="s">
        <v>2546</v>
      </c>
      <c r="G5" s="3031" t="s">
        <v>2919</v>
      </c>
      <c r="H5" s="1991"/>
      <c r="I5" s="1991"/>
      <c r="J5" s="1991"/>
      <c r="K5" s="1991"/>
      <c r="L5" s="1991"/>
      <c r="M5" s="1991"/>
      <c r="N5" s="1991"/>
      <c r="O5" s="1991"/>
      <c r="P5" s="1991"/>
      <c r="Q5" s="1991"/>
      <c r="R5" s="1991"/>
    </row>
    <row r="6" spans="1:18" ht="54">
      <c r="A6" s="1224"/>
      <c r="B6" s="1226" t="s">
        <v>1655</v>
      </c>
      <c r="C6" s="3031" t="s">
        <v>2918</v>
      </c>
      <c r="D6" s="1992"/>
      <c r="E6" s="1227"/>
      <c r="F6" s="1226" t="s">
        <v>2547</v>
      </c>
      <c r="G6" s="3031" t="s">
        <v>2916</v>
      </c>
      <c r="H6" s="1991"/>
      <c r="I6" s="1991"/>
      <c r="J6" s="1991"/>
      <c r="K6" s="1991"/>
      <c r="L6" s="1991"/>
      <c r="M6" s="1991"/>
      <c r="N6" s="1991"/>
      <c r="O6" s="1991"/>
      <c r="P6" s="1991"/>
      <c r="Q6" s="1991"/>
      <c r="R6" s="1991"/>
    </row>
    <row r="7" spans="1:18" ht="41.25" thickBot="1">
      <c r="A7" s="1224"/>
      <c r="B7" s="1226" t="s">
        <v>2546</v>
      </c>
      <c r="C7" s="3031" t="s">
        <v>2919</v>
      </c>
      <c r="D7" s="1993"/>
      <c r="E7" s="1229"/>
      <c r="F7" s="1230" t="s">
        <v>1670</v>
      </c>
      <c r="G7" s="3034" t="s">
        <v>2920</v>
      </c>
      <c r="H7" s="1991"/>
      <c r="I7" s="1991"/>
      <c r="J7" s="1991"/>
      <c r="K7" s="1991"/>
      <c r="L7" s="1991"/>
      <c r="M7" s="1991"/>
      <c r="N7" s="1991"/>
      <c r="O7" s="1991"/>
      <c r="P7" s="1991"/>
      <c r="Q7" s="1991"/>
      <c r="R7" s="1991"/>
    </row>
    <row r="8" spans="1:18" ht="27">
      <c r="A8" s="1224"/>
      <c r="B8" s="1226" t="s">
        <v>2547</v>
      </c>
      <c r="C8" s="3031" t="s">
        <v>2916</v>
      </c>
      <c r="D8" s="1993"/>
      <c r="E8" s="1993"/>
      <c r="F8" s="1538"/>
      <c r="G8" s="1538"/>
      <c r="H8" s="1991"/>
      <c r="I8" s="1991"/>
      <c r="J8" s="1991"/>
      <c r="K8" s="1991"/>
      <c r="L8" s="1991"/>
      <c r="M8" s="1991"/>
      <c r="N8" s="1991"/>
      <c r="O8" s="1991"/>
      <c r="P8" s="1991"/>
      <c r="Q8" s="1991"/>
      <c r="R8" s="1991"/>
    </row>
    <row r="9" spans="1:18" ht="40.5">
      <c r="A9" s="1224"/>
      <c r="B9" s="1226" t="s">
        <v>1656</v>
      </c>
      <c r="C9" s="3030" t="s">
        <v>2917</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38"/>
      <c r="E12" s="1992"/>
      <c r="F12" s="1993"/>
      <c r="G12" s="1995"/>
      <c r="H12" s="2000"/>
      <c r="I12" s="2001"/>
      <c r="J12" s="2000"/>
      <c r="K12" s="2000"/>
      <c r="L12" s="2002"/>
      <c r="M12" s="2000"/>
      <c r="N12" s="2003"/>
      <c r="O12" s="2004"/>
      <c r="P12" s="2005"/>
      <c r="Q12" s="2003"/>
      <c r="R12" s="1989"/>
    </row>
    <row r="13" spans="1:18" ht="19.5" thickBot="1">
      <c r="A13" s="2537" t="s">
        <v>1672</v>
      </c>
      <c r="B13" s="2538"/>
      <c r="C13" s="2538"/>
      <c r="D13" s="1219"/>
      <c r="E13" s="2538"/>
      <c r="F13" s="2538"/>
      <c r="G13" s="2538"/>
    </row>
    <row r="14" spans="1:18" ht="14.25" thickBot="1">
      <c r="A14" s="1233"/>
      <c r="B14" s="1234"/>
      <c r="C14" s="1235" t="s">
        <v>1664</v>
      </c>
      <c r="D14" s="1992"/>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2"/>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2"/>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3"/>
      <c r="E17" s="2546"/>
      <c r="F17" s="1242" t="s">
        <v>1674</v>
      </c>
      <c r="G17" s="2746"/>
    </row>
    <row r="18" spans="1:7" ht="54">
      <c r="A18" s="2549"/>
      <c r="B18" s="1242" t="s">
        <v>1655</v>
      </c>
      <c r="C18" s="1004" t="str">
        <f>C6</f>
        <v>估价对象周边道路状况、公共交通通达情况、停车便捷程度，综合评价交通便捷度较好</v>
      </c>
      <c r="D18" s="1993"/>
      <c r="E18" s="2546"/>
      <c r="F18" s="1242" t="s">
        <v>1670</v>
      </c>
      <c r="G18" s="1004" t="str">
        <f>G7</f>
        <v>该园区内是否有污染型企业，绿化情况，卫生条件，整体环境状况判断</v>
      </c>
    </row>
    <row r="19" spans="1:7" ht="27">
      <c r="A19" s="2549"/>
      <c r="B19" s="1242" t="s">
        <v>1659</v>
      </c>
      <c r="C19" s="2746"/>
      <c r="D19" s="1992"/>
      <c r="E19" s="2546"/>
      <c r="F19" s="1226" t="s">
        <v>2546</v>
      </c>
      <c r="G19" s="1004" t="str">
        <f>G5</f>
        <v>估价对象所在区域公共配套设施齐备情况</v>
      </c>
    </row>
    <row r="20" spans="1:7" ht="40.5">
      <c r="A20" s="2549"/>
      <c r="B20" s="1242" t="s">
        <v>1660</v>
      </c>
      <c r="C20" s="1241" t="str">
        <f>C9</f>
        <v>区域自然环境：；人文环境；综合评价环境状况一般</v>
      </c>
      <c r="D20" s="1993"/>
      <c r="E20" s="2546"/>
      <c r="F20" s="1226" t="s">
        <v>2547</v>
      </c>
      <c r="G20" s="1004" t="str">
        <f>G6</f>
        <v>估价对象所在区域基础设施水平</v>
      </c>
    </row>
    <row r="21" spans="1:7" ht="27">
      <c r="A21" s="2549"/>
      <c r="B21" s="1226" t="s">
        <v>2546</v>
      </c>
      <c r="C21" s="1004" t="str">
        <f>C7</f>
        <v>估价对象所在区域公共配套设施齐备情况</v>
      </c>
      <c r="D21" s="1992"/>
      <c r="E21" s="2546"/>
      <c r="F21" s="1242" t="s">
        <v>1661</v>
      </c>
      <c r="G21" s="3035"/>
    </row>
    <row r="22" spans="1:7" ht="27">
      <c r="A22" s="2549"/>
      <c r="B22" s="1226" t="s">
        <v>2547</v>
      </c>
      <c r="C22" s="1004" t="str">
        <f>C8</f>
        <v>估价对象所在区域基础设施水平</v>
      </c>
      <c r="D22" s="1992"/>
      <c r="E22" s="2546"/>
      <c r="F22" s="1242" t="s">
        <v>1671</v>
      </c>
      <c r="G22" s="2746"/>
    </row>
    <row r="23" spans="1:7" ht="15" thickBot="1">
      <c r="A23" s="2549"/>
      <c r="B23" s="1242" t="s">
        <v>1661</v>
      </c>
      <c r="C23" s="3035"/>
      <c r="E23" s="2547"/>
      <c r="F23" s="1243" t="s">
        <v>1675</v>
      </c>
      <c r="G23" s="3036"/>
    </row>
    <row r="24" spans="1:7" ht="14.25" thickBot="1">
      <c r="A24" s="2550"/>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2843</v>
      </c>
      <c r="B1" s="2993">
        <f>SUM(B14:B23)</f>
        <v>77720.2</v>
      </c>
      <c r="C1" s="2994"/>
      <c r="D1" s="2994"/>
      <c r="E1" s="2994"/>
      <c r="F1" s="2994"/>
    </row>
    <row r="2" spans="1:9" ht="16.5">
      <c r="A2" s="2993" t="s">
        <v>2844</v>
      </c>
      <c r="B2" s="2993">
        <f>SUM(C14:C23)</f>
        <v>77720.2</v>
      </c>
      <c r="C2" s="2994"/>
      <c r="D2" s="2994"/>
      <c r="E2" s="2994"/>
      <c r="F2" s="2994"/>
    </row>
    <row r="3" spans="1:9" ht="16.5">
      <c r="A3" s="2993" t="s">
        <v>2845</v>
      </c>
      <c r="B3" s="2995">
        <f>项目基本情况!D3</f>
        <v>43646</v>
      </c>
      <c r="C3" s="2994"/>
      <c r="D3" s="2994"/>
      <c r="E3" s="2994"/>
      <c r="F3" s="2994"/>
    </row>
    <row r="4" spans="1:9" ht="33">
      <c r="A4" s="2993" t="s">
        <v>2846</v>
      </c>
      <c r="B4" s="2993" t="s">
        <v>2847</v>
      </c>
      <c r="C4" s="2993" t="s">
        <v>2848</v>
      </c>
      <c r="D4" s="2993" t="s">
        <v>2849</v>
      </c>
      <c r="E4" s="2994"/>
      <c r="F4" s="2994"/>
    </row>
    <row r="5" spans="1:9" ht="16.5">
      <c r="A5" s="2993" t="s">
        <v>2850</v>
      </c>
      <c r="B5" s="2993">
        <f ca="1">SUM(D14:D23)</f>
        <v>33082</v>
      </c>
      <c r="C5" s="2993">
        <f ca="1">ROUND(B5*10000/$B$1,0)</f>
        <v>4257</v>
      </c>
      <c r="D5" s="2993">
        <f ca="1">ROUND(B5*10000/$B$2,0)</f>
        <v>4257</v>
      </c>
      <c r="E5" s="2994"/>
      <c r="F5" s="2994"/>
    </row>
    <row r="6" spans="1:9" ht="16.5">
      <c r="A6" s="2993" t="s">
        <v>2851</v>
      </c>
      <c r="B6" s="2993">
        <f>SUM(G14:G23)</f>
        <v>0</v>
      </c>
      <c r="C6" s="2993">
        <f t="shared" ref="C6:C8" si="0">ROUND(B6*10000/$B$1,0)</f>
        <v>0</v>
      </c>
      <c r="D6" s="2993">
        <f t="shared" ref="D6:D8" si="1">ROUND(B6*10000/$B$2,0)</f>
        <v>0</v>
      </c>
      <c r="E6" s="2994"/>
      <c r="F6" s="2994"/>
    </row>
    <row r="7" spans="1:9" ht="16.5">
      <c r="A7" s="2993" t="s">
        <v>2852</v>
      </c>
      <c r="B7" s="2993">
        <f>SUM(H14:H23)</f>
        <v>0</v>
      </c>
      <c r="C7" s="2993">
        <f t="shared" si="0"/>
        <v>0</v>
      </c>
      <c r="D7" s="2993">
        <f t="shared" si="1"/>
        <v>0</v>
      </c>
      <c r="E7" s="2994"/>
      <c r="F7" s="2994"/>
    </row>
    <row r="8" spans="1:9" ht="16.5">
      <c r="A8" s="2993" t="s">
        <v>2853</v>
      </c>
      <c r="B8" s="2993">
        <f>SUM(I14:I23)</f>
        <v>0</v>
      </c>
      <c r="C8" s="2993">
        <f t="shared" si="0"/>
        <v>0</v>
      </c>
      <c r="D8" s="2993">
        <f t="shared" si="1"/>
        <v>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77720.2</v>
      </c>
      <c r="C14" s="2997">
        <f>结果表!K38</f>
        <v>77720.2</v>
      </c>
      <c r="D14" s="2997">
        <f ca="1">结果表!C42</f>
        <v>33082</v>
      </c>
      <c r="E14" s="2997">
        <f ca="1">ROUND(D14*10000/B14,0)</f>
        <v>4257</v>
      </c>
      <c r="F14" s="2997">
        <f ca="1">ROUND(D14*10000/C14,0)</f>
        <v>4257</v>
      </c>
      <c r="G14" s="2997" t="str">
        <f>结果表!C44</f>
        <v>——</v>
      </c>
      <c r="H14" s="2997" t="str">
        <f>结果表!C45</f>
        <v>——</v>
      </c>
      <c r="I14" s="2997" t="str">
        <f>结果表!C46</f>
        <v>——</v>
      </c>
    </row>
    <row r="15" spans="1:9" ht="16.5">
      <c r="A15" s="3000" t="s">
        <v>2860</v>
      </c>
      <c r="B15" s="3001"/>
      <c r="C15" s="3001"/>
      <c r="D15" s="3001"/>
      <c r="E15" s="2997" t="e">
        <f t="shared" ref="E15:E23" si="2">ROUND(D15*10000/B15,0)</f>
        <v>#DIV/0!</v>
      </c>
      <c r="F15" s="2997" t="e">
        <f t="shared" ref="F15:F23" si="3">ROUND(D15*10000/C15,0)</f>
        <v>#DIV/0!</v>
      </c>
      <c r="G15" s="2998"/>
      <c r="H15" s="2998"/>
      <c r="I15" s="3001"/>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9" sqref="E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2055</v>
      </c>
      <c r="B1" s="1760"/>
      <c r="C1" s="1788" t="s">
        <v>2056</v>
      </c>
      <c r="D1" s="1789" t="s">
        <v>3035</v>
      </c>
      <c r="E1" s="1788" t="s">
        <v>2057</v>
      </c>
      <c r="F1" s="1790" t="s">
        <v>3034</v>
      </c>
      <c r="G1" s="310"/>
      <c r="H1" s="310"/>
      <c r="I1" s="310"/>
      <c r="J1" s="2012"/>
      <c r="K1" s="2012"/>
      <c r="L1" s="2012"/>
      <c r="M1" s="2012"/>
      <c r="N1" s="2012"/>
      <c r="O1" s="2012"/>
      <c r="P1" s="2012"/>
      <c r="Q1" s="2012"/>
      <c r="R1" s="2012"/>
      <c r="S1" s="2012"/>
      <c r="T1" s="2012"/>
      <c r="U1" s="2012"/>
      <c r="V1" s="2012"/>
    </row>
    <row r="2" spans="1:22" ht="21.75" customHeight="1" thickBot="1">
      <c r="A2" s="3377" t="str">
        <f>项目基本情况!K2</f>
        <v>北京市储备国有建设用地使用权</v>
      </c>
      <c r="B2" s="3378"/>
      <c r="C2" s="3379"/>
      <c r="D2" s="3379"/>
      <c r="E2" s="3379"/>
      <c r="F2" s="3379"/>
      <c r="G2" s="3378"/>
      <c r="H2" s="3378"/>
      <c r="I2" s="3380"/>
      <c r="J2" s="2013"/>
      <c r="K2" s="2012"/>
      <c r="L2" s="2012"/>
      <c r="M2" s="2012"/>
      <c r="N2" s="2012"/>
      <c r="O2" s="2012"/>
      <c r="P2" s="2012"/>
      <c r="Q2" s="2012"/>
      <c r="R2" s="2012"/>
      <c r="S2" s="2012"/>
      <c r="T2" s="2012"/>
      <c r="U2" s="2012"/>
      <c r="V2" s="2012"/>
    </row>
    <row r="3" spans="1:22" ht="14.25">
      <c r="A3" s="3370" t="s">
        <v>298</v>
      </c>
      <c r="B3" s="3371"/>
      <c r="C3" s="3371"/>
      <c r="D3" s="3371"/>
      <c r="E3" s="3371"/>
      <c r="F3" s="3371"/>
      <c r="G3" s="3371"/>
      <c r="H3" s="3371"/>
      <c r="I3" s="3371"/>
      <c r="J3" s="2013"/>
      <c r="K3" s="2012"/>
      <c r="L3" s="2012"/>
      <c r="M3" s="2012"/>
      <c r="N3" s="2012"/>
      <c r="O3" s="2012"/>
      <c r="P3" s="2012"/>
      <c r="Q3" s="2012"/>
      <c r="R3" s="2012"/>
      <c r="S3" s="2012"/>
      <c r="T3" s="2012"/>
      <c r="U3" s="2012"/>
      <c r="V3" s="2012"/>
    </row>
    <row r="4" spans="1:22" ht="14.25">
      <c r="A4" s="258" t="s">
        <v>299</v>
      </c>
      <c r="B4" s="259" t="s">
        <v>300</v>
      </c>
      <c r="C4" s="260" t="s">
        <v>2951</v>
      </c>
      <c r="D4" s="260" t="s">
        <v>3033</v>
      </c>
      <c r="E4" s="3342" t="s">
        <v>301</v>
      </c>
      <c r="F4" s="3343"/>
      <c r="G4" s="3343"/>
      <c r="H4" s="3343"/>
      <c r="I4" s="3372"/>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41" t="s">
        <v>302</v>
      </c>
      <c r="B5" s="3367">
        <v>25</v>
      </c>
      <c r="C5" s="3365">
        <v>2</v>
      </c>
      <c r="D5" s="3369">
        <f>10-C5</f>
        <v>8</v>
      </c>
      <c r="E5" s="261" t="s">
        <v>303</v>
      </c>
      <c r="F5" s="262"/>
      <c r="G5" s="262"/>
      <c r="H5" s="262"/>
      <c r="I5" s="263"/>
      <c r="J5" s="2013"/>
      <c r="K5" s="2012"/>
      <c r="L5" s="2012"/>
      <c r="M5" s="2012"/>
      <c r="N5" s="2012"/>
      <c r="O5" s="2012"/>
      <c r="P5" s="2012"/>
      <c r="Q5" s="2012"/>
      <c r="R5" s="2012"/>
      <c r="S5" s="2012"/>
      <c r="T5" s="2012"/>
      <c r="U5" s="2012"/>
      <c r="V5" s="2012"/>
    </row>
    <row r="6" spans="1:22" ht="14.25">
      <c r="A6" s="3341"/>
      <c r="B6" s="3367"/>
      <c r="C6" s="3368"/>
      <c r="D6" s="3369"/>
      <c r="E6" s="261" t="s">
        <v>304</v>
      </c>
      <c r="F6" s="262"/>
      <c r="G6" s="262"/>
      <c r="H6" s="262"/>
      <c r="I6" s="263"/>
      <c r="J6" s="2013"/>
      <c r="K6" s="2012"/>
      <c r="L6" s="2012"/>
      <c r="M6" s="2012"/>
      <c r="N6" s="2012"/>
      <c r="O6" s="2012"/>
      <c r="P6" s="2012"/>
      <c r="Q6" s="2012"/>
      <c r="R6" s="2012"/>
      <c r="S6" s="2012"/>
      <c r="T6" s="2012"/>
      <c r="U6" s="2012"/>
      <c r="V6" s="2012"/>
    </row>
    <row r="7" spans="1:22" ht="14.25">
      <c r="A7" s="3341"/>
      <c r="B7" s="3367"/>
      <c r="C7" s="3366"/>
      <c r="D7" s="3369"/>
      <c r="E7" s="261" t="s">
        <v>305</v>
      </c>
      <c r="F7" s="262"/>
      <c r="G7" s="262"/>
      <c r="H7" s="262"/>
      <c r="I7" s="263"/>
      <c r="J7" s="2013"/>
      <c r="K7" s="2012"/>
      <c r="L7" s="2012"/>
      <c r="M7" s="2012"/>
      <c r="N7" s="2012"/>
      <c r="O7" s="2012"/>
      <c r="P7" s="2012"/>
      <c r="Q7" s="2012"/>
      <c r="R7" s="2012"/>
      <c r="S7" s="2012"/>
      <c r="T7" s="2012"/>
      <c r="U7" s="2012"/>
      <c r="V7" s="2012"/>
    </row>
    <row r="8" spans="1:22" ht="14.25">
      <c r="A8" s="3341" t="s">
        <v>306</v>
      </c>
      <c r="B8" s="3367">
        <v>15</v>
      </c>
      <c r="C8" s="3365"/>
      <c r="D8" s="3369"/>
      <c r="E8" s="261" t="s">
        <v>307</v>
      </c>
      <c r="F8" s="262"/>
      <c r="G8" s="262"/>
      <c r="H8" s="262"/>
      <c r="I8" s="263"/>
      <c r="J8" s="2013"/>
      <c r="K8" s="2012"/>
      <c r="L8" s="2012"/>
      <c r="M8" s="2012"/>
      <c r="N8" s="2012"/>
      <c r="O8" s="2012"/>
      <c r="P8" s="2012"/>
      <c r="Q8" s="2012"/>
      <c r="R8" s="2012"/>
      <c r="S8" s="2012"/>
      <c r="T8" s="2012"/>
      <c r="U8" s="2012"/>
      <c r="V8" s="2012"/>
    </row>
    <row r="9" spans="1:22" ht="14.25">
      <c r="A9" s="3341"/>
      <c r="B9" s="3367"/>
      <c r="C9" s="3366"/>
      <c r="D9" s="3369"/>
      <c r="E9" s="261" t="s">
        <v>308</v>
      </c>
      <c r="F9" s="262"/>
      <c r="G9" s="262"/>
      <c r="H9" s="262"/>
      <c r="I9" s="263"/>
      <c r="J9" s="2013"/>
      <c r="K9" s="2012"/>
      <c r="L9" s="2012"/>
      <c r="M9" s="2012"/>
      <c r="N9" s="2012"/>
      <c r="O9" s="2012"/>
      <c r="P9" s="2012"/>
      <c r="Q9" s="2012"/>
      <c r="R9" s="2012"/>
      <c r="S9" s="2012"/>
      <c r="T9" s="2012"/>
      <c r="U9" s="2012"/>
      <c r="V9" s="2012"/>
    </row>
    <row r="10" spans="1:22" ht="14.25">
      <c r="A10" s="3341" t="s">
        <v>309</v>
      </c>
      <c r="B10" s="3367">
        <v>15</v>
      </c>
      <c r="C10" s="3365"/>
      <c r="D10" s="3369"/>
      <c r="E10" s="261" t="s">
        <v>310</v>
      </c>
      <c r="F10" s="262"/>
      <c r="G10" s="262"/>
      <c r="H10" s="262"/>
      <c r="I10" s="263"/>
      <c r="J10" s="2013"/>
      <c r="K10" s="2012"/>
      <c r="L10" s="2012"/>
      <c r="M10" s="2012"/>
      <c r="N10" s="2012"/>
      <c r="O10" s="2012"/>
      <c r="P10" s="2012"/>
      <c r="Q10" s="2012"/>
      <c r="R10" s="2012"/>
      <c r="S10" s="2012"/>
      <c r="T10" s="2012"/>
      <c r="U10" s="2012"/>
      <c r="V10" s="2012"/>
    </row>
    <row r="11" spans="1:22" ht="14.25">
      <c r="A11" s="3341"/>
      <c r="B11" s="3367"/>
      <c r="C11" s="3366"/>
      <c r="D11" s="3369"/>
      <c r="E11" s="261" t="s">
        <v>311</v>
      </c>
      <c r="F11" s="262"/>
      <c r="G11" s="262"/>
      <c r="H11" s="262"/>
      <c r="I11" s="263"/>
      <c r="J11" s="2013"/>
      <c r="K11" s="2012"/>
      <c r="L11" s="2012"/>
      <c r="M11" s="2012"/>
      <c r="N11" s="2012"/>
      <c r="O11" s="2012"/>
      <c r="P11" s="2012"/>
      <c r="Q11" s="2012"/>
      <c r="R11" s="2012"/>
      <c r="S11" s="2012"/>
      <c r="T11" s="2012"/>
      <c r="U11" s="2012"/>
      <c r="V11" s="2012"/>
    </row>
    <row r="12" spans="1:22" ht="14.25">
      <c r="A12" s="3341" t="s">
        <v>312</v>
      </c>
      <c r="B12" s="3367">
        <v>15</v>
      </c>
      <c r="C12" s="3365"/>
      <c r="D12" s="3369"/>
      <c r="E12" s="261" t="s">
        <v>313</v>
      </c>
      <c r="F12" s="262"/>
      <c r="G12" s="262"/>
      <c r="H12" s="262"/>
      <c r="I12" s="263"/>
      <c r="J12" s="2013"/>
      <c r="K12" s="2012"/>
      <c r="L12" s="2012"/>
      <c r="M12" s="2012"/>
      <c r="N12" s="2012"/>
      <c r="O12" s="2012"/>
      <c r="P12" s="2012"/>
      <c r="Q12" s="2012"/>
      <c r="R12" s="2012"/>
      <c r="S12" s="2012"/>
      <c r="T12" s="2012"/>
      <c r="U12" s="2012"/>
      <c r="V12" s="2012"/>
    </row>
    <row r="13" spans="1:22" ht="14.25">
      <c r="A13" s="3341"/>
      <c r="B13" s="3367"/>
      <c r="C13" s="3366"/>
      <c r="D13" s="3369"/>
      <c r="E13" s="261" t="s">
        <v>314</v>
      </c>
      <c r="F13" s="262"/>
      <c r="G13" s="262"/>
      <c r="H13" s="262"/>
      <c r="I13" s="263"/>
      <c r="J13" s="2013"/>
      <c r="K13" s="2012"/>
      <c r="L13" s="2012"/>
      <c r="M13" s="2012"/>
      <c r="N13" s="2012"/>
      <c r="O13" s="2012"/>
      <c r="P13" s="2012"/>
      <c r="Q13" s="2012"/>
      <c r="R13" s="2012"/>
      <c r="S13" s="2012"/>
      <c r="T13" s="2012"/>
      <c r="U13" s="2012"/>
      <c r="V13" s="2012"/>
    </row>
    <row r="14" spans="1:22" ht="14.25">
      <c r="A14" s="3341" t="s">
        <v>315</v>
      </c>
      <c r="B14" s="3367">
        <v>30</v>
      </c>
      <c r="C14" s="3365"/>
      <c r="D14" s="3369"/>
      <c r="E14" s="261" t="s">
        <v>316</v>
      </c>
      <c r="F14" s="262"/>
      <c r="G14" s="262"/>
      <c r="H14" s="262"/>
      <c r="I14" s="263"/>
      <c r="J14" s="2013"/>
      <c r="K14" s="2012"/>
      <c r="L14" s="2012"/>
      <c r="M14" s="2012"/>
      <c r="N14" s="2012"/>
      <c r="O14" s="2012"/>
      <c r="P14" s="2012"/>
      <c r="Q14" s="2012"/>
      <c r="R14" s="2012"/>
      <c r="S14" s="2012"/>
      <c r="T14" s="2012"/>
      <c r="U14" s="2012"/>
      <c r="V14" s="2012"/>
    </row>
    <row r="15" spans="1:22" ht="14.25">
      <c r="A15" s="3341"/>
      <c r="B15" s="3367"/>
      <c r="C15" s="3368"/>
      <c r="D15" s="3369"/>
      <c r="E15" s="261" t="s">
        <v>317</v>
      </c>
      <c r="F15" s="262"/>
      <c r="G15" s="262"/>
      <c r="H15" s="262"/>
      <c r="I15" s="263"/>
      <c r="J15" s="2013"/>
      <c r="K15" s="2012"/>
      <c r="L15" s="2012"/>
      <c r="M15" s="2012"/>
      <c r="N15" s="2012"/>
      <c r="O15" s="2012"/>
      <c r="P15" s="2012"/>
      <c r="Q15" s="2012"/>
      <c r="R15" s="2012"/>
      <c r="S15" s="2012"/>
      <c r="T15" s="2012"/>
      <c r="U15" s="2012"/>
      <c r="V15" s="2012"/>
    </row>
    <row r="16" spans="1:22" ht="14.25">
      <c r="A16" s="3341"/>
      <c r="B16" s="3367"/>
      <c r="C16" s="3366"/>
      <c r="D16" s="3369"/>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2</v>
      </c>
      <c r="D17" s="265">
        <f>SUM(D5:D16)</f>
        <v>8</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6" t="s">
        <v>320</v>
      </c>
      <c r="B18" s="105"/>
      <c r="C18" s="267">
        <f>ROUND(C17/SUM(C17:D17),2)</f>
        <v>0.2</v>
      </c>
      <c r="D18" s="267">
        <f>1-C18</f>
        <v>0.8</v>
      </c>
      <c r="E18" s="310"/>
      <c r="F18" s="310"/>
      <c r="G18" s="310"/>
      <c r="H18" s="310"/>
      <c r="I18" s="310"/>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7904</v>
      </c>
      <c r="D19" s="271">
        <f ca="1">SUMIF(INDIRECT("'"&amp;D4&amp;"'"&amp;"!A:A"),结果表!B19,INDIRECT("'"&amp;D4&amp;"'"&amp;"!B:B"))</f>
        <v>39376</v>
      </c>
      <c r="E19" s="268" t="s">
        <v>323</v>
      </c>
      <c r="F19" s="269" t="s">
        <v>322</v>
      </c>
      <c r="G19" s="272">
        <f ca="1">ROUND(C19*$C$18+D19*$D$18,0)</f>
        <v>33082</v>
      </c>
      <c r="H19" s="273" t="s">
        <v>324</v>
      </c>
      <c r="I19" s="310"/>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1017</v>
      </c>
      <c r="D20" s="277">
        <f ca="1">SUMIF(INDIRECT("'"&amp;D4&amp;"'"&amp;"!A:A"),结果表!B20,INDIRECT("'"&amp;D4&amp;"'"&amp;"!B:B"))</f>
        <v>5066</v>
      </c>
      <c r="E20" s="274"/>
      <c r="F20" s="275" t="s">
        <v>325</v>
      </c>
      <c r="G20" s="278">
        <f ca="1">ROUND(C20*$C$18+D20*$D$18,0)</f>
        <v>4256</v>
      </c>
      <c r="H20" s="279" t="s">
        <v>326</v>
      </c>
      <c r="I20" s="310"/>
      <c r="J20" s="2012"/>
      <c r="K20" s="2012"/>
      <c r="L20" s="2012"/>
      <c r="M20" s="2012"/>
      <c r="N20" s="2012"/>
      <c r="O20" s="2012"/>
      <c r="P20" s="2012"/>
      <c r="Q20" s="2012"/>
      <c r="R20" s="2012"/>
      <c r="S20" s="2012"/>
      <c r="T20" s="2012"/>
      <c r="U20" s="2012"/>
      <c r="V20" s="2012"/>
    </row>
    <row r="21" spans="1:26" ht="15" customHeight="1">
      <c r="A21" s="274"/>
      <c r="B21" s="280" t="s">
        <v>327</v>
      </c>
      <c r="C21" s="3252">
        <f ca="1">基准地价!C29-基准地价!C30</f>
        <v>864</v>
      </c>
      <c r="D21" s="151">
        <f ca="1">SUMIF(INDIRECT("'"&amp;D4&amp;"'"&amp;"!A:A"),结果表!B21,INDIRECT("'"&amp;D4&amp;"'"&amp;"!B:B"))</f>
        <v>5066</v>
      </c>
      <c r="E21" s="274"/>
      <c r="F21" s="280" t="s">
        <v>327</v>
      </c>
      <c r="G21" s="281">
        <f ca="1">ROUND(C21*$C$18+D21*$D$18,0)</f>
        <v>4226</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3.9817813765182191</v>
      </c>
      <c r="E22" s="283"/>
      <c r="F22" s="284"/>
      <c r="G22" s="285">
        <f ca="1">ROUND(G19/('数据-汇总表'!D3/666.67),0)</f>
        <v>284</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47" t="s">
        <v>330</v>
      </c>
      <c r="B24" s="269"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48"/>
      <c r="B25" s="1316" t="s">
        <v>331</v>
      </c>
      <c r="C25" s="289">
        <f>IF(B30=0,0,C30)</f>
        <v>0</v>
      </c>
      <c r="D25" s="290"/>
      <c r="E25" s="310"/>
      <c r="F25" s="310"/>
      <c r="G25" s="310"/>
      <c r="H25" s="310"/>
      <c r="I25" s="310"/>
      <c r="J25" s="2012"/>
      <c r="K25" s="1250" t="str">
        <f ca="1">项目基本情况!B16&amp;"国有建设用地使用权价格："&amp;O38&amp;"万元"</f>
        <v>储备国有建设用地使用权价格：33082万元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大写金额：人民币叁亿叁仟零捌拾贰万元整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单位面积地价：4257元/平方米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楼面地价：4257元/平方米</v>
      </c>
      <c r="L28" s="1247"/>
      <c r="M28" s="1247"/>
      <c r="N28" s="1247"/>
      <c r="O28" s="1246"/>
      <c r="P28" s="2012"/>
      <c r="V28" s="2012"/>
    </row>
    <row r="29" spans="1:26" ht="18">
      <c r="A29" s="292"/>
      <c r="B29" s="293"/>
      <c r="C29" s="293"/>
      <c r="D29" s="294"/>
      <c r="E29" s="310"/>
      <c r="F29" s="310"/>
      <c r="G29" s="310"/>
      <c r="H29" s="310"/>
      <c r="I29" s="310"/>
      <c r="J29" s="2012"/>
      <c r="K29" s="1253" t="str">
        <f>IF(OR(项目基本情况!E8="抵押价格",项目基本情况!E8="已注销及未注销"),"抵押价格："&amp;O39&amp;"万元","——")</f>
        <v>——</v>
      </c>
      <c r="L29" s="1247"/>
      <c r="M29" s="1247"/>
      <c r="N29" s="1247"/>
      <c r="O29" s="1246"/>
      <c r="P29" s="2012"/>
      <c r="V29" s="2012"/>
    </row>
    <row r="30" spans="1:26" ht="18.75" thickBot="1">
      <c r="A30" s="3078" t="s">
        <v>336</v>
      </c>
      <c r="B30" s="308"/>
      <c r="C30" s="308"/>
      <c r="D30" s="309"/>
      <c r="E30" s="3079" t="s">
        <v>2968</v>
      </c>
      <c r="F30" s="310"/>
      <c r="G30" s="310"/>
      <c r="H30" s="310"/>
      <c r="I30" s="310"/>
      <c r="J30" s="2012"/>
      <c r="K30" s="1253" t="str">
        <f>IF(K29="——","——","大写金额：人民币"&amp;NUMBERSTRING(INT(O39*10000),2)&amp;"元整")</f>
        <v>——</v>
      </c>
      <c r="L30" s="1247"/>
      <c r="M30" s="1247"/>
      <c r="N30" s="1247"/>
      <c r="O30" s="1246"/>
      <c r="P30" s="2012"/>
      <c r="V30" s="2012"/>
    </row>
    <row r="31" spans="1:26" ht="24" customHeight="1" thickBot="1">
      <c r="A31" s="310"/>
      <c r="B31" s="310"/>
      <c r="C31" s="310"/>
      <c r="D31" s="310"/>
      <c r="E31" s="310"/>
      <c r="F31" s="310"/>
      <c r="G31" s="310"/>
      <c r="H31" s="310"/>
      <c r="I31" s="310"/>
      <c r="J31" s="2012"/>
      <c r="K31" s="2430" t="str">
        <f>IF(项目基本情况!E8="抵押价格","——","抵押担保权已注销时的抵押价格："&amp;O40&amp;"万元")</f>
        <v>抵押担保权已注销时的抵押价格：——万元</v>
      </c>
      <c r="L31" s="2426"/>
      <c r="M31" s="2426"/>
      <c r="N31" s="2426"/>
      <c r="O31" s="2427"/>
      <c r="P31" s="2012"/>
      <c r="V31" s="2012"/>
    </row>
    <row r="32" spans="1:26" ht="18.75" thickBot="1">
      <c r="A32" s="268" t="s">
        <v>337</v>
      </c>
      <c r="B32" s="1376" t="s">
        <v>1688</v>
      </c>
      <c r="C32" s="1377">
        <f ca="1">G19-C24</f>
        <v>33082</v>
      </c>
      <c r="D32" s="1378" t="s">
        <v>1689</v>
      </c>
      <c r="E32" s="310"/>
      <c r="F32" s="310"/>
      <c r="G32" s="310"/>
      <c r="H32" s="310"/>
      <c r="I32" s="310"/>
      <c r="J32" s="2012"/>
      <c r="K32" s="2425" t="e">
        <f>IF(K31="——","——","大写金额：人民币"&amp;NUMBERSTRING(INT(O40*10000),2)&amp;"元整")</f>
        <v>#VALUE!</v>
      </c>
      <c r="L32" s="2428"/>
      <c r="M32" s="2428"/>
      <c r="N32" s="2428"/>
      <c r="O32" s="2429"/>
      <c r="P32" s="2012"/>
      <c r="V32" s="2012"/>
    </row>
    <row r="33" spans="1:26" ht="18.75" thickBot="1">
      <c r="A33" s="297" t="s">
        <v>340</v>
      </c>
      <c r="B33" s="1379" t="s">
        <v>1690</v>
      </c>
      <c r="C33" s="264">
        <f ca="1">ROUND(C32*10000/'数据-汇总表'!E3,0)</f>
        <v>4257</v>
      </c>
      <c r="D33" s="1380" t="s">
        <v>1691</v>
      </c>
      <c r="E33" s="3347"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4">
        <f ca="1">ROUND(C32*10000/'数据-汇总表'!D3,0)</f>
        <v>4257</v>
      </c>
      <c r="D34" s="1382" t="s">
        <v>1691</v>
      </c>
      <c r="E34" s="3388"/>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284</v>
      </c>
      <c r="D35" s="1385" t="s">
        <v>1693</v>
      </c>
      <c r="E35" s="3389"/>
      <c r="F35" s="300" t="s">
        <v>342</v>
      </c>
      <c r="G35" s="981"/>
      <c r="H35" s="980" t="s">
        <v>343</v>
      </c>
      <c r="I35" s="310"/>
      <c r="J35" s="2012"/>
      <c r="K35" s="3362" t="s">
        <v>350</v>
      </c>
      <c r="L35" s="3362" t="s">
        <v>351</v>
      </c>
      <c r="M35" s="1259" t="s">
        <v>352</v>
      </c>
      <c r="N35" s="3362" t="s">
        <v>353</v>
      </c>
      <c r="O35" s="3362" t="s">
        <v>354</v>
      </c>
      <c r="P35" s="2012"/>
      <c r="V35" s="2012"/>
    </row>
    <row r="36" spans="1:26" ht="16.5" customHeight="1">
      <c r="A36" s="302" t="s">
        <v>344</v>
      </c>
      <c r="B36" s="303" t="s">
        <v>333</v>
      </c>
      <c r="C36" s="304" t="s">
        <v>345</v>
      </c>
      <c r="D36" s="304" t="s">
        <v>346</v>
      </c>
      <c r="E36" s="305" t="s">
        <v>347</v>
      </c>
      <c r="F36" s="310"/>
      <c r="G36" s="310"/>
      <c r="H36" s="310"/>
      <c r="I36" s="310"/>
      <c r="J36" s="2014"/>
      <c r="K36" s="3363"/>
      <c r="L36" s="3363"/>
      <c r="M36" s="1261" t="s">
        <v>355</v>
      </c>
      <c r="N36" s="3363"/>
      <c r="O36" s="3363"/>
      <c r="P36" s="2012"/>
      <c r="V36" s="2012"/>
    </row>
    <row r="37" spans="1:26" ht="16.5" customHeight="1" thickBot="1">
      <c r="A37" s="1255" t="s">
        <v>348</v>
      </c>
      <c r="B37" s="306"/>
      <c r="C37" s="293"/>
      <c r="D37" s="293"/>
      <c r="E37" s="294"/>
      <c r="F37" s="310"/>
      <c r="G37" s="310"/>
      <c r="H37" s="310"/>
      <c r="I37" s="310"/>
      <c r="J37" s="2014"/>
      <c r="K37" s="3364"/>
      <c r="L37" s="3364"/>
      <c r="M37" s="1262"/>
      <c r="N37" s="3364"/>
      <c r="O37" s="3364"/>
      <c r="P37" s="2012"/>
      <c r="V37" s="2012"/>
    </row>
    <row r="38" spans="1:26" ht="16.5" customHeight="1" thickBot="1">
      <c r="A38" s="1255" t="s">
        <v>349</v>
      </c>
      <c r="B38" s="306"/>
      <c r="C38" s="293"/>
      <c r="D38" s="293"/>
      <c r="E38" s="294"/>
      <c r="F38" s="310"/>
      <c r="G38" s="310"/>
      <c r="H38" s="310"/>
      <c r="I38" s="310"/>
      <c r="J38" s="2014"/>
      <c r="K38" s="1263">
        <f>'数据-汇总表'!D3</f>
        <v>77720.2</v>
      </c>
      <c r="L38" s="1264">
        <f>'数据-汇总表'!E3</f>
        <v>77720.2</v>
      </c>
      <c r="M38" s="1264">
        <f ca="1">C34</f>
        <v>4257</v>
      </c>
      <c r="N38" s="1264">
        <f ca="1">C33</f>
        <v>4257</v>
      </c>
      <c r="O38" s="1265">
        <f ca="1">C32</f>
        <v>33082</v>
      </c>
      <c r="P38" s="2012"/>
      <c r="V38" s="2012"/>
    </row>
    <row r="39" spans="1:26" ht="16.5" customHeight="1" thickBot="1">
      <c r="A39" s="1260"/>
      <c r="B39" s="307"/>
      <c r="C39" s="308"/>
      <c r="D39" s="308"/>
      <c r="E39" s="309"/>
      <c r="F39" s="310"/>
      <c r="G39" s="310"/>
      <c r="H39" s="310"/>
      <c r="I39" s="310"/>
      <c r="J39" s="2014"/>
      <c r="K39" s="3407" t="str">
        <f>MID(A44,3,LEN(A44)-2)</f>
        <v/>
      </c>
      <c r="L39" s="3408"/>
      <c r="M39" s="3408"/>
      <c r="N39" s="3409"/>
      <c r="O39" s="1387" t="str">
        <f>C44</f>
        <v>——</v>
      </c>
      <c r="P39" s="2012"/>
      <c r="V39" s="2012"/>
    </row>
    <row r="40" spans="1:26" ht="19.5" thickBot="1">
      <c r="A40" s="104" t="s">
        <v>873</v>
      </c>
      <c r="B40" s="310"/>
      <c r="C40" s="310"/>
      <c r="D40" s="310"/>
      <c r="E40" s="310"/>
      <c r="F40" s="310"/>
      <c r="G40" s="310"/>
      <c r="H40" s="310"/>
      <c r="I40" s="310"/>
      <c r="J40" s="2014"/>
      <c r="K40" s="3407" t="str">
        <f t="shared" ref="K40:K41" si="0">MID(A45,3,LEN(A45)-2)</f>
        <v/>
      </c>
      <c r="L40" s="3408"/>
      <c r="M40" s="3408"/>
      <c r="N40" s="3409"/>
      <c r="O40" s="1387" t="str">
        <f>C45</f>
        <v>——</v>
      </c>
      <c r="P40" s="2012"/>
      <c r="V40" s="2012"/>
    </row>
    <row r="41" spans="1:26" ht="16.5" thickBot="1">
      <c r="A41" s="311" t="s">
        <v>356</v>
      </c>
      <c r="B41" s="312"/>
      <c r="C41" s="313" t="s">
        <v>357</v>
      </c>
      <c r="D41" s="314" t="s">
        <v>358</v>
      </c>
      <c r="E41" s="314" t="s">
        <v>359</v>
      </c>
      <c r="F41" s="315" t="s">
        <v>360</v>
      </c>
      <c r="G41" s="310"/>
      <c r="H41" s="310"/>
      <c r="I41" s="310"/>
      <c r="J41" s="2014"/>
      <c r="K41" s="3407" t="str">
        <f t="shared" si="0"/>
        <v/>
      </c>
      <c r="L41" s="3408"/>
      <c r="M41" s="3408"/>
      <c r="N41" s="3409"/>
      <c r="O41" s="1387" t="str">
        <f>C46</f>
        <v>——</v>
      </c>
      <c r="P41" s="2012"/>
      <c r="V41" s="2012"/>
    </row>
    <row r="42" spans="1:26" ht="29.25">
      <c r="A42" s="3349" t="s">
        <v>2067</v>
      </c>
      <c r="B42" s="3350"/>
      <c r="C42" s="264">
        <f ca="1">C32</f>
        <v>33082</v>
      </c>
      <c r="D42" s="316">
        <f ca="1">C33</f>
        <v>4257</v>
      </c>
      <c r="E42" s="316">
        <f ca="1">C34</f>
        <v>4257</v>
      </c>
      <c r="F42" s="317">
        <f ca="1">C35</f>
        <v>284</v>
      </c>
      <c r="G42" s="310"/>
      <c r="H42" s="310"/>
      <c r="I42" s="318"/>
      <c r="J42" s="2014"/>
      <c r="K42" s="1266" t="s">
        <v>361</v>
      </c>
      <c r="L42" s="2031" t="s">
        <v>362</v>
      </c>
      <c r="M42" s="1267" t="s">
        <v>363</v>
      </c>
      <c r="N42" s="2032" t="s">
        <v>364</v>
      </c>
      <c r="O42" s="2033" t="s">
        <v>365</v>
      </c>
      <c r="P42" s="2012"/>
      <c r="V42" s="2012"/>
    </row>
    <row r="43" spans="1:26" ht="18">
      <c r="A43" s="3360" t="s">
        <v>2730</v>
      </c>
      <c r="B43" s="3361"/>
      <c r="C43" s="264">
        <f>IF(H33="正常操作",G33+G34+G35,G34+G35)</f>
        <v>0</v>
      </c>
      <c r="D43" s="316" t="s">
        <v>43</v>
      </c>
      <c r="E43" s="316" t="s">
        <v>44</v>
      </c>
      <c r="F43" s="317" t="s">
        <v>44</v>
      </c>
      <c r="G43" s="2818" t="s">
        <v>952</v>
      </c>
      <c r="H43" s="310"/>
      <c r="I43" s="318"/>
      <c r="J43" s="2014"/>
      <c r="K43" s="1268" t="str">
        <f>C4</f>
        <v>基准地价</v>
      </c>
      <c r="L43" s="1269">
        <f ca="1">IF(L42="估价结果/万元",C19,C20)</f>
        <v>7904</v>
      </c>
      <c r="M43" s="1270">
        <f>C18</f>
        <v>0.2</v>
      </c>
      <c r="N43" s="1271">
        <f ca="1">IF(N42="测算结果/万元",G19,G20)</f>
        <v>33082</v>
      </c>
      <c r="O43" s="1272">
        <f ca="1">IF(O42="最终结果/万元",C32,C33)</f>
        <v>33082</v>
      </c>
      <c r="P43" s="2012"/>
      <c r="V43" s="2012"/>
    </row>
    <row r="44" spans="1:26" ht="18.75" thickBot="1">
      <c r="A44" s="3349" t="str">
        <f>IF(OR(项目基本情况!E8="抵押价格",项目基本情况!E8="已注销及未注销"),"3.抵押价格","——")</f>
        <v>——</v>
      </c>
      <c r="B44" s="3350"/>
      <c r="C44" s="264" t="str">
        <f>IF(A44="——","——",C42-C43)</f>
        <v>——</v>
      </c>
      <c r="D44" s="316" t="e">
        <f>ROUND(C44*10000/'数据-汇总表'!E3,0)</f>
        <v>#VALUE!</v>
      </c>
      <c r="E44" s="316" t="e">
        <f>ROUND(C44*10000/'数据-汇总表'!D3,0)</f>
        <v>#VALUE!</v>
      </c>
      <c r="F44" s="317" t="e">
        <f>ROUND(C44/('数据-汇总表'!D3/666.67),0)</f>
        <v>#VALUE!</v>
      </c>
      <c r="G44" s="310"/>
      <c r="H44" s="310"/>
      <c r="I44" s="318"/>
      <c r="J44" s="2014"/>
      <c r="K44" s="1273" t="str">
        <f>D4</f>
        <v>成本逼近法</v>
      </c>
      <c r="L44" s="1274">
        <f ca="1">IF(L42="估价结果/万元",D19,D20)</f>
        <v>39376</v>
      </c>
      <c r="M44" s="1275">
        <f>D18</f>
        <v>0.8</v>
      </c>
      <c r="N44" s="1276"/>
      <c r="O44" s="1277"/>
      <c r="P44" s="2012"/>
      <c r="V44" s="2012"/>
    </row>
    <row r="45" spans="1:26" ht="15">
      <c r="A45" s="3355" t="str">
        <f>IF(项目基本情况!E8="已注销及未注销","4.抵押担保权已注销时的抵押价格",IF(项目基本情况!E8="已注销","3.抵押担保权已注销时的抵押价格","——"))</f>
        <v>——</v>
      </c>
      <c r="B45" s="3356"/>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51" t="str">
        <f>IF(项目基本情况!E9="抵押净值",IF(A45="——","4.抵押净值","5.抵押净值"),"——")</f>
        <v>——</v>
      </c>
      <c r="B46" s="3352"/>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5" t="s">
        <v>368</v>
      </c>
      <c r="G53" s="336"/>
      <c r="H53" s="336"/>
      <c r="I53" s="337" t="s">
        <v>369</v>
      </c>
      <c r="J53" s="2015"/>
      <c r="K53" s="2012"/>
      <c r="L53" s="2012"/>
      <c r="M53" s="2012"/>
      <c r="N53" s="2012"/>
      <c r="O53" s="2012"/>
      <c r="P53" s="2012"/>
      <c r="Q53" s="2012"/>
      <c r="R53" s="2012"/>
      <c r="S53" s="2012"/>
      <c r="T53" s="2012"/>
      <c r="U53" s="2012"/>
      <c r="V53" s="2012"/>
    </row>
    <row r="54" spans="1:22" ht="12.75">
      <c r="A54" s="257"/>
      <c r="B54" s="338"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7"/>
      <c r="B57" s="338"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8"/>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8"/>
      <c r="C61" s="339"/>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96" t="s">
        <v>374</v>
      </c>
      <c r="B63" s="3397"/>
      <c r="C63" s="3398"/>
      <c r="D63" s="340">
        <f ca="1">ROUND(C42*F63,0)</f>
        <v>19849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57" t="s">
        <v>378</v>
      </c>
      <c r="B64" s="3358"/>
      <c r="C64" s="3358"/>
      <c r="D64" s="3358"/>
      <c r="E64" s="3358"/>
      <c r="F64" s="3358"/>
      <c r="G64" s="3359"/>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53" t="s">
        <v>386</v>
      </c>
      <c r="B66" s="3354"/>
      <c r="C66" s="3354"/>
      <c r="D66" s="261">
        <f ca="1">IF(H66="情况1",0,IF(H66="情况2",D70,IF(H66="情况3",D71,IF(H66="情况4",D72))))</f>
        <v>1059</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411" t="s">
        <v>385</v>
      </c>
      <c r="M66" s="3412"/>
      <c r="N66" s="2420"/>
      <c r="O66" s="2421"/>
      <c r="P66" s="2422"/>
      <c r="Q66" s="2012"/>
      <c r="R66" s="2012"/>
      <c r="S66" s="2012"/>
      <c r="T66" s="2012"/>
      <c r="U66" s="2012"/>
      <c r="V66" s="2012"/>
    </row>
    <row r="67" spans="1:22" ht="25.5" customHeight="1">
      <c r="A67" s="351" t="s">
        <v>390</v>
      </c>
      <c r="B67" s="3344" t="s">
        <v>391</v>
      </c>
      <c r="C67" s="3344"/>
      <c r="D67" s="352">
        <v>0</v>
      </c>
      <c r="E67" s="41" t="s">
        <v>392</v>
      </c>
      <c r="F67" s="62" t="s">
        <v>21</v>
      </c>
      <c r="G67" s="3399"/>
      <c r="H67" s="310"/>
      <c r="I67" s="1287"/>
      <c r="J67" s="2019"/>
      <c r="K67" s="1960">
        <v>2</v>
      </c>
      <c r="L67" s="3410" t="s">
        <v>389</v>
      </c>
      <c r="M67" s="3410"/>
      <c r="N67" s="1320">
        <f>'数据-取费表'!B2</f>
        <v>43646</v>
      </c>
      <c r="O67" s="1320"/>
      <c r="P67" s="1320"/>
      <c r="Q67" s="2012"/>
      <c r="R67" s="2012"/>
      <c r="S67" s="2012"/>
      <c r="T67" s="2012"/>
      <c r="U67" s="2012"/>
      <c r="V67" s="2012"/>
    </row>
    <row r="68" spans="1:22" ht="25.5" customHeight="1">
      <c r="A68" s="353"/>
      <c r="B68" s="3344" t="s">
        <v>394</v>
      </c>
      <c r="C68" s="3344"/>
      <c r="D68" s="354"/>
      <c r="E68" s="77"/>
      <c r="F68" s="355"/>
      <c r="G68" s="3400"/>
      <c r="H68" s="310"/>
      <c r="I68" s="1287"/>
      <c r="J68" s="2019"/>
      <c r="K68" s="1960">
        <v>3</v>
      </c>
      <c r="L68" s="3410" t="s">
        <v>393</v>
      </c>
      <c r="M68" s="3410"/>
      <c r="N68" s="1288">
        <f ca="1">C42</f>
        <v>33082</v>
      </c>
      <c r="O68" s="1288"/>
      <c r="P68" s="1288"/>
      <c r="Q68" s="2012"/>
      <c r="R68" s="2012"/>
      <c r="S68" s="2012"/>
      <c r="T68" s="2012"/>
      <c r="U68" s="2012"/>
      <c r="V68" s="2012"/>
    </row>
    <row r="69" spans="1:22" ht="12" customHeight="1">
      <c r="A69" s="356"/>
      <c r="B69" s="3344" t="s">
        <v>395</v>
      </c>
      <c r="C69" s="3344"/>
      <c r="D69" s="357"/>
      <c r="E69" s="73"/>
      <c r="F69" s="355"/>
      <c r="G69" s="3401"/>
      <c r="H69" s="310"/>
      <c r="I69" s="1287"/>
      <c r="J69" s="2019"/>
      <c r="K69" s="1289">
        <v>4</v>
      </c>
      <c r="L69" s="3415" t="s">
        <v>2882</v>
      </c>
      <c r="M69" s="3416"/>
      <c r="N69" s="1290" t="str">
        <f>C44</f>
        <v>——</v>
      </c>
      <c r="O69" s="1290"/>
      <c r="P69" s="1290"/>
      <c r="Q69" s="2012"/>
      <c r="R69" s="2012"/>
      <c r="S69" s="2012"/>
      <c r="T69" s="2012"/>
      <c r="U69" s="2012"/>
      <c r="V69" s="2012"/>
    </row>
    <row r="70" spans="1:22" ht="24" customHeight="1">
      <c r="A70" s="358" t="s">
        <v>396</v>
      </c>
      <c r="B70" s="3344" t="s">
        <v>397</v>
      </c>
      <c r="C70" s="3344"/>
      <c r="D70" s="357">
        <f ca="1">ROUND(D63*'数据-取费表'!B41/(1+'数据-取费表'!C42),0)</f>
        <v>1059</v>
      </c>
      <c r="E70" s="17" t="s">
        <v>398</v>
      </c>
      <c r="F70" s="359">
        <f>'数据-取费表'!B41</f>
        <v>5.6000000000000001E-2</v>
      </c>
      <c r="G70" s="360"/>
      <c r="H70" s="310"/>
      <c r="I70" s="1287"/>
      <c r="J70" s="2019"/>
      <c r="K70" s="3010"/>
      <c r="L70" s="3011"/>
      <c r="M70" s="3011"/>
      <c r="N70" s="3012" t="s">
        <v>2887</v>
      </c>
      <c r="O70" s="3011"/>
      <c r="P70" s="3013"/>
      <c r="Q70" s="2012"/>
      <c r="R70" s="2012"/>
      <c r="S70" s="2012"/>
      <c r="T70" s="2012"/>
      <c r="U70" s="2012"/>
      <c r="V70" s="2012"/>
    </row>
    <row r="71" spans="1:22" ht="12" customHeight="1">
      <c r="A71" s="358" t="s">
        <v>404</v>
      </c>
      <c r="B71" s="3345" t="s">
        <v>405</v>
      </c>
      <c r="C71" s="3346"/>
      <c r="D71" s="357">
        <f ca="1">ROUND(D63*'数据-取费表'!B41/(1+'数据-取费表'!C42),0)</f>
        <v>1059</v>
      </c>
      <c r="E71" s="17" t="s">
        <v>398</v>
      </c>
      <c r="F71" s="359">
        <f>'数据-取费表'!B41</f>
        <v>5.6000000000000001E-2</v>
      </c>
      <c r="G71" s="360"/>
      <c r="H71" s="310"/>
      <c r="I71" s="1287"/>
      <c r="J71" s="2019"/>
      <c r="K71" s="3009" t="s">
        <v>399</v>
      </c>
      <c r="L71" s="3417" t="s">
        <v>400</v>
      </c>
      <c r="M71" s="3417"/>
      <c r="N71" s="3009" t="s">
        <v>401</v>
      </c>
      <c r="O71" s="3009" t="s">
        <v>402</v>
      </c>
      <c r="P71" s="3009" t="s">
        <v>403</v>
      </c>
      <c r="Q71" s="2012"/>
      <c r="R71" s="2012"/>
      <c r="S71" s="2012"/>
      <c r="T71" s="2012"/>
      <c r="U71" s="2012"/>
      <c r="V71" s="2012"/>
    </row>
    <row r="72" spans="1:22" ht="12" customHeight="1">
      <c r="A72" s="358" t="s">
        <v>407</v>
      </c>
      <c r="B72" s="3345" t="s">
        <v>408</v>
      </c>
      <c r="C72" s="3346"/>
      <c r="D72" s="357">
        <f ca="1">C86</f>
        <v>947</v>
      </c>
      <c r="E72" s="73" t="s">
        <v>409</v>
      </c>
      <c r="F72" s="359">
        <f>'数据-取费表'!B41</f>
        <v>5.6000000000000001E-2</v>
      </c>
      <c r="G72" s="360"/>
      <c r="H72" s="1293"/>
      <c r="I72" s="1287"/>
      <c r="J72" s="2019"/>
      <c r="K72" s="1960">
        <v>1</v>
      </c>
      <c r="L72" s="3392" t="s">
        <v>406</v>
      </c>
      <c r="M72" s="3392"/>
      <c r="N72" s="1291">
        <f ca="1">D66</f>
        <v>1059</v>
      </c>
      <c r="O72" s="1843" t="str">
        <f>E66</f>
        <v>销售额×税（费）率</v>
      </c>
      <c r="P72" s="1292">
        <f>F66</f>
        <v>5.6000000000000001E-2</v>
      </c>
      <c r="Q72" s="2012"/>
      <c r="R72" s="2012"/>
      <c r="S72" s="2012"/>
      <c r="T72" s="2012"/>
      <c r="U72" s="2012"/>
      <c r="V72" s="2012"/>
    </row>
    <row r="73" spans="1:22" ht="24" customHeight="1">
      <c r="A73" s="3386" t="s">
        <v>411</v>
      </c>
      <c r="B73" s="3354"/>
      <c r="C73" s="3354"/>
      <c r="D73" s="361">
        <f>IF(H73="个人住宅",0,ROUND(D63*I73,0))</f>
        <v>0</v>
      </c>
      <c r="E73" s="17" t="s">
        <v>412</v>
      </c>
      <c r="F73" s="359" t="str">
        <f>IF(H73="正常",I73,"免征")</f>
        <v>免征</v>
      </c>
      <c r="G73" s="360"/>
      <c r="H73" s="191" t="s">
        <v>2455</v>
      </c>
      <c r="I73" s="359">
        <f>'数据-取费表'!B49</f>
        <v>5.0000000000000001E-4</v>
      </c>
      <c r="J73" s="2019"/>
      <c r="K73" s="1960">
        <v>2</v>
      </c>
      <c r="L73" s="3392" t="s">
        <v>410</v>
      </c>
      <c r="M73" s="3392"/>
      <c r="N73" s="1291">
        <f t="shared" ref="N73:P74" si="1">D73</f>
        <v>0</v>
      </c>
      <c r="O73" s="1843" t="str">
        <f t="shared" si="1"/>
        <v>销售额×税（费）率</v>
      </c>
      <c r="P73" s="1292" t="str">
        <f t="shared" si="1"/>
        <v>免征</v>
      </c>
      <c r="Q73" s="2012"/>
      <c r="R73" s="2012"/>
      <c r="S73" s="2012"/>
      <c r="T73" s="2012"/>
      <c r="U73" s="2012"/>
      <c r="V73" s="2012"/>
    </row>
    <row r="74" spans="1:22" ht="24.75">
      <c r="A74" s="3386" t="s">
        <v>415</v>
      </c>
      <c r="B74" s="3354"/>
      <c r="C74" s="3354"/>
      <c r="D74" s="361">
        <f ca="1">IF(H74="个人住宅",D75,D76)</f>
        <v>10580</v>
      </c>
      <c r="E74" s="17" t="s">
        <v>416</v>
      </c>
      <c r="F74" s="359" t="str">
        <f>IF(H74="正常",F76,"免征")</f>
        <v>——</v>
      </c>
      <c r="G74" s="982" t="s">
        <v>417</v>
      </c>
      <c r="H74" s="362" t="s">
        <v>413</v>
      </c>
      <c r="I74" s="42"/>
      <c r="J74" s="2019"/>
      <c r="K74" s="1960">
        <v>3</v>
      </c>
      <c r="L74" s="3392" t="s">
        <v>414</v>
      </c>
      <c r="M74" s="3392"/>
      <c r="N74" s="1291">
        <f t="shared" ca="1" si="1"/>
        <v>10580</v>
      </c>
      <c r="O74" s="1843" t="str">
        <f t="shared" si="1"/>
        <v>增值额×税（费）率</v>
      </c>
      <c r="P74" s="1294" t="str">
        <f t="shared" si="1"/>
        <v>——</v>
      </c>
      <c r="Q74" s="2012"/>
      <c r="R74" s="2012"/>
      <c r="S74" s="2012"/>
      <c r="T74" s="2012"/>
      <c r="U74" s="2012"/>
      <c r="V74" s="2012"/>
    </row>
    <row r="75" spans="1:22" ht="24">
      <c r="A75" s="358" t="s">
        <v>418</v>
      </c>
      <c r="B75" s="3342" t="s">
        <v>419</v>
      </c>
      <c r="C75" s="3372"/>
      <c r="D75" s="363">
        <v>0</v>
      </c>
      <c r="E75" s="41" t="s">
        <v>420</v>
      </c>
      <c r="F75" s="364"/>
      <c r="G75" s="360"/>
      <c r="H75" s="42"/>
      <c r="I75" s="42"/>
      <c r="J75" s="2019"/>
      <c r="K75" s="3002">
        <f>IF(H77="非个人房产","",4)</f>
        <v>4</v>
      </c>
      <c r="L75" s="3392" t="str">
        <f>IF(H77="非个人房产","——","个人所得税")</f>
        <v>个人所得税</v>
      </c>
      <c r="M75" s="3392"/>
      <c r="N75" s="1295">
        <f ca="1">D77</f>
        <v>198</v>
      </c>
      <c r="O75" s="1856" t="str">
        <f>E77</f>
        <v>销售额×税（费）率</v>
      </c>
      <c r="P75" s="1296">
        <f>F77</f>
        <v>0.01</v>
      </c>
      <c r="Q75" s="2012"/>
      <c r="R75" s="2012"/>
      <c r="S75" s="2012"/>
      <c r="T75" s="2012"/>
      <c r="U75" s="2012"/>
      <c r="V75" s="2012"/>
    </row>
    <row r="76" spans="1:22" ht="24.75">
      <c r="A76" s="358" t="s">
        <v>396</v>
      </c>
      <c r="B76" s="3342" t="s">
        <v>422</v>
      </c>
      <c r="C76" s="3343"/>
      <c r="D76" s="361">
        <f ca="1">IF(H76="转让取得",C99,C115)</f>
        <v>10580</v>
      </c>
      <c r="E76" s="17" t="s">
        <v>423</v>
      </c>
      <c r="F76" s="53" t="s">
        <v>21</v>
      </c>
      <c r="G76" s="360"/>
      <c r="H76" s="362" t="s">
        <v>424</v>
      </c>
      <c r="I76" s="42"/>
      <c r="J76" s="2019"/>
      <c r="K76" s="3002" t="str">
        <f>IF(项目基本情况!K6="上海银行",IF(K75="",4,K75+1),"")</f>
        <v/>
      </c>
      <c r="L76" s="3403" t="str">
        <f>IF(项目基本情况!K6="上海银行","其他处置费用","")</f>
        <v/>
      </c>
      <c r="M76" s="3404"/>
      <c r="N76" s="1291" t="str">
        <f>IF(项目基本情况!K6="上海银行",N89,"")</f>
        <v/>
      </c>
      <c r="O76" s="3405" t="str">
        <f>IF(项目基本情况!K6="上海银行","包含处置中涉及的律师、诉讼、拍卖、评估等费用","")</f>
        <v/>
      </c>
      <c r="P76" s="3406"/>
      <c r="Q76" s="2012"/>
      <c r="R76" s="2012"/>
      <c r="S76" s="2012"/>
      <c r="T76" s="2012"/>
      <c r="U76" s="2012"/>
      <c r="V76" s="2012"/>
    </row>
    <row r="77" spans="1:22" ht="26.25" thickBot="1">
      <c r="A77" s="3394" t="s">
        <v>426</v>
      </c>
      <c r="B77" s="3395"/>
      <c r="C77" s="3395"/>
      <c r="D77" s="365">
        <f ca="1">IF(H77="非个人房产","——",IF(H77="个人住宅",0,ROUND(D63*I77,0)))</f>
        <v>198</v>
      </c>
      <c r="E77" s="366" t="str">
        <f>IF(H77="非个人房产","——","销售额×税（费）率")</f>
        <v>销售额×税（费）率</v>
      </c>
      <c r="F77" s="367">
        <f>IF(H77="非个人房产","——",IF(H77="个人住宅","免征",I77))</f>
        <v>0.01</v>
      </c>
      <c r="G77" s="983" t="s">
        <v>417</v>
      </c>
      <c r="H77" s="362" t="s">
        <v>2883</v>
      </c>
      <c r="I77" s="368">
        <v>0.01</v>
      </c>
      <c r="J77" s="2019"/>
      <c r="K77" s="3393">
        <f>IF(AND(K75="",K76=""),4,IF(项目基本情况!K6="上海银行",K76+1,K75+1))</f>
        <v>5</v>
      </c>
      <c r="L77" s="3392" t="s">
        <v>2884</v>
      </c>
      <c r="M77" s="3008" t="s">
        <v>421</v>
      </c>
      <c r="N77" s="1297"/>
      <c r="O77" s="1298">
        <f ca="1">SUMIF(N72:N76,"&lt;9e307")</f>
        <v>11837</v>
      </c>
      <c r="P77" s="1299"/>
      <c r="Q77" s="3006" t="e">
        <f ca="1">O77/N69</f>
        <v>#VALUE!</v>
      </c>
      <c r="R77" s="2012"/>
      <c r="S77" s="2012"/>
      <c r="T77" s="2012"/>
      <c r="U77" s="2012"/>
      <c r="V77" s="2012"/>
    </row>
    <row r="78" spans="1:22" ht="12" customHeight="1">
      <c r="A78" s="1300"/>
      <c r="B78" s="310"/>
      <c r="C78" s="310"/>
      <c r="D78" s="310"/>
      <c r="E78" s="42"/>
      <c r="F78" s="42"/>
      <c r="G78" s="42"/>
      <c r="H78" s="1002"/>
      <c r="I78" s="310"/>
      <c r="J78" s="2019"/>
      <c r="K78" s="3393"/>
      <c r="L78" s="3392"/>
      <c r="M78" s="3008" t="s">
        <v>425</v>
      </c>
      <c r="N78" s="1297"/>
      <c r="O78" s="1298" t="str">
        <f ca="1">NUMBERSTRING(INT(O77*10000),2)&amp;"元整"</f>
        <v>壹亿壹仟捌佰叁拾柒万元整</v>
      </c>
      <c r="P78" s="1299"/>
      <c r="Q78" s="2012"/>
      <c r="R78" s="2012"/>
      <c r="S78" s="2012"/>
      <c r="T78" s="2012"/>
      <c r="U78" s="2012"/>
      <c r="V78" s="2012"/>
    </row>
    <row r="79" spans="1:22" ht="13.5" thickBot="1">
      <c r="A79" s="3387" t="s">
        <v>427</v>
      </c>
      <c r="B79" s="3387"/>
      <c r="C79" s="3387"/>
      <c r="D79" s="3387"/>
      <c r="E79" s="3387"/>
      <c r="F79" s="42"/>
      <c r="G79" s="42"/>
      <c r="H79" s="1002"/>
      <c r="I79" s="310"/>
      <c r="J79" s="2019"/>
      <c r="K79" s="3413">
        <f>K77+1</f>
        <v>6</v>
      </c>
      <c r="L79" s="3392" t="s">
        <v>2885</v>
      </c>
      <c r="M79" s="3008" t="s">
        <v>421</v>
      </c>
      <c r="N79" s="1297"/>
      <c r="O79" s="1298" t="e">
        <f ca="1">N69-O77</f>
        <v>#VALUE!</v>
      </c>
      <c r="P79" s="1299"/>
      <c r="Q79" s="2012"/>
      <c r="R79" s="2012"/>
      <c r="S79" s="2012"/>
      <c r="T79" s="2012"/>
      <c r="U79" s="2012"/>
      <c r="V79" s="2012"/>
    </row>
    <row r="80" spans="1:22" ht="12.75">
      <c r="A80" s="3382" t="s">
        <v>428</v>
      </c>
      <c r="B80" s="3383"/>
      <c r="C80" s="993"/>
      <c r="D80" s="993" t="s">
        <v>429</v>
      </c>
      <c r="E80" s="369" t="s">
        <v>430</v>
      </c>
      <c r="F80" s="42"/>
      <c r="G80" s="42"/>
      <c r="H80" s="1002"/>
      <c r="I80" s="310"/>
      <c r="J80" s="2012"/>
      <c r="K80" s="3414"/>
      <c r="L80" s="3392"/>
      <c r="M80" s="3008" t="s">
        <v>425</v>
      </c>
      <c r="N80" s="1297"/>
      <c r="O80" s="1298" t="e">
        <f ca="1">NUMBERSTRING(INT(O79*10000),2)&amp;"元整"</f>
        <v>#VALUE!</v>
      </c>
      <c r="P80" s="1299"/>
      <c r="Q80" s="2012"/>
      <c r="R80" s="2012"/>
      <c r="S80" s="2012"/>
      <c r="T80" s="2012"/>
      <c r="U80" s="2012"/>
      <c r="V80" s="2012"/>
    </row>
    <row r="81" spans="1:26" ht="13.5" thickBot="1">
      <c r="A81" s="380" t="s">
        <v>1823</v>
      </c>
      <c r="B81" s="370" t="s">
        <v>431</v>
      </c>
      <c r="C81" s="371">
        <f ca="1">ROUND((C82+C83)/(1+'数据-取费表'!C42),0)</f>
        <v>18904</v>
      </c>
      <c r="D81" s="372"/>
      <c r="E81" s="373"/>
      <c r="F81" s="42"/>
      <c r="G81" s="42"/>
      <c r="H81" s="1002"/>
      <c r="I81" s="310"/>
      <c r="J81" s="2012"/>
      <c r="K81" s="3002">
        <f>K79+1</f>
        <v>7</v>
      </c>
      <c r="L81" s="3390" t="s">
        <v>2886</v>
      </c>
      <c r="M81" s="3391"/>
      <c r="N81" s="1301"/>
      <c r="O81" s="1302" t="e">
        <f ca="1">ROUND(O79*10000/'数据-汇总表'!E3,0)</f>
        <v>#VALUE!</v>
      </c>
      <c r="P81" s="1303"/>
      <c r="Q81" s="2012"/>
      <c r="R81" s="2012"/>
      <c r="S81" s="2012"/>
      <c r="T81" s="2012"/>
      <c r="U81" s="2012"/>
      <c r="V81" s="2012"/>
    </row>
    <row r="82" spans="1:26" ht="13.5" thickTop="1">
      <c r="A82" s="374" t="s">
        <v>1824</v>
      </c>
      <c r="B82" s="375" t="s">
        <v>432</v>
      </c>
      <c r="C82" s="376">
        <f ca="1">D63</f>
        <v>19849</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402" t="s">
        <v>2873</v>
      </c>
      <c r="L83" s="3014" t="s">
        <v>2874</v>
      </c>
      <c r="M83" s="3004" t="e">
        <f>IF(N69&gt;10000,N69*0.5%,IF(AND(N69&gt;1000,N69&lt;=10000),N69*1%,IF(AND(N69&gt;100,N69&lt;=1000),N69*3%,IF(AND(N69&gt;10,N69&lt;=100),N69*5%,N69*8%))))</f>
        <v>#VALUE!</v>
      </c>
      <c r="N83" s="53" t="e">
        <f>ROUND(M83,1)</f>
        <v>#VALUE!</v>
      </c>
      <c r="O83" s="3007"/>
      <c r="P83" s="2012"/>
      <c r="Q83" s="2012"/>
      <c r="R83" s="2012"/>
      <c r="S83" s="2012"/>
      <c r="T83" s="2012"/>
      <c r="U83" s="2012"/>
      <c r="V83" s="2012"/>
    </row>
    <row r="84" spans="1:26" ht="12.75">
      <c r="A84" s="380" t="s">
        <v>1826</v>
      </c>
      <c r="B84" s="381" t="s">
        <v>434</v>
      </c>
      <c r="C84" s="382">
        <v>2000</v>
      </c>
      <c r="D84" s="383" t="s">
        <v>19</v>
      </c>
      <c r="E84" s="3049" t="s">
        <v>2941</v>
      </c>
      <c r="F84" s="42"/>
      <c r="G84" s="42"/>
      <c r="H84" s="1002"/>
      <c r="I84" s="310"/>
      <c r="J84" s="2012"/>
      <c r="K84" s="3402"/>
      <c r="L84" s="3014" t="s">
        <v>2875</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2876</v>
      </c>
      <c r="P84" s="2012"/>
      <c r="Q84" s="2012"/>
      <c r="R84" s="2012"/>
      <c r="S84" s="2012"/>
      <c r="T84" s="2012"/>
      <c r="U84" s="2012"/>
      <c r="V84" s="2012"/>
    </row>
    <row r="85" spans="1:26" ht="12.75">
      <c r="A85" s="380" t="s">
        <v>1827</v>
      </c>
      <c r="B85" s="381" t="s">
        <v>435</v>
      </c>
      <c r="C85" s="384">
        <f ca="1">C81-C84</f>
        <v>16904</v>
      </c>
      <c r="D85" s="377" t="s">
        <v>19</v>
      </c>
      <c r="E85" s="378"/>
      <c r="F85" s="42"/>
      <c r="G85" s="42"/>
      <c r="H85" s="1002"/>
      <c r="I85" s="310"/>
      <c r="J85" s="2012"/>
      <c r="K85" s="3402"/>
      <c r="L85" s="3014" t="s">
        <v>2877</v>
      </c>
      <c r="M85" s="3004" t="e">
        <f>IF(N69&gt;1000,N69*0.1%,IF(AND(N69&gt;500,N69&lt;=1000),N69*0.5%,IF(AND(N69&gt;50,N69&lt;=500),N69*1%,IF(AND(N69&gt;1,N69&lt;=50),N69*1.5%))))</f>
        <v>#VALUE!</v>
      </c>
      <c r="N85" s="53" t="e">
        <f t="shared" si="2"/>
        <v>#VALUE!</v>
      </c>
      <c r="O85" s="2012" t="s">
        <v>2876</v>
      </c>
      <c r="P85" s="2012"/>
      <c r="Q85" s="2012"/>
      <c r="R85" s="2012"/>
      <c r="S85" s="2012"/>
      <c r="T85" s="2012"/>
      <c r="U85" s="2012"/>
      <c r="V85" s="2012"/>
    </row>
    <row r="86" spans="1:26" ht="13.5" thickBot="1">
      <c r="A86" s="385" t="s">
        <v>1828</v>
      </c>
      <c r="B86" s="386" t="s">
        <v>436</v>
      </c>
      <c r="C86" s="387">
        <f ca="1">IF(C85&lt;=0,0,ROUND(C85*D86,0))</f>
        <v>947</v>
      </c>
      <c r="D86" s="388">
        <f>'数据-取费表'!B41</f>
        <v>5.6000000000000001E-2</v>
      </c>
      <c r="E86" s="389"/>
      <c r="F86" s="42"/>
      <c r="G86" s="42"/>
      <c r="H86" s="1002"/>
      <c r="I86" s="310"/>
      <c r="J86" s="2012"/>
      <c r="K86" s="3402"/>
      <c r="L86" s="3014" t="s">
        <v>2878</v>
      </c>
      <c r="M86" s="3004" t="e">
        <f>N69*0.5%</f>
        <v>#VALUE!</v>
      </c>
      <c r="N86" s="53" t="e">
        <f>IF(M86&gt;0.5,0.5,ROUND(M86,0))</f>
        <v>#VALUE!</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402"/>
      <c r="L87" s="3014" t="s">
        <v>2880</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2"/>
      <c r="R87" s="2012"/>
      <c r="S87" s="2012"/>
      <c r="T87" s="2012"/>
      <c r="U87" s="2012"/>
      <c r="V87" s="2012"/>
      <c r="W87" s="291"/>
      <c r="X87" s="291"/>
      <c r="Y87" s="291"/>
      <c r="Z87" s="291"/>
    </row>
    <row r="88" spans="1:26" s="1309" customFormat="1" ht="15" thickBot="1">
      <c r="A88" s="3384" t="s">
        <v>437</v>
      </c>
      <c r="B88" s="3385"/>
      <c r="C88" s="3385"/>
      <c r="D88" s="3385"/>
      <c r="E88" s="3385"/>
      <c r="F88" s="3385"/>
      <c r="G88" s="3385"/>
      <c r="H88" s="3385"/>
      <c r="I88" s="1310"/>
      <c r="J88" s="2020"/>
      <c r="K88" s="3402"/>
      <c r="L88" s="3014" t="s">
        <v>2881</v>
      </c>
      <c r="M88" s="3004" t="e">
        <f>IF(N69&gt;10000,N69*0.5%,IF(AND(N69&gt;5000,N69&lt;=10000),N69*1%,IF(AND(N69&gt;1000,N69&lt;=5000),N69*2%,IF(AND(N69&gt;200,N69&lt;=1000),N69*3%,N69*5%))))</f>
        <v>#VALUE!</v>
      </c>
      <c r="N88" s="53" t="e">
        <f>ROUND(M88,1)</f>
        <v>#VALUE!</v>
      </c>
      <c r="O88" s="3007"/>
      <c r="P88" s="11"/>
      <c r="Q88" s="2017"/>
      <c r="R88" s="2017"/>
      <c r="S88" s="2017"/>
      <c r="T88" s="2017"/>
      <c r="U88" s="2017"/>
      <c r="V88" s="2017"/>
      <c r="W88" s="2021"/>
      <c r="X88" s="2021"/>
      <c r="Y88" s="2021"/>
      <c r="Z88" s="2021"/>
    </row>
    <row r="89" spans="1:26" s="1309" customFormat="1" ht="14.25">
      <c r="A89" s="3382" t="s">
        <v>428</v>
      </c>
      <c r="B89" s="3383"/>
      <c r="C89" s="993"/>
      <c r="D89" s="993" t="s">
        <v>429</v>
      </c>
      <c r="E89" s="390" t="s">
        <v>438</v>
      </c>
      <c r="F89" s="391"/>
      <c r="G89" s="391"/>
      <c r="H89" s="392"/>
      <c r="I89" s="1311"/>
      <c r="J89" s="2022"/>
      <c r="K89" s="3402"/>
      <c r="L89" s="3014" t="s">
        <v>27</v>
      </c>
      <c r="M89" s="3005"/>
      <c r="N89" s="53" t="e">
        <f>ROUND(SUM(N83:N88),0)</f>
        <v>#VALUE!</v>
      </c>
      <c r="O89" s="3015" t="e">
        <f>N89/N69</f>
        <v>#VALUE!</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18904</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2674</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45" t="s">
        <v>447</v>
      </c>
      <c r="F94" s="3344"/>
      <c r="G94" s="3344"/>
      <c r="H94" s="3381"/>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113</v>
      </c>
      <c r="D96" s="405">
        <f>'数据-取费表'!B43</f>
        <v>6.000000000000001E-3</v>
      </c>
      <c r="E96" s="3373" t="s">
        <v>2428</v>
      </c>
      <c r="F96" s="3374"/>
      <c r="G96" s="3374"/>
      <c r="H96" s="337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16230</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6.0695587135377709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8802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84" t="s">
        <v>454</v>
      </c>
      <c r="B101" s="3385"/>
      <c r="C101" s="3385"/>
      <c r="D101" s="3385"/>
      <c r="E101" s="3385"/>
      <c r="F101" s="3385"/>
      <c r="G101" s="3385"/>
      <c r="H101" s="3385"/>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82" t="s">
        <v>428</v>
      </c>
      <c r="B102" s="3383"/>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18904</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803</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76" t="s">
        <v>462</v>
      </c>
      <c r="F109" s="3374"/>
      <c r="G109" s="3374"/>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76" t="s">
        <v>464</v>
      </c>
      <c r="F110" s="3374"/>
      <c r="G110" s="3374"/>
      <c r="H110" s="337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113</v>
      </c>
      <c r="D111" s="405">
        <f>'数据-取费表'!B43</f>
        <v>6.000000000000001E-3</v>
      </c>
      <c r="E111" s="3373" t="s">
        <v>2428</v>
      </c>
      <c r="F111" s="3374"/>
      <c r="G111" s="3374"/>
      <c r="H111" s="337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76" t="s">
        <v>2453</v>
      </c>
      <c r="F112" s="3374"/>
      <c r="G112" s="3374"/>
      <c r="H112" s="337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18101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22.541718555417187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10580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1"/>
      <c r="C1" s="2088"/>
      <c r="D1" s="2088"/>
      <c r="E1" s="2088"/>
      <c r="F1" s="2088"/>
      <c r="G1" s="2088"/>
      <c r="H1" s="2088"/>
      <c r="I1" s="2088"/>
      <c r="J1" s="2088"/>
      <c r="K1" s="421">
        <f>MATCH(B1,'数据-取费表'!A6:A16,0)+5</f>
        <v>7</v>
      </c>
    </row>
    <row r="2" spans="1:31" s="2025" customFormat="1" ht="18" customHeight="1">
      <c r="A2" s="2085" t="s">
        <v>467</v>
      </c>
      <c r="B2" s="2089">
        <f ca="1">C36</f>
        <v>-2854</v>
      </c>
      <c r="C2" s="2088"/>
      <c r="D2" s="2088"/>
      <c r="E2" s="2088"/>
      <c r="F2" s="2088"/>
      <c r="G2" s="2088"/>
      <c r="H2" s="2088"/>
      <c r="I2" s="2088"/>
      <c r="J2" s="2088"/>
      <c r="K2" s="2088"/>
    </row>
    <row r="3" spans="1:31" s="2025" customFormat="1" ht="18" customHeight="1">
      <c r="A3" s="2090" t="s">
        <v>1684</v>
      </c>
      <c r="B3" s="2091">
        <f ca="1">ROUND(B2*10000/IF(B1="",'数据-汇总表'!E3,INDIRECT("'数据-取费表'!K"&amp;$K$1)),0)</f>
        <v>-367</v>
      </c>
      <c r="C3" s="2088"/>
      <c r="D3" s="2088"/>
      <c r="E3" s="2088"/>
      <c r="F3" s="2088"/>
      <c r="G3" s="2088"/>
      <c r="H3" s="2088"/>
      <c r="I3" s="2088"/>
      <c r="J3" s="2088"/>
      <c r="K3" s="2088"/>
    </row>
    <row r="4" spans="1:31" s="2025" customFormat="1" ht="18" customHeight="1">
      <c r="A4" s="425" t="s">
        <v>468</v>
      </c>
      <c r="B4" s="426">
        <f ca="1">ROUND(B2*10000/IF(B1="",'数据-汇总表'!D3,INDIRECT("'数据-取费表'!R"&amp;$K$1)),0)</f>
        <v>-367</v>
      </c>
      <c r="C4" s="427"/>
      <c r="D4" s="421"/>
      <c r="E4" s="421"/>
      <c r="F4" s="421"/>
      <c r="G4" s="421"/>
      <c r="H4" s="421"/>
      <c r="I4" s="421"/>
      <c r="J4" s="421"/>
      <c r="K4" s="421"/>
    </row>
    <row r="5" spans="1:31" s="2025" customFormat="1" ht="18" customHeight="1" thickBot="1">
      <c r="A5" s="428"/>
      <c r="B5" s="429">
        <f ca="1">ROUND(B2/(IF(B1="",'数据-汇总表'!D3,INDIRECT("'数据-取费表'!R"&amp;$K$1))/666.67),0)</f>
        <v>-24</v>
      </c>
      <c r="C5" s="430" t="s">
        <v>469</v>
      </c>
      <c r="D5" s="421"/>
      <c r="E5" s="421"/>
      <c r="F5" s="421"/>
      <c r="G5" s="421"/>
      <c r="H5" s="421"/>
      <c r="I5" s="421"/>
      <c r="J5" s="421"/>
      <c r="K5" s="421"/>
    </row>
    <row r="6" spans="1:31" s="2095" customFormat="1" ht="16.5" customHeight="1">
      <c r="A6" s="2780" t="s">
        <v>1842</v>
      </c>
      <c r="B6" s="2781"/>
      <c r="C6" s="2782">
        <f>SUM(C10:K10)</f>
        <v>0</v>
      </c>
      <c r="D6" s="2781"/>
      <c r="E6" s="2781"/>
      <c r="F6" s="2781"/>
      <c r="G6" s="2781"/>
      <c r="H6" s="2781"/>
      <c r="I6" s="2781"/>
      <c r="J6" s="2781"/>
      <c r="K6" s="2783"/>
    </row>
    <row r="7" spans="1:31" s="2097" customFormat="1" ht="15">
      <c r="A7" s="2784" t="s">
        <v>470</v>
      </c>
      <c r="B7" s="2785"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1" t="s">
        <v>472</v>
      </c>
      <c r="C8" s="2786"/>
      <c r="D8" s="2786"/>
      <c r="E8" s="2786"/>
      <c r="F8" s="2786"/>
      <c r="G8" s="2786"/>
      <c r="H8" s="2786"/>
      <c r="I8" s="2786"/>
      <c r="J8" s="2786"/>
      <c r="K8" s="2787"/>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1" t="s">
        <v>473</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8" t="s">
        <v>1847</v>
      </c>
      <c r="B10" s="2774" t="s">
        <v>474</v>
      </c>
      <c r="C10" s="2978"/>
      <c r="D10" s="2978"/>
      <c r="E10" s="2978"/>
      <c r="F10" s="2789"/>
      <c r="G10" s="2789"/>
      <c r="H10" s="2789"/>
      <c r="I10" s="2789"/>
      <c r="J10" s="2789"/>
      <c r="K10" s="2790"/>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1" t="s">
        <v>1843</v>
      </c>
      <c r="B11" s="2781"/>
      <c r="C11" s="2781"/>
      <c r="D11" s="2781"/>
      <c r="E11" s="2781"/>
      <c r="F11" s="2781"/>
      <c r="G11" s="2781"/>
      <c r="H11" s="2781"/>
      <c r="I11" s="2781"/>
      <c r="J11" s="2781"/>
      <c r="K11" s="2783"/>
    </row>
    <row r="12" spans="1:31" s="2069" customFormat="1" ht="13.5" customHeight="1">
      <c r="A12" s="2792" t="s">
        <v>470</v>
      </c>
      <c r="B12" s="2764" t="s">
        <v>471</v>
      </c>
      <c r="C12" s="2793" t="s">
        <v>475</v>
      </c>
      <c r="D12" s="2760" t="s">
        <v>476</v>
      </c>
      <c r="E12" s="2760" t="s">
        <v>477</v>
      </c>
      <c r="F12" s="2760" t="s">
        <v>478</v>
      </c>
      <c r="G12" s="2764"/>
      <c r="H12" s="2765"/>
      <c r="I12" s="2765"/>
      <c r="J12" s="2765"/>
      <c r="K12" s="2766"/>
    </row>
    <row r="13" spans="1:31" s="2100" customFormat="1" ht="13.5" customHeight="1">
      <c r="A13" s="2794" t="s">
        <v>1848</v>
      </c>
      <c r="B13" s="2795" t="s">
        <v>479</v>
      </c>
      <c r="C13" s="449">
        <f ca="1">IF(B1="",'数据-取费表'!P16,INDIRECT("'数据-取费表'!p"&amp;$K$1)+INDIRECT("'数据-取费表'!t"&amp;$K$1))</f>
        <v>0</v>
      </c>
      <c r="D13" s="2796"/>
      <c r="E13" s="2797"/>
      <c r="F13" s="2798"/>
      <c r="G13" s="2764"/>
      <c r="H13" s="2765"/>
      <c r="I13" s="2765"/>
      <c r="J13" s="2765"/>
      <c r="K13" s="2766"/>
    </row>
    <row r="14" spans="1:31" s="2100" customFormat="1" ht="13.5" customHeight="1">
      <c r="A14" s="2794" t="s">
        <v>1849</v>
      </c>
      <c r="B14" s="2795" t="s">
        <v>480</v>
      </c>
      <c r="C14" s="53">
        <f ca="1">ROUND(C13*F14,0)</f>
        <v>0</v>
      </c>
      <c r="D14" s="2796"/>
      <c r="E14" s="2797"/>
      <c r="F14" s="2799">
        <f>'数据-取费表'!B33</f>
        <v>0.03</v>
      </c>
      <c r="G14" s="2764" t="s">
        <v>481</v>
      </c>
      <c r="H14" s="2765"/>
      <c r="I14" s="2765"/>
      <c r="J14" s="2765"/>
      <c r="K14" s="2766"/>
    </row>
    <row r="15" spans="1:31" s="2100"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101" customFormat="1" ht="13.5" customHeight="1">
      <c r="A16" s="2794" t="s">
        <v>1851</v>
      </c>
      <c r="B16" s="2795" t="s">
        <v>484</v>
      </c>
      <c r="C16" s="53">
        <f ca="1">ROUND(D16*E16/10000,0)</f>
        <v>1554</v>
      </c>
      <c r="D16" s="2796">
        <f ca="1">IF(B1="",'数据-汇总表'!E3,INDIRECT("'数据-取费表'!K"&amp;$K$1)+INDIRECT("'数据-取费表'!S"&amp;$K$1))</f>
        <v>77720.2</v>
      </c>
      <c r="E16" s="53">
        <f>'数据-取费表'!B35</f>
        <v>200</v>
      </c>
      <c r="F16" s="2799"/>
      <c r="G16" s="2764"/>
      <c r="H16" s="2765"/>
      <c r="I16" s="2765"/>
      <c r="J16" s="2765"/>
      <c r="K16" s="2766"/>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4" t="s">
        <v>1852</v>
      </c>
      <c r="B17" s="2795" t="s">
        <v>485</v>
      </c>
      <c r="C17" s="2800">
        <f ca="1">ROUND(C13*F17,0)</f>
        <v>0</v>
      </c>
      <c r="D17" s="474"/>
      <c r="E17" s="2800"/>
      <c r="F17" s="2801">
        <f>'数据-取费表'!B36</f>
        <v>1.4999999999999999E-2</v>
      </c>
      <c r="G17" s="261" t="s">
        <v>486</v>
      </c>
      <c r="H17" s="2767"/>
      <c r="I17" s="2767"/>
      <c r="J17" s="2767"/>
      <c r="K17" s="279"/>
    </row>
    <row r="18" spans="1:14" s="2100" customFormat="1" ht="13.5" customHeight="1">
      <c r="A18" s="2802" t="s">
        <v>1853</v>
      </c>
      <c r="B18" s="2803" t="s">
        <v>487</v>
      </c>
      <c r="C18" s="2804">
        <f ca="1">SUM(C13:C17)</f>
        <v>1554</v>
      </c>
      <c r="D18" s="2805"/>
      <c r="E18" s="467"/>
      <c r="F18" s="467"/>
      <c r="G18" s="2768" t="s">
        <v>2430</v>
      </c>
      <c r="H18" s="2769"/>
      <c r="I18" s="2769"/>
      <c r="J18" s="2769"/>
      <c r="K18" s="2770"/>
    </row>
    <row r="19" spans="1:14" s="2100" customFormat="1" ht="13.5" customHeight="1">
      <c r="A19" s="2802" t="s">
        <v>1854</v>
      </c>
      <c r="B19" s="2803" t="s">
        <v>488</v>
      </c>
      <c r="C19" s="2760">
        <f ca="1">ROUND(D19*E19/10000,0)</f>
        <v>0</v>
      </c>
      <c r="D19" s="2806">
        <f ca="1">D16</f>
        <v>77720.2</v>
      </c>
      <c r="E19" s="2760">
        <f>'数据-取费表'!B32</f>
        <v>0</v>
      </c>
      <c r="F19" s="467"/>
      <c r="G19" s="2764" t="s">
        <v>489</v>
      </c>
      <c r="H19" s="2765"/>
      <c r="I19" s="2769"/>
      <c r="J19" s="2769"/>
      <c r="K19" s="2770"/>
    </row>
    <row r="20" spans="1:14" s="2100" customFormat="1" ht="13.5" customHeight="1">
      <c r="A20" s="2802" t="s">
        <v>1855</v>
      </c>
      <c r="B20" s="2803" t="s">
        <v>490</v>
      </c>
      <c r="C20" s="2760">
        <f ca="1">C21+C22-IF(B1="",'数据-取费表'!B29,IF(G20="已全部缴纳",C21+C22,H20))</f>
        <v>1244</v>
      </c>
      <c r="D20" s="2806"/>
      <c r="E20" s="2760"/>
      <c r="F20" s="2807"/>
      <c r="G20" s="3037"/>
      <c r="H20" s="2762"/>
      <c r="I20" s="2763" t="s">
        <v>2651</v>
      </c>
      <c r="J20" s="2769"/>
      <c r="K20" s="2770"/>
    </row>
    <row r="21" spans="1:14" s="2100" customFormat="1" ht="13.5" customHeight="1">
      <c r="A21" s="2794" t="s">
        <v>1856</v>
      </c>
      <c r="B21" s="2795" t="s">
        <v>491</v>
      </c>
      <c r="C21" s="53">
        <f ca="1">ROUND(D21*E21/10000,0)</f>
        <v>1244</v>
      </c>
      <c r="D21" s="2796">
        <f ca="1">IF(B1="",'数据-汇总表'!E5,IF(INDIRECT("'数据-取费表'!c"&amp;$K$1)="住宅",INDIRECT("'数据-取费表'!k"&amp;$K$1),0))</f>
        <v>77720.2</v>
      </c>
      <c r="E21" s="53">
        <f>'数据-取费表'!B27</f>
        <v>160</v>
      </c>
      <c r="F21" s="2799"/>
      <c r="G21" s="26"/>
      <c r="H21" s="51"/>
      <c r="I21" s="51"/>
      <c r="J21" s="51"/>
      <c r="K21" s="2771"/>
    </row>
    <row r="22" spans="1:14" s="2100" customFormat="1" ht="13.5" customHeight="1">
      <c r="A22" s="2794" t="s">
        <v>1857</v>
      </c>
      <c r="B22" s="2795" t="s">
        <v>492</v>
      </c>
      <c r="C22" s="53">
        <f ca="1">ROUND(D22*E22/10000,0)</f>
        <v>0</v>
      </c>
      <c r="D22" s="2796">
        <f ca="1">IF(B1="",'数据-汇总表'!E6,IF(INDIRECT("'数据-取费表'!c"&amp;$K$1)="住宅",INDIRECT("'数据-取费表'!s"&amp;$K$1),INDIRECT("'数据-取费表'!k"&amp;$K$1)+INDIRECT("'数据-取费表'!s"&amp;$K$1)))</f>
        <v>0</v>
      </c>
      <c r="E22" s="53">
        <f>'数据-取费表'!B28</f>
        <v>200</v>
      </c>
      <c r="F22" s="2799"/>
      <c r="G22" s="26"/>
      <c r="H22" s="51"/>
      <c r="I22" s="51"/>
      <c r="J22" s="51"/>
      <c r="K22" s="2771"/>
    </row>
    <row r="23" spans="1:14" s="2100" customFormat="1" ht="13.5" customHeight="1">
      <c r="A23" s="2802" t="s">
        <v>1858</v>
      </c>
      <c r="B23" s="2984" t="s">
        <v>2833</v>
      </c>
      <c r="C23" s="2804">
        <f ca="1">ROUND((C18+C19+C20)*F23,0)</f>
        <v>56</v>
      </c>
      <c r="D23" s="467"/>
      <c r="E23" s="467"/>
      <c r="F23" s="2808">
        <f>'数据-取费表'!B37</f>
        <v>0.02</v>
      </c>
      <c r="G23" s="2764" t="s">
        <v>2431</v>
      </c>
      <c r="H23" s="2765"/>
      <c r="I23" s="2765"/>
      <c r="J23" s="2765"/>
      <c r="K23" s="2766"/>
      <c r="L23" s="2102"/>
      <c r="M23" s="2102"/>
      <c r="N23" s="2102"/>
    </row>
    <row r="24" spans="1:14" s="2100" customFormat="1" ht="13.5" customHeight="1">
      <c r="A24" s="2802" t="s">
        <v>1859</v>
      </c>
      <c r="B24" s="2984" t="s">
        <v>2836</v>
      </c>
      <c r="C24" s="2804">
        <f>ROUND(C6*F24,0)</f>
        <v>0</v>
      </c>
      <c r="D24" s="474"/>
      <c r="E24" s="472"/>
      <c r="F24" s="2808">
        <f>'数据-取费表'!B38</f>
        <v>0.02</v>
      </c>
      <c r="G24" s="2773" t="s">
        <v>499</v>
      </c>
      <c r="H24" s="2767"/>
      <c r="I24" s="2767"/>
      <c r="J24" s="2767"/>
      <c r="K24" s="279"/>
      <c r="L24" s="2102"/>
      <c r="M24" s="2102"/>
      <c r="N24" s="2102"/>
    </row>
    <row r="25" spans="1:14" s="2103" customFormat="1" ht="13.5" customHeight="1">
      <c r="A25" s="2802" t="s">
        <v>1860</v>
      </c>
      <c r="B25" s="2984" t="s">
        <v>2834</v>
      </c>
      <c r="C25" s="466">
        <f>ROUND(F25/(1+'数据-取费表'!C42),4)</f>
        <v>0</v>
      </c>
      <c r="D25" s="461" t="s">
        <v>2828</v>
      </c>
      <c r="E25" s="468"/>
      <c r="F25" s="2808">
        <f>IF(项目基本情况!B8="出让",0,'数据-取费表'!B48+'数据-取费表'!B49)</f>
        <v>0</v>
      </c>
      <c r="G25" s="2772" t="s">
        <v>2289</v>
      </c>
      <c r="H25" s="2765"/>
      <c r="I25" s="2765"/>
      <c r="J25" s="2765"/>
      <c r="K25" s="2766"/>
    </row>
    <row r="26" spans="1:14" s="2102" customFormat="1" ht="13.5" customHeight="1">
      <c r="A26" s="2802" t="s">
        <v>1861</v>
      </c>
      <c r="B26" s="2985" t="s">
        <v>2835</v>
      </c>
      <c r="C26" s="2809">
        <f ca="1">C28</f>
        <v>0</v>
      </c>
      <c r="D26" s="466">
        <f ca="1">C27</f>
        <v>0</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4" customFormat="1" ht="13.5" customHeight="1">
      <c r="A27" s="802" t="s">
        <v>1856</v>
      </c>
      <c r="B27" s="2810" t="s">
        <v>496</v>
      </c>
      <c r="C27" s="2811">
        <f ca="1">ROUND(IF('数据-取费表'!B22&lt;=1,(1+C25)*F26*'数据-取费表'!B24,(1+C25)*(POWER((1+F26),'数据-取费表'!B24)-1)),4)</f>
        <v>0</v>
      </c>
      <c r="D27" s="471"/>
      <c r="E27" s="472"/>
      <c r="F27" s="473"/>
      <c r="G27" s="2533" t="str">
        <f>IF('数据-取费表'!B22&lt;=1,"（1+取得税费率/(1+5%)）×年利率×建设期","（1+取得税费率）/(1+5%)×((1+年利率)^建设期-1)")</f>
        <v>（1+取得税费率）/(1+5%)×((1+年利率)^建设期-1)</v>
      </c>
      <c r="H27" s="2767"/>
      <c r="I27" s="2767"/>
      <c r="J27" s="2767"/>
      <c r="K27" s="279"/>
    </row>
    <row r="28" spans="1:14" s="2104" customFormat="1" ht="13.5" customHeight="1">
      <c r="A28" s="802" t="s">
        <v>1857</v>
      </c>
      <c r="B28" s="2810" t="s">
        <v>2837</v>
      </c>
      <c r="C28" s="2812">
        <f ca="1">ROUND(IF('数据-取费表'!B22&lt;=1,(C18+C19+C20+C23+C24)*F26*'数据-取费表'!B24/2,(C18+C19+C20+C23+C24)*(POWER((1+F26),'数据-取费表'!B24/2)-1)),0)</f>
        <v>0</v>
      </c>
      <c r="D28" s="471"/>
      <c r="E28" s="472"/>
      <c r="F28" s="473"/>
      <c r="G28" s="2533" t="str">
        <f>IF('数据-取费表'!B22&lt;=1,"（1）-（4）项×年利率×建设期÷2","（1）-（4）项×((1+年利率)^(建设期÷2)-1)")</f>
        <v>（1）-（4）项×((1+年利率)^(建设期÷2)-1)</v>
      </c>
      <c r="H28" s="2767"/>
      <c r="I28" s="2767"/>
      <c r="J28" s="2767"/>
      <c r="K28" s="279"/>
    </row>
    <row r="29" spans="1:14" s="2104" customFormat="1" ht="13.5" customHeight="1">
      <c r="A29" s="2813" t="s">
        <v>1862</v>
      </c>
      <c r="B29" s="2803" t="s">
        <v>497</v>
      </c>
      <c r="C29" s="2804">
        <f>ROUND(C6*F29/(1+'数据-取费表'!C42),0)</f>
        <v>0</v>
      </c>
      <c r="D29" s="467"/>
      <c r="E29" s="467"/>
      <c r="F29" s="2986">
        <f>'数据-取费表'!B41</f>
        <v>5.6000000000000001E-2</v>
      </c>
      <c r="G29" s="2773" t="s">
        <v>498</v>
      </c>
      <c r="H29" s="2765"/>
      <c r="I29" s="2765"/>
      <c r="J29" s="2765"/>
      <c r="K29" s="2766"/>
    </row>
    <row r="30" spans="1:14" s="2105" customFormat="1" ht="13.5" customHeight="1">
      <c r="A30" s="1619" t="s">
        <v>1863</v>
      </c>
      <c r="B30" s="2814" t="s">
        <v>500</v>
      </c>
      <c r="C30" s="2809">
        <f ca="1">C31</f>
        <v>2854</v>
      </c>
      <c r="D30" s="476">
        <f ca="1">C32</f>
        <v>0</v>
      </c>
      <c r="E30" s="468" t="s">
        <v>495</v>
      </c>
      <c r="F30" s="470"/>
      <c r="G30" s="2772" t="s">
        <v>2972</v>
      </c>
      <c r="H30" s="2765"/>
      <c r="I30" s="2765"/>
      <c r="J30" s="2765"/>
      <c r="K30" s="2766"/>
    </row>
    <row r="31" spans="1:14" s="2104" customFormat="1" ht="13.5" customHeight="1">
      <c r="A31" s="802" t="s">
        <v>1856</v>
      </c>
      <c r="B31" s="2810"/>
      <c r="C31" s="449">
        <f ca="1">C18+C19+C20+C23+C24+C26+C29</f>
        <v>2854</v>
      </c>
      <c r="D31" s="471"/>
      <c r="E31" s="472"/>
      <c r="F31" s="473"/>
      <c r="G31" s="261"/>
      <c r="H31" s="2767"/>
      <c r="I31" s="2767"/>
      <c r="J31" s="2767"/>
      <c r="K31" s="279"/>
    </row>
    <row r="32" spans="1:14" s="2104" customFormat="1" ht="13.5" customHeight="1">
      <c r="A32" s="802" t="s">
        <v>1857</v>
      </c>
      <c r="B32" s="2810"/>
      <c r="C32" s="53">
        <f ca="1">ROUND(C25+D26,4)</f>
        <v>0</v>
      </c>
      <c r="D32" s="471"/>
      <c r="E32" s="472"/>
      <c r="F32" s="473"/>
      <c r="G32" s="261"/>
      <c r="H32" s="2767"/>
      <c r="I32" s="2767"/>
      <c r="J32" s="2767"/>
      <c r="K32" s="279"/>
    </row>
    <row r="33" spans="1:11" s="2106" customFormat="1" ht="13.5" customHeight="1">
      <c r="A33" s="2983" t="s">
        <v>2832</v>
      </c>
      <c r="B33" s="2981" t="s">
        <v>2830</v>
      </c>
      <c r="C33" s="477">
        <f ca="1">C35</f>
        <v>400</v>
      </c>
      <c r="D33" s="466">
        <f ca="1">C34</f>
        <v>0.14000000000000001</v>
      </c>
      <c r="E33" s="468" t="s">
        <v>495</v>
      </c>
      <c r="F33" s="478">
        <f ca="1">IF(B1="",'数据-取费表'!Q16,INDIRECT("'数据-取费表'!q"&amp;$K$1))</f>
        <v>0.14000000000000001</v>
      </c>
      <c r="G33" s="2768"/>
      <c r="H33" s="2769"/>
      <c r="I33" s="2769"/>
      <c r="J33" s="2769"/>
      <c r="K33" s="2770"/>
    </row>
    <row r="34" spans="1:11" s="2107" customFormat="1" ht="13.5" customHeight="1">
      <c r="A34" s="374" t="s">
        <v>1856</v>
      </c>
      <c r="B34" s="2815" t="s">
        <v>501</v>
      </c>
      <c r="C34" s="471">
        <f ca="1">ROUND((1+C25)*F33,4)</f>
        <v>0.14000000000000001</v>
      </c>
      <c r="D34" s="471"/>
      <c r="E34" s="472"/>
      <c r="F34" s="479"/>
      <c r="G34" s="261" t="s">
        <v>2290</v>
      </c>
      <c r="H34" s="2767"/>
      <c r="I34" s="2767"/>
      <c r="J34" s="2767"/>
      <c r="K34" s="279"/>
    </row>
    <row r="35" spans="1:11" s="2107" customFormat="1" ht="13.5" customHeight="1" thickBot="1">
      <c r="A35" s="1620" t="s">
        <v>1857</v>
      </c>
      <c r="B35" s="2982" t="s">
        <v>2838</v>
      </c>
      <c r="C35" s="1612">
        <f ca="1">ROUND((C18+C19+C20+C23+C24)*F33,0)</f>
        <v>400</v>
      </c>
      <c r="D35" s="1613"/>
      <c r="E35" s="2816"/>
      <c r="F35" s="1614"/>
      <c r="G35" s="2774"/>
      <c r="H35" s="2775"/>
      <c r="I35" s="2775"/>
      <c r="J35" s="2775"/>
      <c r="K35" s="2776"/>
    </row>
    <row r="36" spans="1:11" s="2069" customFormat="1" ht="13.5" customHeight="1" thickBot="1">
      <c r="A36" s="283" t="s">
        <v>1844</v>
      </c>
      <c r="B36" s="2778"/>
      <c r="C36" s="2817">
        <f ca="1">ROUND((C6-C30-C33)/(1+D30+D33),0)</f>
        <v>-2854</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1"/>
      <c r="C1" s="2088"/>
      <c r="D1" s="2088"/>
      <c r="E1" s="2088"/>
      <c r="F1" s="2088"/>
      <c r="G1" s="2088"/>
      <c r="H1" s="2088"/>
      <c r="I1" s="2088"/>
      <c r="J1" s="2088"/>
      <c r="K1" s="421">
        <f>MATCH(B1,'数据-取费表'!A6:A16,0)+5</f>
        <v>7</v>
      </c>
    </row>
    <row r="2" spans="1:41" s="2025" customFormat="1" ht="18" customHeight="1">
      <c r="A2" s="422" t="s">
        <v>467</v>
      </c>
      <c r="B2" s="423" t="e">
        <f ca="1">C32</f>
        <v>#DIV/0!</v>
      </c>
      <c r="C2" s="2088"/>
      <c r="D2" s="2088"/>
      <c r="E2" s="2088"/>
      <c r="F2" s="2088"/>
      <c r="G2" s="2088"/>
      <c r="H2" s="2088"/>
      <c r="I2" s="2088"/>
      <c r="J2" s="2088"/>
      <c r="K2" s="2088"/>
    </row>
    <row r="3" spans="1:41" s="2025" customFormat="1" ht="18" customHeight="1">
      <c r="A3" s="1374" t="s">
        <v>1684</v>
      </c>
      <c r="B3" s="424" t="e">
        <f ca="1">ROUND(B2*10000/IF(B1="",'数据-汇总表'!E3,INDIRECT("'数据-取费表'!K"&amp;$K$1)),0)</f>
        <v>#DIV/0!</v>
      </c>
      <c r="C3" s="2088"/>
      <c r="D3" s="2088"/>
      <c r="E3" s="2088"/>
      <c r="F3" s="2088"/>
      <c r="G3" s="2088"/>
      <c r="H3" s="2088"/>
      <c r="I3" s="2088"/>
      <c r="J3" s="2088"/>
      <c r="K3" s="2088"/>
    </row>
    <row r="4" spans="1:41" s="2025" customFormat="1" ht="18" customHeight="1">
      <c r="A4" s="425" t="s">
        <v>468</v>
      </c>
      <c r="B4" s="426" t="e">
        <f ca="1">ROUND(B2*10000/IF(B1="",'数据-汇总表'!D3,INDIRECT("'数据-取费表'!R"&amp;$K$1)),0)</f>
        <v>#DIV/0!</v>
      </c>
      <c r="C4" s="2045"/>
      <c r="D4" s="2088"/>
      <c r="E4" s="2088"/>
      <c r="F4" s="2088"/>
      <c r="G4" s="2088"/>
      <c r="H4" s="2088"/>
      <c r="I4" s="2088"/>
      <c r="J4" s="2088"/>
      <c r="K4" s="2088"/>
    </row>
    <row r="5" spans="1:41" s="2025" customFormat="1" ht="18" customHeight="1" thickBot="1">
      <c r="A5" s="428"/>
      <c r="B5" s="429" t="e">
        <f ca="1">ROUND(B2/(IF(B1="",'数据-汇总表'!D3,INDIRECT("'数据-取费表'!R"&amp;$K$1))/666.67),0)</f>
        <v>#DIV/0!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0</v>
      </c>
      <c r="D13" s="450"/>
      <c r="E13" s="364"/>
      <c r="F13" s="451"/>
      <c r="G13" s="443"/>
      <c r="H13" s="446"/>
      <c r="I13" s="446"/>
      <c r="J13" s="446"/>
      <c r="K13" s="447"/>
    </row>
    <row r="14" spans="1:41" s="2100" customFormat="1" ht="13.5" customHeight="1">
      <c r="A14" s="1617" t="s">
        <v>1849</v>
      </c>
      <c r="B14" s="448" t="s">
        <v>480</v>
      </c>
      <c r="C14" s="53">
        <f ca="1">ROUND(C13*F14,0)</f>
        <v>0</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1554</v>
      </c>
      <c r="D16" s="450">
        <f ca="1">IF(B1="",'数据-汇总表'!E3,INDIRECT("'数据-取费表'!K"&amp;$K$1)+INDIRECT("'数据-取费表'!S"&amp;$K$1))</f>
        <v>77720.2</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0</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1554</v>
      </c>
      <c r="D18" s="460"/>
      <c r="E18" s="461"/>
      <c r="F18" s="461"/>
      <c r="G18" s="1322" t="s">
        <v>2432</v>
      </c>
      <c r="H18" s="446"/>
      <c r="I18" s="446"/>
      <c r="J18" s="446"/>
      <c r="K18" s="447"/>
    </row>
    <row r="19" spans="1:14" s="2103" customFormat="1" ht="13.5" customHeight="1">
      <c r="A19" s="1618" t="s">
        <v>1854</v>
      </c>
      <c r="B19" s="458" t="s">
        <v>493</v>
      </c>
      <c r="C19" s="459">
        <f ca="1">ROUND(C18*F19,0)</f>
        <v>31</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79">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0</v>
      </c>
      <c r="D21" s="466">
        <f ca="1">C23</f>
        <v>0</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0</v>
      </c>
      <c r="D22" s="471"/>
      <c r="E22" s="472"/>
      <c r="F22" s="473"/>
      <c r="G22" s="2528"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0</v>
      </c>
      <c r="D23" s="471"/>
      <c r="E23" s="472"/>
      <c r="F23" s="473"/>
      <c r="G23" s="2528"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222</v>
      </c>
      <c r="D24" s="488">
        <f ca="1">C26</f>
        <v>2.8E-3</v>
      </c>
      <c r="E24" s="468" t="s">
        <v>507</v>
      </c>
      <c r="F24" s="478">
        <f ca="1">IF(B1="",'数据-取费表'!Q16,INDIRECT("'数据-取费表'!q"&amp;$K$1))</f>
        <v>0.14000000000000001</v>
      </c>
      <c r="G24" s="443"/>
      <c r="H24" s="446"/>
      <c r="I24" s="446"/>
      <c r="J24" s="446"/>
      <c r="K24" s="447"/>
    </row>
    <row r="25" spans="1:14" s="2104" customFormat="1" ht="13.5" customHeight="1">
      <c r="A25" s="1617" t="s">
        <v>1848</v>
      </c>
      <c r="B25" s="1323" t="s">
        <v>2436</v>
      </c>
      <c r="C25" s="489">
        <f ca="1">ROUND((C18+C19)*F24,0)</f>
        <v>222</v>
      </c>
      <c r="D25" s="471"/>
      <c r="E25" s="472"/>
      <c r="F25" s="479"/>
      <c r="G25" s="1321" t="s">
        <v>2433</v>
      </c>
      <c r="H25" s="456"/>
      <c r="I25" s="456"/>
      <c r="J25" s="456"/>
      <c r="K25" s="457"/>
    </row>
    <row r="26" spans="1:14" s="2104" customFormat="1" ht="13.5" customHeight="1">
      <c r="A26" s="1617" t="s">
        <v>1849</v>
      </c>
      <c r="B26" s="1323" t="s">
        <v>509</v>
      </c>
      <c r="C26" s="490">
        <f ca="1">ROUND(F20*F24,4)</f>
        <v>2.8E-3</v>
      </c>
      <c r="D26" s="471"/>
      <c r="E26" s="480"/>
      <c r="F26" s="479"/>
      <c r="G26" s="1321" t="s">
        <v>510</v>
      </c>
      <c r="H26" s="456"/>
      <c r="I26" s="456"/>
      <c r="J26" s="456"/>
      <c r="K26" s="457"/>
    </row>
    <row r="27" spans="1:14" s="2104" customFormat="1" ht="13.5" customHeight="1">
      <c r="A27" s="1621" t="s">
        <v>1867</v>
      </c>
      <c r="B27" s="458" t="s">
        <v>511</v>
      </c>
      <c r="C27" s="2980">
        <f>ROUND(F27/(1+'数据-取费表'!C42),4)</f>
        <v>5.33E-2</v>
      </c>
      <c r="D27" s="461" t="s">
        <v>2829</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1956</v>
      </c>
      <c r="D28" s="476"/>
      <c r="E28" s="468"/>
      <c r="F28" s="470"/>
      <c r="G28" s="1322" t="s">
        <v>2434</v>
      </c>
      <c r="H28" s="446"/>
      <c r="I28" s="446"/>
      <c r="J28" s="446"/>
      <c r="K28" s="447"/>
    </row>
    <row r="29" spans="1:14" s="2105" customFormat="1" ht="13.5" customHeight="1">
      <c r="A29" s="1621" t="s">
        <v>1869</v>
      </c>
      <c r="B29" s="475" t="s">
        <v>513</v>
      </c>
      <c r="C29" s="491" t="e">
        <f ca="1">IF(B1="",'数据-取费表'!N16,INDIRECT("'数据-取费表'!N"&amp;$K$1))</f>
        <v>#DIV/0!</v>
      </c>
      <c r="D29" s="492"/>
      <c r="E29" s="493"/>
      <c r="F29" s="494"/>
      <c r="G29" s="443"/>
      <c r="H29" s="446"/>
      <c r="I29" s="446"/>
      <c r="J29" s="446"/>
      <c r="K29" s="447"/>
    </row>
    <row r="30" spans="1:14" s="2105" customFormat="1" ht="13.5" customHeight="1">
      <c r="A30" s="442">
        <v>2</v>
      </c>
      <c r="B30" s="475" t="s">
        <v>514</v>
      </c>
      <c r="C30" s="496" t="e">
        <f ca="1">ROUND(C28*C29,0)</f>
        <v>#DIV/0!</v>
      </c>
      <c r="D30" s="492"/>
      <c r="E30" s="497"/>
      <c r="F30" s="498"/>
      <c r="G30" s="1324" t="s">
        <v>515</v>
      </c>
      <c r="H30" s="495"/>
      <c r="I30" s="495"/>
      <c r="J30" s="446"/>
      <c r="K30" s="447"/>
    </row>
    <row r="31" spans="1:14" s="2110"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t="e">
        <f ca="1">IF('数据-取费表'!B20&lt;=1,(C6-C30-C31)/(1+F21*'数据-取费表'!B20+F24)/(1+'数据-取费表'!B48+'数据-取费表'!B49),(C6-C30-C31)/(1+(POWER((1+F21),'数据-取费表'!B20)-1)+F24)/(1+'数据-取费表'!B48+'数据-取费表'!B49))</f>
        <v>#DIV/0!</v>
      </c>
      <c r="D32" s="482"/>
      <c r="E32" s="482"/>
      <c r="F32" s="482"/>
      <c r="G32" s="2444" t="s">
        <v>2973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53" t="str">
        <f>项目基本情况!B1</f>
        <v>北京市储备国有建设用地使用权市场价格预评估</v>
      </c>
      <c r="C37" s="3253"/>
      <c r="D37" s="3253"/>
      <c r="E37" s="3253"/>
      <c r="F37" s="3253"/>
      <c r="G37" s="3253"/>
      <c r="H37" s="3253"/>
      <c r="I37" s="3253"/>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5"/>
      <c r="D3" s="2531"/>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5"/>
      <c r="D4" s="2531"/>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27" t="s">
        <v>522</v>
      </c>
      <c r="D6" s="3428"/>
      <c r="E6" s="3427" t="s">
        <v>523</v>
      </c>
      <c r="F6" s="3428"/>
      <c r="G6" s="3427" t="s">
        <v>524</v>
      </c>
      <c r="H6" s="3428"/>
      <c r="I6" s="3427" t="s">
        <v>525</v>
      </c>
      <c r="J6" s="3428"/>
      <c r="K6" s="513" t="s">
        <v>526</v>
      </c>
      <c r="L6" s="2117"/>
      <c r="M6" s="2116"/>
      <c r="N6" s="2116"/>
      <c r="O6" s="2118"/>
      <c r="P6" s="3429" t="s">
        <v>527</v>
      </c>
      <c r="Q6" s="3430"/>
      <c r="R6" s="3435" t="s">
        <v>523</v>
      </c>
      <c r="S6" s="3436"/>
      <c r="T6" s="3435" t="s">
        <v>524</v>
      </c>
      <c r="U6" s="3436"/>
      <c r="V6" s="3422" t="s">
        <v>525</v>
      </c>
      <c r="W6" s="3422"/>
      <c r="X6" s="1552"/>
      <c r="Y6" s="3435" t="s">
        <v>527</v>
      </c>
      <c r="Z6" s="3436"/>
      <c r="AA6" s="3424" t="s">
        <v>523</v>
      </c>
      <c r="AB6" s="3425" t="s">
        <v>524</v>
      </c>
      <c r="AC6" s="3424" t="s">
        <v>525</v>
      </c>
    </row>
    <row r="7" spans="1:30" ht="20.25">
      <c r="A7" s="514"/>
      <c r="B7" s="515"/>
      <c r="C7" s="3443" t="s">
        <v>2930</v>
      </c>
      <c r="D7" s="3444"/>
      <c r="E7" s="3443" t="s">
        <v>2931</v>
      </c>
      <c r="F7" s="3444"/>
      <c r="G7" s="3443" t="s">
        <v>2932</v>
      </c>
      <c r="H7" s="3444"/>
      <c r="I7" s="3443" t="s">
        <v>2933</v>
      </c>
      <c r="J7" s="3444"/>
      <c r="K7" s="513"/>
      <c r="L7" s="2117"/>
      <c r="M7" s="2116"/>
      <c r="N7" s="2116"/>
      <c r="O7" s="2118"/>
      <c r="P7" s="3431"/>
      <c r="Q7" s="3432"/>
      <c r="R7" s="3437"/>
      <c r="S7" s="3438"/>
      <c r="T7" s="3437"/>
      <c r="U7" s="3438"/>
      <c r="V7" s="3422"/>
      <c r="W7" s="3422"/>
      <c r="X7" s="1552"/>
      <c r="Y7" s="3437"/>
      <c r="Z7" s="3438"/>
      <c r="AA7" s="3425"/>
      <c r="AB7" s="3425"/>
      <c r="AC7" s="3425"/>
    </row>
    <row r="8" spans="1:30" ht="21" thickBot="1">
      <c r="A8" s="514"/>
      <c r="B8" s="515"/>
      <c r="C8" s="3445" t="s">
        <v>2934</v>
      </c>
      <c r="D8" s="3446"/>
      <c r="E8" s="3445" t="s">
        <v>2934</v>
      </c>
      <c r="F8" s="3446"/>
      <c r="G8" s="3441" t="s">
        <v>2934</v>
      </c>
      <c r="H8" s="3442"/>
      <c r="I8" s="3441" t="s">
        <v>2934</v>
      </c>
      <c r="J8" s="3442"/>
      <c r="K8" s="513" t="s">
        <v>528</v>
      </c>
      <c r="L8" s="2117"/>
      <c r="M8" s="2116"/>
      <c r="N8" s="2116"/>
      <c r="O8" s="2118"/>
      <c r="P8" s="3433"/>
      <c r="Q8" s="3434"/>
      <c r="R8" s="3437"/>
      <c r="S8" s="3438"/>
      <c r="T8" s="3439"/>
      <c r="U8" s="3440"/>
      <c r="V8" s="3422"/>
      <c r="W8" s="3422"/>
      <c r="X8" s="1552"/>
      <c r="Y8" s="3439"/>
      <c r="Z8" s="3440"/>
      <c r="AA8" s="3426"/>
      <c r="AB8" s="3426"/>
      <c r="AC8" s="3426"/>
    </row>
    <row r="9" spans="1:30" s="1215" customFormat="1" ht="21" thickBot="1">
      <c r="A9" s="2864"/>
      <c r="B9" s="2871" t="s">
        <v>529</v>
      </c>
      <c r="C9" s="2863">
        <f>'数据-取费表'!B2</f>
        <v>43646</v>
      </c>
      <c r="D9" s="519">
        <v>100</v>
      </c>
      <c r="E9" s="520"/>
      <c r="F9" s="521">
        <f>SUMIF(72:72,YEAR(E9)&amp;"-"&amp;INT((MONTH(E9)+2)/3),73:73)</f>
        <v>0</v>
      </c>
      <c r="G9" s="522"/>
      <c r="H9" s="519">
        <f>SUMIF(72:72,YEAR(G9)&amp;"-"&amp;INT((MONTH(G9)+2)/3),73:73)</f>
        <v>0</v>
      </c>
      <c r="I9" s="522"/>
      <c r="J9" s="519">
        <f>SUMIF(72:72,YEAR(I9)&amp;"-"&amp;INT((MONTH(I9)+2)/3),73:73)</f>
        <v>0</v>
      </c>
      <c r="K9" s="523"/>
      <c r="L9" s="2119"/>
      <c r="M9" s="2116"/>
      <c r="N9" s="2116"/>
      <c r="O9" s="2120"/>
      <c r="P9" s="3452" t="s">
        <v>530</v>
      </c>
      <c r="Q9" s="3454"/>
      <c r="R9" s="1553" t="s">
        <v>8</v>
      </c>
      <c r="S9" s="1554">
        <f t="shared" ref="S9:S17" si="0">F9</f>
        <v>0</v>
      </c>
      <c r="T9" s="1553" t="s">
        <v>8</v>
      </c>
      <c r="U9" s="1554">
        <f t="shared" ref="U9:U17" si="1">H9</f>
        <v>0</v>
      </c>
      <c r="V9" s="1553" t="s">
        <v>8</v>
      </c>
      <c r="W9" s="1554">
        <f t="shared" ref="W9:W17" si="2">J9</f>
        <v>0</v>
      </c>
      <c r="X9" s="1555"/>
      <c r="Y9" s="3452" t="s">
        <v>530</v>
      </c>
      <c r="Z9" s="3453"/>
      <c r="AA9" s="1556" t="e">
        <f>D9/F9</f>
        <v>#DIV/0!</v>
      </c>
      <c r="AB9" s="1556" t="e">
        <f>D9/H9</f>
        <v>#DIV/0!</v>
      </c>
      <c r="AC9" s="1556" t="e">
        <f>D9/J9</f>
        <v>#DIV/0!</v>
      </c>
    </row>
    <row r="10" spans="1:30" s="1215" customFormat="1" ht="21" thickBot="1">
      <c r="A10" s="2865"/>
      <c r="B10" s="2872"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9"/>
      <c r="M10" s="2116"/>
      <c r="N10" s="2116"/>
      <c r="O10" s="2120"/>
      <c r="P10" s="3452" t="s">
        <v>533</v>
      </c>
      <c r="Q10" s="3453"/>
      <c r="R10" s="1553" t="s">
        <v>8</v>
      </c>
      <c r="S10" s="1554">
        <f t="shared" si="0"/>
        <v>0</v>
      </c>
      <c r="T10" s="1553" t="s">
        <v>8</v>
      </c>
      <c r="U10" s="1554">
        <f t="shared" si="1"/>
        <v>0</v>
      </c>
      <c r="V10" s="1553" t="s">
        <v>8</v>
      </c>
      <c r="W10" s="1554">
        <f t="shared" si="2"/>
        <v>0</v>
      </c>
      <c r="X10" s="1555"/>
      <c r="Y10" s="3452" t="s">
        <v>533</v>
      </c>
      <c r="Z10" s="3453"/>
      <c r="AA10" s="1556" t="e">
        <f t="shared" ref="AA10:AA47" si="3">D10/F10</f>
        <v>#DIV/0!</v>
      </c>
      <c r="AB10" s="1556" t="e">
        <f t="shared" ref="AB10:AB47" si="4">D10/H10</f>
        <v>#DIV/0!</v>
      </c>
      <c r="AC10" s="1556" t="e">
        <f t="shared" ref="AC10:AC47" si="5">D10/J10</f>
        <v>#DIV/0!</v>
      </c>
    </row>
    <row r="11" spans="1:30" s="1215" customFormat="1" ht="20.25">
      <c r="A11" s="2866"/>
      <c r="B11" s="2873" t="s">
        <v>2756</v>
      </c>
      <c r="C11" s="2860"/>
      <c r="D11" s="254">
        <v>100</v>
      </c>
      <c r="E11" s="525"/>
      <c r="F11" s="254">
        <f>SUMIF(77:77,E11,78:78)-SUMIF(77:77,C11,78:78)+100</f>
        <v>100</v>
      </c>
      <c r="G11" s="525"/>
      <c r="H11" s="254">
        <f>SUMIF(77:77,G11,78:78)-SUMIF(77:77,C11,78:78)+100</f>
        <v>100</v>
      </c>
      <c r="I11" s="525"/>
      <c r="J11" s="254">
        <f>SUMIF(77:77,I11,78:78)-SUMIF(77:77,C11,78:78)+100</f>
        <v>100</v>
      </c>
      <c r="K11" s="523"/>
      <c r="L11" s="2119"/>
      <c r="M11" s="2116"/>
      <c r="N11" s="2116"/>
      <c r="O11" s="2121"/>
      <c r="P11" s="3421" t="s">
        <v>535</v>
      </c>
      <c r="Q11" s="1146" t="str">
        <f t="shared" ref="Q11:Q17" si="6">B11</f>
        <v>用途</v>
      </c>
      <c r="R11" s="1553" t="s">
        <v>8</v>
      </c>
      <c r="S11" s="1554">
        <f t="shared" si="0"/>
        <v>100</v>
      </c>
      <c r="T11" s="1553" t="s">
        <v>8</v>
      </c>
      <c r="U11" s="1554">
        <f t="shared" si="1"/>
        <v>100</v>
      </c>
      <c r="V11" s="1553" t="s">
        <v>8</v>
      </c>
      <c r="W11" s="1554">
        <f t="shared" si="2"/>
        <v>100</v>
      </c>
      <c r="X11" s="1555"/>
      <c r="Y11" s="3367" t="s">
        <v>536</v>
      </c>
      <c r="Z11" s="1145" t="str">
        <f t="shared" ref="Z11:Z17" si="7">Q11</f>
        <v>用途</v>
      </c>
      <c r="AA11" s="1556">
        <f t="shared" si="3"/>
        <v>1</v>
      </c>
      <c r="AB11" s="1556">
        <f t="shared" si="4"/>
        <v>1</v>
      </c>
      <c r="AC11" s="1556">
        <f t="shared" si="5"/>
        <v>1</v>
      </c>
    </row>
    <row r="12" spans="1:30" s="1333" customFormat="1" ht="27">
      <c r="A12" s="2867"/>
      <c r="B12" s="2872" t="s">
        <v>2757</v>
      </c>
      <c r="C12" s="909"/>
      <c r="D12" s="255">
        <v>100</v>
      </c>
      <c r="E12" s="528"/>
      <c r="F12" s="255">
        <f>ROUND(100/'数据-取费表'!G16,0)</f>
        <v>100</v>
      </c>
      <c r="G12" s="529"/>
      <c r="H12" s="255">
        <f>ROUND(100/'数据-取费表'!G16,0)</f>
        <v>100</v>
      </c>
      <c r="I12" s="529"/>
      <c r="J12" s="255">
        <f>ROUND(100/'数据-取费表'!G16,0)</f>
        <v>100</v>
      </c>
      <c r="K12" s="530"/>
      <c r="L12" s="2122"/>
      <c r="M12" s="2116"/>
      <c r="N12" s="2116"/>
      <c r="O12" s="2123"/>
      <c r="P12" s="3421"/>
      <c r="Q12" s="1146" t="str">
        <f t="shared" si="6"/>
        <v>土地使用年限（年）</v>
      </c>
      <c r="R12" s="1553" t="s">
        <v>8</v>
      </c>
      <c r="S12" s="1554">
        <f t="shared" si="0"/>
        <v>100</v>
      </c>
      <c r="T12" s="1553" t="s">
        <v>8</v>
      </c>
      <c r="U12" s="1554">
        <f t="shared" si="1"/>
        <v>100</v>
      </c>
      <c r="V12" s="1553" t="s">
        <v>8</v>
      </c>
      <c r="W12" s="1554">
        <f t="shared" si="2"/>
        <v>100</v>
      </c>
      <c r="X12" s="1555"/>
      <c r="Y12" s="3367"/>
      <c r="Z12" s="1145" t="str">
        <f t="shared" si="7"/>
        <v>土地使用年限（年）</v>
      </c>
      <c r="AA12" s="1556">
        <f t="shared" si="3"/>
        <v>1</v>
      </c>
      <c r="AB12" s="1556">
        <f t="shared" si="4"/>
        <v>1</v>
      </c>
      <c r="AC12" s="1556">
        <f t="shared" si="5"/>
        <v>1</v>
      </c>
    </row>
    <row r="13" spans="1:30" ht="20.25">
      <c r="A13" s="2868"/>
      <c r="B13" s="2872" t="s">
        <v>2758</v>
      </c>
      <c r="C13" s="533"/>
      <c r="D13" s="255">
        <v>100</v>
      </c>
      <c r="E13" s="532"/>
      <c r="F13" s="255" t="e">
        <f>LOOKUP(E13,82:82,83:83)-LOOKUP(C13,82:82,83:83)+100</f>
        <v>#N/A</v>
      </c>
      <c r="G13" s="533"/>
      <c r="H13" s="255" t="e">
        <f>LOOKUP(G13,82:82,83:83)-LOOKUP(C13,82:82,83:83)+100</f>
        <v>#N/A</v>
      </c>
      <c r="I13" s="532"/>
      <c r="J13" s="255" t="e">
        <f>LOOKUP(I13,82:82,83:83)-LOOKUP(C13,82:82,83:83)+100</f>
        <v>#N/A</v>
      </c>
      <c r="K13" s="534"/>
      <c r="L13" s="2124"/>
      <c r="M13" s="2116"/>
      <c r="N13" s="2116"/>
      <c r="O13" s="2125"/>
      <c r="P13" s="3421"/>
      <c r="Q13" s="1146" t="str">
        <f t="shared" si="6"/>
        <v>容积率</v>
      </c>
      <c r="R13" s="1553" t="s">
        <v>8</v>
      </c>
      <c r="S13" s="1554" t="e">
        <f t="shared" si="0"/>
        <v>#N/A</v>
      </c>
      <c r="T13" s="1553" t="s">
        <v>8</v>
      </c>
      <c r="U13" s="1554" t="e">
        <f t="shared" si="1"/>
        <v>#N/A</v>
      </c>
      <c r="V13" s="1553" t="s">
        <v>8</v>
      </c>
      <c r="W13" s="1554" t="e">
        <f t="shared" si="2"/>
        <v>#N/A</v>
      </c>
      <c r="X13" s="1555"/>
      <c r="Y13" s="3367"/>
      <c r="Z13" s="1145" t="str">
        <f t="shared" si="7"/>
        <v>容积率</v>
      </c>
      <c r="AA13" s="1556" t="e">
        <f t="shared" si="3"/>
        <v>#N/A</v>
      </c>
      <c r="AB13" s="1556" t="e">
        <f t="shared" si="4"/>
        <v>#N/A</v>
      </c>
      <c r="AC13" s="1556" t="e">
        <f t="shared" si="5"/>
        <v>#N/A</v>
      </c>
    </row>
    <row r="14" spans="1:30" s="1215" customFormat="1" ht="20.25">
      <c r="A14" s="2865"/>
      <c r="B14" s="2874" t="s">
        <v>2759</v>
      </c>
      <c r="C14" s="2861"/>
      <c r="D14" s="537">
        <v>100</v>
      </c>
      <c r="E14" s="1370"/>
      <c r="F14" s="255">
        <f>SUMIF(84:84,E14,85:85)-SUMIF(84:84,C14,85:85)+100</f>
        <v>100</v>
      </c>
      <c r="G14" s="529"/>
      <c r="H14" s="255">
        <f>SUMIF(84:84,G14,85:85)-SUMIF(84:84,C14,85:85)+100</f>
        <v>100</v>
      </c>
      <c r="I14" s="528"/>
      <c r="J14" s="255">
        <f>SUMIF(84:84,I14,85:85)-SUMIF(84:84,C14,85:85)+100</f>
        <v>100</v>
      </c>
      <c r="K14" s="530"/>
      <c r="L14" s="2119"/>
      <c r="M14" s="2116"/>
      <c r="N14" s="2116"/>
      <c r="O14" s="2121"/>
      <c r="P14" s="3421"/>
      <c r="Q14" s="1146" t="str">
        <f t="shared" si="6"/>
        <v>配建</v>
      </c>
      <c r="R14" s="1553" t="s">
        <v>8</v>
      </c>
      <c r="S14" s="1554">
        <f t="shared" si="0"/>
        <v>100</v>
      </c>
      <c r="T14" s="1553" t="s">
        <v>8</v>
      </c>
      <c r="U14" s="1554">
        <f t="shared" si="1"/>
        <v>100</v>
      </c>
      <c r="V14" s="1553" t="s">
        <v>8</v>
      </c>
      <c r="W14" s="1554">
        <f t="shared" si="2"/>
        <v>100</v>
      </c>
      <c r="X14" s="1555"/>
      <c r="Y14" s="3367"/>
      <c r="Z14" s="1145" t="str">
        <f t="shared" si="7"/>
        <v>配建</v>
      </c>
      <c r="AA14" s="1556">
        <f>D14/F14</f>
        <v>1</v>
      </c>
      <c r="AB14" s="1556">
        <f>D14/H14</f>
        <v>1</v>
      </c>
      <c r="AC14" s="1556">
        <f>D14/J14</f>
        <v>1</v>
      </c>
    </row>
    <row r="15" spans="1:30" ht="20.25">
      <c r="A15" s="2869"/>
      <c r="B15" s="2875">
        <v>111</v>
      </c>
      <c r="C15" s="911"/>
      <c r="D15" s="539">
        <v>100</v>
      </c>
      <c r="E15" s="540"/>
      <c r="F15" s="255">
        <f>SUMIF(86:86,E15,87:87)-SUMIF(86:86,C15,87:87)+100</f>
        <v>100</v>
      </c>
      <c r="G15" s="541"/>
      <c r="H15" s="539">
        <f>SUMIF(86:86,G15,87:87)-SUMIF(86:86,C15,87:87)+100</f>
        <v>100</v>
      </c>
      <c r="I15" s="541"/>
      <c r="J15" s="539">
        <f>SUMIF(86:86,I15,87:87)-SUMIF(86:86,C15,87:87)+100</f>
        <v>100</v>
      </c>
      <c r="K15" s="530"/>
      <c r="L15" s="2126"/>
      <c r="M15" s="2116"/>
      <c r="N15" s="2116"/>
      <c r="O15" s="2125"/>
      <c r="P15" s="3421"/>
      <c r="Q15" s="1146">
        <f t="shared" si="6"/>
        <v>111</v>
      </c>
      <c r="R15" s="1553" t="s">
        <v>8</v>
      </c>
      <c r="S15" s="1554">
        <f t="shared" si="0"/>
        <v>100</v>
      </c>
      <c r="T15" s="1553" t="s">
        <v>8</v>
      </c>
      <c r="U15" s="1554">
        <f t="shared" si="1"/>
        <v>100</v>
      </c>
      <c r="V15" s="1553" t="s">
        <v>8</v>
      </c>
      <c r="W15" s="1554">
        <f t="shared" si="2"/>
        <v>100</v>
      </c>
      <c r="X15" s="1555"/>
      <c r="Y15" s="3367"/>
      <c r="Z15" s="1145">
        <f t="shared" si="7"/>
        <v>111</v>
      </c>
      <c r="AA15" s="1556">
        <f>D15/F15</f>
        <v>1</v>
      </c>
      <c r="AB15" s="1556">
        <f>D15/H15</f>
        <v>1</v>
      </c>
      <c r="AC15" s="1556">
        <f>D15/J15</f>
        <v>1</v>
      </c>
    </row>
    <row r="16" spans="1:30" ht="2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21"/>
      <c r="Q16" s="1146">
        <f t="shared" si="6"/>
        <v>111</v>
      </c>
      <c r="R16" s="1553" t="s">
        <v>8</v>
      </c>
      <c r="S16" s="1554">
        <f t="shared" si="0"/>
        <v>100</v>
      </c>
      <c r="T16" s="1553" t="s">
        <v>8</v>
      </c>
      <c r="U16" s="1554">
        <f t="shared" si="1"/>
        <v>100</v>
      </c>
      <c r="V16" s="1553" t="s">
        <v>8</v>
      </c>
      <c r="W16" s="1554">
        <f t="shared" si="2"/>
        <v>100</v>
      </c>
      <c r="X16" s="1555"/>
      <c r="Y16" s="3367"/>
      <c r="Z16" s="1145">
        <f t="shared" si="7"/>
        <v>111</v>
      </c>
      <c r="AA16" s="1556">
        <f>D16/F16</f>
        <v>1</v>
      </c>
      <c r="AB16" s="1556">
        <f>D16/H16</f>
        <v>1</v>
      </c>
      <c r="AC16" s="1556">
        <f>D16/J16</f>
        <v>1</v>
      </c>
    </row>
    <row r="17" spans="1:29" ht="99.75">
      <c r="A17" s="2862"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55" t="s">
        <v>540</v>
      </c>
      <c r="Q17" s="1557" t="str">
        <f t="shared" si="6"/>
        <v>居住社区成熟度</v>
      </c>
      <c r="R17" s="1558" t="s">
        <v>8</v>
      </c>
      <c r="S17" s="1559">
        <f t="shared" si="0"/>
        <v>100</v>
      </c>
      <c r="T17" s="1558" t="s">
        <v>8</v>
      </c>
      <c r="U17" s="1559">
        <f t="shared" si="1"/>
        <v>100</v>
      </c>
      <c r="V17" s="1558" t="s">
        <v>8</v>
      </c>
      <c r="W17" s="1559">
        <f t="shared" si="2"/>
        <v>100</v>
      </c>
      <c r="X17" s="1552"/>
      <c r="Y17" s="3455"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6"/>
      <c r="M18" s="2116"/>
      <c r="N18" s="2116"/>
      <c r="O18" s="2125"/>
      <c r="P18" s="3456"/>
      <c r="Q18" s="1557"/>
      <c r="R18" s="1558"/>
      <c r="S18" s="1559"/>
      <c r="T18" s="1558"/>
      <c r="U18" s="1559"/>
      <c r="V18" s="1558"/>
      <c r="W18" s="1559"/>
      <c r="X18" s="1552"/>
      <c r="Y18" s="3456"/>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56"/>
      <c r="Q19" s="1557" t="str">
        <f>B19</f>
        <v>商业繁华度</v>
      </c>
      <c r="R19" s="1558" t="s">
        <v>8</v>
      </c>
      <c r="S19" s="1559">
        <f>F19</f>
        <v>100</v>
      </c>
      <c r="T19" s="1558" t="s">
        <v>8</v>
      </c>
      <c r="U19" s="1559">
        <f>H19</f>
        <v>100</v>
      </c>
      <c r="V19" s="1558" t="s">
        <v>8</v>
      </c>
      <c r="W19" s="1559">
        <f>J19</f>
        <v>100</v>
      </c>
      <c r="X19" s="1552"/>
      <c r="Y19" s="3456"/>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456"/>
      <c r="Q20" s="1557"/>
      <c r="R20" s="1558"/>
      <c r="S20" s="1559"/>
      <c r="T20" s="1558"/>
      <c r="U20" s="1559"/>
      <c r="V20" s="1558"/>
      <c r="W20" s="1559"/>
      <c r="X20" s="1552"/>
      <c r="Y20" s="3456"/>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56"/>
      <c r="Q21" s="1557" t="str">
        <f>B21</f>
        <v>办公集聚程度</v>
      </c>
      <c r="R21" s="1558" t="s">
        <v>8</v>
      </c>
      <c r="S21" s="1559">
        <f>F21</f>
        <v>100</v>
      </c>
      <c r="T21" s="1558" t="s">
        <v>8</v>
      </c>
      <c r="U21" s="1559">
        <f>H21</f>
        <v>100</v>
      </c>
      <c r="V21" s="1558" t="s">
        <v>8</v>
      </c>
      <c r="W21" s="1559">
        <f>J21</f>
        <v>100</v>
      </c>
      <c r="X21" s="1552"/>
      <c r="Y21" s="3456"/>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56"/>
      <c r="Q22" s="1557"/>
      <c r="R22" s="1558"/>
      <c r="S22" s="1559"/>
      <c r="T22" s="1558"/>
      <c r="U22" s="1559"/>
      <c r="V22" s="1558"/>
      <c r="W22" s="1559"/>
      <c r="X22" s="1552"/>
      <c r="Y22" s="3456"/>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56"/>
      <c r="Q23" s="1557" t="str">
        <f>B23</f>
        <v>交通便捷度</v>
      </c>
      <c r="R23" s="1558" t="s">
        <v>8</v>
      </c>
      <c r="S23" s="1559">
        <f>F23</f>
        <v>100</v>
      </c>
      <c r="T23" s="1558" t="s">
        <v>8</v>
      </c>
      <c r="U23" s="1559">
        <f>H23</f>
        <v>100</v>
      </c>
      <c r="V23" s="1558" t="s">
        <v>8</v>
      </c>
      <c r="W23" s="1559">
        <f>J23</f>
        <v>100</v>
      </c>
      <c r="X23" s="1552"/>
      <c r="Y23" s="3456"/>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456"/>
      <c r="Q24" s="1557"/>
      <c r="R24" s="1558"/>
      <c r="S24" s="1559"/>
      <c r="T24" s="1558"/>
      <c r="U24" s="1559"/>
      <c r="V24" s="1558"/>
      <c r="W24" s="1559"/>
      <c r="X24" s="1552"/>
      <c r="Y24" s="3456"/>
      <c r="Z24" s="1560"/>
      <c r="AA24" s="1561">
        <v>1</v>
      </c>
      <c r="AB24" s="1561">
        <v>1</v>
      </c>
      <c r="AC24" s="1561">
        <v>1</v>
      </c>
    </row>
    <row r="25" spans="1:29" ht="27">
      <c r="A25" s="514"/>
      <c r="B25" s="259"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56"/>
      <c r="Q25" s="1557" t="str">
        <f t="shared" ref="Q25:Q39" si="8">B25</f>
        <v>区域土地利用方向</v>
      </c>
      <c r="R25" s="1558" t="s">
        <v>8</v>
      </c>
      <c r="S25" s="1559">
        <f>F25</f>
        <v>100</v>
      </c>
      <c r="T25" s="1558" t="s">
        <v>8</v>
      </c>
      <c r="U25" s="1559">
        <f>H25</f>
        <v>100</v>
      </c>
      <c r="V25" s="1558" t="s">
        <v>8</v>
      </c>
      <c r="W25" s="1559">
        <f>J25</f>
        <v>100</v>
      </c>
      <c r="X25" s="1552"/>
      <c r="Y25" s="3456"/>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56"/>
      <c r="Q26" s="1557"/>
      <c r="R26" s="1558"/>
      <c r="S26" s="1559"/>
      <c r="T26" s="1558"/>
      <c r="U26" s="1559"/>
      <c r="V26" s="1558"/>
      <c r="W26" s="1559"/>
      <c r="X26" s="1552"/>
      <c r="Y26" s="3456"/>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56"/>
      <c r="Q27" s="1557" t="str">
        <f t="shared" si="8"/>
        <v>自然及人文环境状况</v>
      </c>
      <c r="R27" s="1558" t="s">
        <v>8</v>
      </c>
      <c r="S27" s="1559">
        <f>F27</f>
        <v>100</v>
      </c>
      <c r="T27" s="1558" t="s">
        <v>8</v>
      </c>
      <c r="U27" s="1559">
        <f>H27</f>
        <v>100</v>
      </c>
      <c r="V27" s="1558" t="s">
        <v>8</v>
      </c>
      <c r="W27" s="1559">
        <f>J27</f>
        <v>100</v>
      </c>
      <c r="X27" s="1552"/>
      <c r="Y27" s="3456"/>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456"/>
      <c r="Q28" s="1557"/>
      <c r="R28" s="1558"/>
      <c r="S28" s="1559"/>
      <c r="T28" s="1558"/>
      <c r="U28" s="1559"/>
      <c r="V28" s="1558"/>
      <c r="W28" s="1559"/>
      <c r="X28" s="1552"/>
      <c r="Y28" s="3456"/>
      <c r="Z28" s="1560"/>
      <c r="AA28" s="1561">
        <v>1</v>
      </c>
      <c r="AB28" s="1561">
        <v>1</v>
      </c>
      <c r="AC28" s="1561">
        <v>1</v>
      </c>
    </row>
    <row r="29" spans="1:29" s="1215" customFormat="1" ht="42.75">
      <c r="A29" s="576"/>
      <c r="B29" s="2552"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56"/>
      <c r="Q29" s="1146" t="str">
        <f t="shared" si="8"/>
        <v>公共配套设施</v>
      </c>
      <c r="R29" s="1553" t="s">
        <v>8</v>
      </c>
      <c r="S29" s="1554">
        <f>F29</f>
        <v>100</v>
      </c>
      <c r="T29" s="1553" t="s">
        <v>8</v>
      </c>
      <c r="U29" s="1554">
        <f>H29</f>
        <v>100</v>
      </c>
      <c r="V29" s="1553" t="s">
        <v>8</v>
      </c>
      <c r="W29" s="1554">
        <f>J29</f>
        <v>100</v>
      </c>
      <c r="X29" s="1555"/>
      <c r="Y29" s="3456"/>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456"/>
      <c r="Q30" s="1146"/>
      <c r="R30" s="1553"/>
      <c r="S30" s="1554"/>
      <c r="T30" s="1553"/>
      <c r="U30" s="1554"/>
      <c r="V30" s="1553"/>
      <c r="W30" s="1554"/>
      <c r="X30" s="1555"/>
      <c r="Y30" s="3456"/>
      <c r="Z30" s="1145"/>
      <c r="AA30" s="1561">
        <v>1</v>
      </c>
      <c r="AB30" s="1561">
        <v>1</v>
      </c>
      <c r="AC30" s="1561">
        <v>1</v>
      </c>
    </row>
    <row r="31" spans="1:29" s="1215" customFormat="1" ht="28.5">
      <c r="A31" s="576"/>
      <c r="B31" s="2552"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56"/>
      <c r="Q31" s="2539" t="str">
        <f t="shared" ref="Q31" si="9">B31</f>
        <v>基础设施水平</v>
      </c>
      <c r="R31" s="1553" t="s">
        <v>8</v>
      </c>
      <c r="S31" s="1554">
        <f>F31</f>
        <v>100</v>
      </c>
      <c r="T31" s="1553" t="s">
        <v>8</v>
      </c>
      <c r="U31" s="1554">
        <f>H31</f>
        <v>100</v>
      </c>
      <c r="V31" s="1553" t="s">
        <v>8</v>
      </c>
      <c r="W31" s="1554">
        <f>J31</f>
        <v>100</v>
      </c>
      <c r="X31" s="1555"/>
      <c r="Y31" s="3456"/>
      <c r="Z31" s="2536" t="str">
        <f>Q31</f>
        <v>基础设施水平</v>
      </c>
      <c r="AA31" s="1561">
        <f>D31/F31</f>
        <v>1</v>
      </c>
      <c r="AB31" s="1561">
        <f>D31/H31</f>
        <v>1</v>
      </c>
      <c r="AC31" s="1561">
        <f>D31/J31</f>
        <v>1</v>
      </c>
    </row>
    <row r="32" spans="1:29" s="1215" customFormat="1" ht="20.25">
      <c r="A32" s="576"/>
      <c r="B32" s="565"/>
      <c r="C32" s="578"/>
      <c r="D32" s="556"/>
      <c r="E32" s="2553"/>
      <c r="F32" s="554"/>
      <c r="G32" s="578"/>
      <c r="H32" s="554"/>
      <c r="I32" s="578"/>
      <c r="J32" s="554"/>
      <c r="K32" s="530"/>
      <c r="L32" s="2119"/>
      <c r="M32" s="2116"/>
      <c r="N32" s="2116"/>
      <c r="O32" s="2121"/>
      <c r="P32" s="3456"/>
      <c r="Q32" s="2539"/>
      <c r="R32" s="1553"/>
      <c r="S32" s="1554"/>
      <c r="T32" s="1553"/>
      <c r="U32" s="1554"/>
      <c r="V32" s="1553"/>
      <c r="W32" s="1554"/>
      <c r="X32" s="1555"/>
      <c r="Y32" s="3456"/>
      <c r="Z32" s="2536"/>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5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56"/>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56"/>
      <c r="Q34" s="1557" t="str">
        <f t="shared" si="8"/>
        <v>毗邻道路的类型与等级</v>
      </c>
      <c r="R34" s="1558" t="s">
        <v>8</v>
      </c>
      <c r="S34" s="1559">
        <f t="shared" si="10"/>
        <v>100</v>
      </c>
      <c r="T34" s="1558" t="s">
        <v>8</v>
      </c>
      <c r="U34" s="1559">
        <f t="shared" si="11"/>
        <v>100</v>
      </c>
      <c r="V34" s="1558" t="s">
        <v>8</v>
      </c>
      <c r="W34" s="1559">
        <f t="shared" si="12"/>
        <v>100</v>
      </c>
      <c r="X34" s="1552"/>
      <c r="Y34" s="3456"/>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456"/>
      <c r="Q35" s="1557"/>
      <c r="R35" s="1558"/>
      <c r="S35" s="1559"/>
      <c r="T35" s="1558"/>
      <c r="U35" s="1559"/>
      <c r="V35" s="1558"/>
      <c r="W35" s="1559"/>
      <c r="X35" s="1552"/>
      <c r="Y35" s="3456"/>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56"/>
      <c r="Q36" s="1557" t="str">
        <f t="shared" si="8"/>
        <v>土地级别</v>
      </c>
      <c r="R36" s="1558" t="s">
        <v>8</v>
      </c>
      <c r="S36" s="1559">
        <f t="shared" si="10"/>
        <v>100</v>
      </c>
      <c r="T36" s="1558" t="s">
        <v>8</v>
      </c>
      <c r="U36" s="1559">
        <f t="shared" si="11"/>
        <v>100</v>
      </c>
      <c r="V36" s="1558" t="s">
        <v>8</v>
      </c>
      <c r="W36" s="1559">
        <f t="shared" si="12"/>
        <v>100</v>
      </c>
      <c r="X36" s="1552"/>
      <c r="Y36" s="3456"/>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56"/>
      <c r="Q37" s="1557">
        <f t="shared" si="8"/>
        <v>111</v>
      </c>
      <c r="R37" s="1558" t="s">
        <v>8</v>
      </c>
      <c r="S37" s="1559">
        <f t="shared" si="10"/>
        <v>100</v>
      </c>
      <c r="T37" s="1558" t="s">
        <v>8</v>
      </c>
      <c r="U37" s="1559">
        <f t="shared" si="11"/>
        <v>100</v>
      </c>
      <c r="V37" s="1558" t="s">
        <v>8</v>
      </c>
      <c r="W37" s="1559">
        <f t="shared" si="12"/>
        <v>100</v>
      </c>
      <c r="X37" s="1552"/>
      <c r="Y37" s="3456"/>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57" t="s">
        <v>550</v>
      </c>
      <c r="Q38" s="1557">
        <f t="shared" si="8"/>
        <v>111</v>
      </c>
      <c r="R38" s="1558" t="s">
        <v>8</v>
      </c>
      <c r="S38" s="1559">
        <f t="shared" si="10"/>
        <v>100</v>
      </c>
      <c r="T38" s="1558" t="s">
        <v>8</v>
      </c>
      <c r="U38" s="1559">
        <f t="shared" si="11"/>
        <v>100</v>
      </c>
      <c r="V38" s="1558" t="s">
        <v>8</v>
      </c>
      <c r="W38" s="1559">
        <f t="shared" si="12"/>
        <v>100</v>
      </c>
      <c r="X38" s="1552"/>
      <c r="Y38" s="3458"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58"/>
      <c r="Q39" s="1557">
        <f t="shared" si="8"/>
        <v>111</v>
      </c>
      <c r="R39" s="1562" t="s">
        <v>8</v>
      </c>
      <c r="S39" s="1563">
        <f t="shared" si="10"/>
        <v>100</v>
      </c>
      <c r="T39" s="1562" t="s">
        <v>8</v>
      </c>
      <c r="U39" s="1563">
        <f t="shared" si="11"/>
        <v>100</v>
      </c>
      <c r="V39" s="1562" t="s">
        <v>8</v>
      </c>
      <c r="W39" s="1563">
        <f t="shared" si="12"/>
        <v>100</v>
      </c>
      <c r="X39" s="1564"/>
      <c r="Y39" s="3458"/>
      <c r="Z39" s="1565">
        <f t="shared" si="13"/>
        <v>111</v>
      </c>
      <c r="AA39" s="1561">
        <f t="shared" si="3"/>
        <v>1</v>
      </c>
      <c r="AB39" s="1561">
        <f t="shared" si="4"/>
        <v>1</v>
      </c>
      <c r="AC39" s="1561">
        <f t="shared" si="5"/>
        <v>1</v>
      </c>
    </row>
    <row r="40" spans="1:29" ht="20.25">
      <c r="A40" s="2859" t="s">
        <v>2755</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6"/>
      <c r="M40" s="2116"/>
      <c r="N40" s="2116"/>
      <c r="O40" s="2125"/>
      <c r="P40" s="3458"/>
      <c r="Q40" s="1557" t="str">
        <f>B40</f>
        <v>宗地面积</v>
      </c>
      <c r="R40" s="1558" t="s">
        <v>8</v>
      </c>
      <c r="S40" s="1559" t="e">
        <f t="shared" si="10"/>
        <v>#N/A</v>
      </c>
      <c r="T40" s="1558" t="s">
        <v>8</v>
      </c>
      <c r="U40" s="1559" t="e">
        <f t="shared" si="11"/>
        <v>#N/A</v>
      </c>
      <c r="V40" s="1558" t="s">
        <v>8</v>
      </c>
      <c r="W40" s="1559" t="e">
        <f t="shared" si="12"/>
        <v>#N/A</v>
      </c>
      <c r="X40" s="1552"/>
      <c r="Y40" s="3458"/>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58"/>
      <c r="Q41" s="1557" t="str">
        <f t="shared" ref="Q41:Q47" si="14">B41</f>
        <v>宗地形状</v>
      </c>
      <c r="R41" s="1558" t="s">
        <v>8</v>
      </c>
      <c r="S41" s="1559">
        <f t="shared" si="10"/>
        <v>100</v>
      </c>
      <c r="T41" s="1558" t="s">
        <v>8</v>
      </c>
      <c r="U41" s="1559">
        <f t="shared" si="11"/>
        <v>100</v>
      </c>
      <c r="V41" s="1558" t="s">
        <v>8</v>
      </c>
      <c r="W41" s="1559">
        <f t="shared" si="12"/>
        <v>100</v>
      </c>
      <c r="X41" s="1552"/>
      <c r="Y41" s="3458"/>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58"/>
      <c r="Q42" s="1557" t="str">
        <f t="shared" si="14"/>
        <v>临街宽度及深度</v>
      </c>
      <c r="R42" s="1558" t="s">
        <v>8</v>
      </c>
      <c r="S42" s="1559">
        <f t="shared" si="10"/>
        <v>100</v>
      </c>
      <c r="T42" s="1558" t="s">
        <v>8</v>
      </c>
      <c r="U42" s="1559">
        <f t="shared" si="11"/>
        <v>100</v>
      </c>
      <c r="V42" s="1558" t="s">
        <v>8</v>
      </c>
      <c r="W42" s="1559">
        <f t="shared" si="12"/>
        <v>100</v>
      </c>
      <c r="X42" s="1552"/>
      <c r="Y42" s="3458"/>
      <c r="Z42" s="1560" t="str">
        <f t="shared" si="13"/>
        <v>临街宽度及深度</v>
      </c>
      <c r="AA42" s="1561">
        <f t="shared" si="3"/>
        <v>1</v>
      </c>
      <c r="AB42" s="1561">
        <f t="shared" si="4"/>
        <v>1</v>
      </c>
      <c r="AC42" s="1561">
        <f t="shared" si="5"/>
        <v>1</v>
      </c>
    </row>
    <row r="43" spans="1:29" s="1215" customFormat="1" ht="20.25">
      <c r="A43" s="599"/>
      <c r="B43" s="1879" t="s">
        <v>2424</v>
      </c>
      <c r="C43" s="600"/>
      <c r="D43" s="255">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458"/>
      <c r="Q43" s="1557" t="str">
        <f t="shared" si="14"/>
        <v>宗地开发程度</v>
      </c>
      <c r="R43" s="1553" t="s">
        <v>8</v>
      </c>
      <c r="S43" s="1554">
        <f t="shared" si="10"/>
        <v>100</v>
      </c>
      <c r="T43" s="1553" t="s">
        <v>8</v>
      </c>
      <c r="U43" s="1554">
        <f t="shared" si="11"/>
        <v>100</v>
      </c>
      <c r="V43" s="1553" t="s">
        <v>8</v>
      </c>
      <c r="W43" s="1554">
        <f t="shared" si="12"/>
        <v>100</v>
      </c>
      <c r="X43" s="1555"/>
      <c r="Y43" s="3458"/>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58" t="s">
        <v>550</v>
      </c>
      <c r="Q44" s="1557" t="str">
        <f t="shared" si="14"/>
        <v>工程地质条件</v>
      </c>
      <c r="R44" s="1558" t="s">
        <v>8</v>
      </c>
      <c r="S44" s="1559">
        <f t="shared" si="10"/>
        <v>100</v>
      </c>
      <c r="T44" s="1558" t="s">
        <v>8</v>
      </c>
      <c r="U44" s="1559">
        <f t="shared" si="11"/>
        <v>100</v>
      </c>
      <c r="V44" s="1558" t="s">
        <v>8</v>
      </c>
      <c r="W44" s="1559">
        <f t="shared" si="12"/>
        <v>100</v>
      </c>
      <c r="X44" s="1552"/>
      <c r="Y44" s="3458"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58"/>
      <c r="Q45" s="1557">
        <f t="shared" si="14"/>
        <v>111</v>
      </c>
      <c r="R45" s="1558" t="s">
        <v>8</v>
      </c>
      <c r="S45" s="1559">
        <f t="shared" si="10"/>
        <v>100</v>
      </c>
      <c r="T45" s="1558" t="s">
        <v>8</v>
      </c>
      <c r="U45" s="1559">
        <f t="shared" si="11"/>
        <v>100</v>
      </c>
      <c r="V45" s="1558" t="s">
        <v>8</v>
      </c>
      <c r="W45" s="1559">
        <f t="shared" si="12"/>
        <v>100</v>
      </c>
      <c r="X45" s="1552"/>
      <c r="Y45" s="3458"/>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58"/>
      <c r="Q46" s="1557">
        <f t="shared" si="14"/>
        <v>111</v>
      </c>
      <c r="R46" s="1558" t="s">
        <v>8</v>
      </c>
      <c r="S46" s="1559">
        <f t="shared" si="10"/>
        <v>100</v>
      </c>
      <c r="T46" s="1558" t="s">
        <v>8</v>
      </c>
      <c r="U46" s="1559">
        <f t="shared" si="11"/>
        <v>100</v>
      </c>
      <c r="V46" s="1558" t="s">
        <v>8</v>
      </c>
      <c r="W46" s="1559">
        <f t="shared" si="12"/>
        <v>100</v>
      </c>
      <c r="X46" s="1552"/>
      <c r="Y46" s="3458"/>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58"/>
      <c r="Q47" s="1557">
        <f t="shared" si="14"/>
        <v>111</v>
      </c>
      <c r="R47" s="1562" t="s">
        <v>8</v>
      </c>
      <c r="S47" s="1563">
        <f t="shared" si="10"/>
        <v>100</v>
      </c>
      <c r="T47" s="1562" t="s">
        <v>8</v>
      </c>
      <c r="U47" s="1563">
        <f t="shared" si="11"/>
        <v>100</v>
      </c>
      <c r="V47" s="1562" t="s">
        <v>8</v>
      </c>
      <c r="W47" s="1563">
        <f t="shared" si="12"/>
        <v>100</v>
      </c>
      <c r="X47" s="1564"/>
      <c r="Y47" s="3458"/>
      <c r="Z47" s="1565">
        <f t="shared" si="13"/>
        <v>111</v>
      </c>
      <c r="AA47" s="1561">
        <f t="shared" si="3"/>
        <v>1</v>
      </c>
      <c r="AB47" s="1561">
        <f t="shared" si="4"/>
        <v>1</v>
      </c>
      <c r="AC47" s="1561">
        <f t="shared" si="5"/>
        <v>1</v>
      </c>
    </row>
    <row r="48" spans="1:29" ht="20.25">
      <c r="A48" s="606" t="s">
        <v>556</v>
      </c>
      <c r="B48" s="607" t="s">
        <v>2935</v>
      </c>
      <c r="C48" s="608" t="s">
        <v>1</v>
      </c>
      <c r="D48" s="609"/>
      <c r="E48" s="610"/>
      <c r="F48" s="611"/>
      <c r="G48" s="612"/>
      <c r="H48" s="613"/>
      <c r="I48" s="610"/>
      <c r="J48" s="613"/>
      <c r="K48" s="1335"/>
      <c r="L48" s="2128"/>
      <c r="M48" s="2116"/>
      <c r="N48" s="2116"/>
      <c r="O48" s="2129"/>
      <c r="P48" s="3421" t="str">
        <f>A48</f>
        <v>成交单价</v>
      </c>
      <c r="Q48" s="3421"/>
      <c r="R48" s="3422">
        <f>E48</f>
        <v>0</v>
      </c>
      <c r="S48" s="3422"/>
      <c r="T48" s="3422">
        <f>G48</f>
        <v>0</v>
      </c>
      <c r="U48" s="3422"/>
      <c r="V48" s="3422">
        <f>I48</f>
        <v>0</v>
      </c>
      <c r="W48" s="3422"/>
      <c r="X48" s="1544"/>
      <c r="Y48" s="1566"/>
      <c r="Z48" s="1544"/>
      <c r="AA48" s="1544"/>
      <c r="AB48" s="1544"/>
      <c r="AC48" s="1544"/>
    </row>
    <row r="49" spans="1:29" ht="21" thickBot="1">
      <c r="A49" s="614" t="s">
        <v>2693</v>
      </c>
      <c r="B49" s="615"/>
      <c r="C49" s="616" t="e">
        <f>R50</f>
        <v>#DIV/0!</v>
      </c>
      <c r="D49" s="617"/>
      <c r="E49" s="616" t="e">
        <f>R49</f>
        <v>#DIV/0!</v>
      </c>
      <c r="F49" s="618"/>
      <c r="G49" s="619" t="e">
        <f>T49</f>
        <v>#DIV/0!</v>
      </c>
      <c r="H49" s="617"/>
      <c r="I49" s="616" t="e">
        <f>V49</f>
        <v>#DIV/0!</v>
      </c>
      <c r="J49" s="617"/>
      <c r="K49" s="1336"/>
      <c r="L49" s="2128"/>
      <c r="M49" s="2116"/>
      <c r="N49" s="2116"/>
      <c r="O49" s="2129"/>
      <c r="P49" s="3421" t="str">
        <f>A49</f>
        <v>比较价格（元/平方米）</v>
      </c>
      <c r="Q49" s="3421"/>
      <c r="R49" s="3423" t="e">
        <f>ROUND(PRODUCT(R48,AA9:AA47),0)</f>
        <v>#DIV/0!</v>
      </c>
      <c r="S49" s="3423"/>
      <c r="T49" s="3423" t="e">
        <f>ROUND(PRODUCT(T48,AB9:AB47),0)</f>
        <v>#DIV/0!</v>
      </c>
      <c r="U49" s="3423"/>
      <c r="V49" s="3423" t="e">
        <f>ROUND(PRODUCT(V48,AC9:AC47),0)</f>
        <v>#DIV/0!</v>
      </c>
      <c r="W49" s="3423"/>
      <c r="X49" s="1544"/>
      <c r="Y49" s="1544"/>
      <c r="Z49" s="1544"/>
      <c r="AA49" s="1544"/>
      <c r="AB49" s="1544"/>
      <c r="AC49" s="1544"/>
    </row>
    <row r="50" spans="1:29" ht="21" thickBot="1">
      <c r="A50" s="620" t="s">
        <v>2936</v>
      </c>
      <c r="B50" s="621"/>
      <c r="C50" s="622" t="e">
        <f>R50</f>
        <v>#DIV/0!</v>
      </c>
      <c r="D50" s="622"/>
      <c r="E50" s="622"/>
      <c r="F50" s="622"/>
      <c r="G50" s="622"/>
      <c r="H50" s="622"/>
      <c r="I50" s="622"/>
      <c r="J50" s="622"/>
      <c r="K50" s="1337"/>
      <c r="L50" s="2128"/>
      <c r="M50" s="2116"/>
      <c r="N50" s="2116"/>
      <c r="O50" s="2129"/>
      <c r="P50" s="3418" t="str">
        <f>A50</f>
        <v>估价对象XX用房的比较价格（楼面单价，元/平方米）</v>
      </c>
      <c r="Q50" s="3419"/>
      <c r="R50" s="3420" t="e">
        <f>ROUND(AVERAGE(R49:V49),0)</f>
        <v>#DIV/0!</v>
      </c>
      <c r="S50" s="3420"/>
      <c r="T50" s="3420"/>
      <c r="U50" s="3420"/>
      <c r="V50" s="3420"/>
      <c r="W50" s="342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47" t="s">
        <v>2281</v>
      </c>
      <c r="H57" s="3448"/>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t="e">
        <f>C50</f>
        <v>#DIV/0!</v>
      </c>
      <c r="C58" s="634">
        <v>1</v>
      </c>
      <c r="D58" s="2212">
        <v>1</v>
      </c>
      <c r="E58" s="634">
        <f>'数据-汇总表'!E8+'数据-汇总表'!E9</f>
        <v>77720.2</v>
      </c>
      <c r="F58" s="635" t="e">
        <f t="shared" ref="F58:F67" si="15">ROUND(B58*E58/10000,0)</f>
        <v>#DIV/0!</v>
      </c>
      <c r="G58" s="3449"/>
      <c r="H58" s="345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t="e">
        <f>ROUND($C$50*C59*D59,0)</f>
        <v>#DIV/0!</v>
      </c>
      <c r="C59" s="377">
        <f t="shared" ref="C59:C67" si="16">IF($C$57="北京市系数",I59,J59)</f>
        <v>0</v>
      </c>
      <c r="D59" s="2213">
        <v>0.25</v>
      </c>
      <c r="E59" s="638">
        <v>0</v>
      </c>
      <c r="F59" s="635" t="e">
        <f t="shared" si="15"/>
        <v>#DIV/0!</v>
      </c>
      <c r="G59" s="3451"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t="e">
        <f t="shared" ref="B60:B67" si="17">ROUND($C$50*C60*D60,0)</f>
        <v>#DIV/0!</v>
      </c>
      <c r="C60" s="377">
        <f t="shared" si="16"/>
        <v>0</v>
      </c>
      <c r="D60" s="2213">
        <v>0.25</v>
      </c>
      <c r="E60" s="638">
        <v>0</v>
      </c>
      <c r="F60" s="635" t="e">
        <f t="shared" si="15"/>
        <v>#DIV/0!</v>
      </c>
      <c r="G60" s="345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t="e">
        <f t="shared" si="17"/>
        <v>#DIV/0!</v>
      </c>
      <c r="C61" s="377">
        <f t="shared" si="16"/>
        <v>0</v>
      </c>
      <c r="D61" s="2213">
        <v>0.25</v>
      </c>
      <c r="E61" s="638">
        <v>0</v>
      </c>
      <c r="F61" s="635" t="e">
        <f t="shared" si="15"/>
        <v>#DIV/0!</v>
      </c>
      <c r="G61" s="345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t="e">
        <f t="shared" si="17"/>
        <v>#DIV/0!</v>
      </c>
      <c r="C62" s="377">
        <f t="shared" si="16"/>
        <v>0</v>
      </c>
      <c r="D62" s="2213">
        <v>0.25</v>
      </c>
      <c r="E62" s="638">
        <v>0</v>
      </c>
      <c r="F62" s="635" t="e">
        <f t="shared" si="15"/>
        <v>#DIV/0!</v>
      </c>
      <c r="G62" s="345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t="e">
        <f t="shared" si="17"/>
        <v>#DIV/0!</v>
      </c>
      <c r="C63" s="377">
        <f t="shared" si="16"/>
        <v>0</v>
      </c>
      <c r="D63" s="2213">
        <v>0.25</v>
      </c>
      <c r="E63" s="640">
        <f>'数据-汇总表'!E11</f>
        <v>0</v>
      </c>
      <c r="F63" s="635" t="e">
        <f t="shared" si="15"/>
        <v>#DIV/0!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t="e">
        <f t="shared" si="17"/>
        <v>#DIV/0!</v>
      </c>
      <c r="C64" s="377">
        <f t="shared" si="16"/>
        <v>0</v>
      </c>
      <c r="D64" s="2213">
        <v>0.25</v>
      </c>
      <c r="E64" s="640">
        <f>'数据-汇总表'!E12</f>
        <v>0</v>
      </c>
      <c r="F64" s="635" t="e">
        <f t="shared" si="15"/>
        <v>#DIV/0!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t="e">
        <f t="shared" si="17"/>
        <v>#DIV/0!</v>
      </c>
      <c r="C65" s="377">
        <f t="shared" si="16"/>
        <v>0</v>
      </c>
      <c r="D65" s="2213">
        <v>0.25</v>
      </c>
      <c r="E65" s="640">
        <f>'数据-汇总表'!E13</f>
        <v>0</v>
      </c>
      <c r="F65" s="635" t="e">
        <f t="shared" si="15"/>
        <v>#DIV/0!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t="e">
        <f t="shared" si="17"/>
        <v>#DIV/0!</v>
      </c>
      <c r="C66" s="377">
        <f t="shared" si="16"/>
        <v>0</v>
      </c>
      <c r="D66" s="2213">
        <v>0.25</v>
      </c>
      <c r="E66" s="640">
        <f>'数据-汇总表'!E14</f>
        <v>0</v>
      </c>
      <c r="F66" s="635" t="e">
        <f t="shared" si="15"/>
        <v>#DIV/0!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t="e">
        <f t="shared" si="17"/>
        <v>#DIV/0!</v>
      </c>
      <c r="C67" s="377">
        <f t="shared" si="16"/>
        <v>0</v>
      </c>
      <c r="D67" s="2213">
        <v>0.25</v>
      </c>
      <c r="E67" s="640">
        <f>'数据-汇总表'!E15</f>
        <v>0</v>
      </c>
      <c r="F67" s="635" t="e">
        <f t="shared" si="15"/>
        <v>#DIV/0!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77720.2</v>
      </c>
      <c r="F68" s="643"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1" t="str">
        <f>YEAR(C9)&amp;"-"&amp;MONTH(C9)&amp;"-1"</f>
        <v>2019-6-1</v>
      </c>
      <c r="D70" s="2751">
        <f>EDATE(C70,-3)</f>
        <v>43525</v>
      </c>
      <c r="E70" s="2751">
        <f t="shared" ref="E70:N70" si="18">EDATE(D70,-3)</f>
        <v>43435</v>
      </c>
      <c r="F70" s="2751">
        <f t="shared" si="18"/>
        <v>43344</v>
      </c>
      <c r="G70" s="2751">
        <f t="shared" si="18"/>
        <v>43252</v>
      </c>
      <c r="H70" s="2751">
        <f t="shared" si="18"/>
        <v>43160</v>
      </c>
      <c r="I70" s="2751">
        <f t="shared" si="18"/>
        <v>43070</v>
      </c>
      <c r="J70" s="2751">
        <f t="shared" si="18"/>
        <v>42979</v>
      </c>
      <c r="K70" s="2751">
        <f t="shared" si="18"/>
        <v>42887</v>
      </c>
      <c r="L70" s="2751">
        <f t="shared" si="18"/>
        <v>42795</v>
      </c>
      <c r="M70" s="2751">
        <f t="shared" si="18"/>
        <v>42705</v>
      </c>
      <c r="N70" s="2751">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29" t="s">
        <v>2532</v>
      </c>
      <c r="B72" s="2530"/>
      <c r="C72" s="2747"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43"/>
      <c r="P72" s="2144"/>
      <c r="Q72" s="2145"/>
      <c r="R72" s="2145"/>
      <c r="S72" s="2145"/>
      <c r="T72" s="2145"/>
      <c r="U72" s="2145"/>
      <c r="V72" s="2145"/>
      <c r="W72" s="2145"/>
      <c r="X72" s="2145"/>
      <c r="Y72" s="2145"/>
      <c r="Z72" s="2145"/>
      <c r="AA72" s="2145"/>
      <c r="AB72" s="2145"/>
      <c r="AC72" s="2145"/>
    </row>
    <row r="73" spans="1:29" s="1215" customFormat="1" ht="27" customHeight="1">
      <c r="A73" s="2758" t="s">
        <v>2647</v>
      </c>
      <c r="B73" s="478" t="str">
        <f>"北京市平均增长率"&amp;TEXT(SUMIF(基准地价!N21:N25,A73,基准地价!P21:P25),"0.00%")</f>
        <v>北京市平均增长率2.06%</v>
      </c>
      <c r="C73" s="893">
        <v>100</v>
      </c>
      <c r="D73" s="729"/>
      <c r="E73" s="729"/>
      <c r="F73" s="729"/>
      <c r="G73" s="729"/>
      <c r="H73" s="729"/>
      <c r="I73" s="729"/>
      <c r="J73" s="729"/>
      <c r="K73" s="729"/>
      <c r="L73" s="729"/>
      <c r="M73" s="2745"/>
      <c r="N73" s="2746"/>
      <c r="O73" s="2146"/>
      <c r="P73" s="2142"/>
      <c r="Q73" s="1977"/>
      <c r="R73" s="1977"/>
      <c r="S73" s="1977"/>
      <c r="T73" s="1977"/>
      <c r="U73" s="1977"/>
      <c r="V73" s="1977"/>
      <c r="W73" s="1977"/>
      <c r="X73" s="1977"/>
      <c r="Y73" s="1977"/>
      <c r="Z73" s="1977"/>
      <c r="AA73" s="1977"/>
      <c r="AB73" s="1977"/>
      <c r="AC73" s="1977"/>
    </row>
    <row r="74" spans="1:29" s="1215" customFormat="1" ht="15" customHeight="1" thickBot="1">
      <c r="A74" s="2749" t="s">
        <v>2646</v>
      </c>
      <c r="B74" s="2757"/>
      <c r="C74" s="2743"/>
      <c r="D74" s="2744"/>
      <c r="E74" s="2744"/>
      <c r="F74" s="2744"/>
      <c r="G74" s="2744"/>
      <c r="H74" s="2744"/>
      <c r="I74" s="2744"/>
      <c r="J74" s="2744"/>
      <c r="K74" s="2744"/>
      <c r="L74" s="2744"/>
      <c r="M74" s="2744"/>
      <c r="N74" s="2744"/>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58" t="s">
        <v>2550</v>
      </c>
      <c r="C104" s="2559" t="s">
        <v>2551</v>
      </c>
      <c r="D104" s="2559" t="s">
        <v>2552</v>
      </c>
      <c r="E104" s="2559" t="s">
        <v>2553</v>
      </c>
      <c r="F104" s="2559" t="s">
        <v>2554</v>
      </c>
      <c r="G104" s="2559"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1"/>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c r="D119" s="729"/>
      <c r="E119" s="729"/>
      <c r="F119" s="729"/>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c r="D120" s="725"/>
      <c r="E120" s="725"/>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1"/>
      <c r="D125" s="1371"/>
      <c r="E125" s="1371"/>
      <c r="F125" s="1371"/>
      <c r="G125" s="1371"/>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27" t="s">
        <v>522</v>
      </c>
      <c r="D6" s="3428"/>
      <c r="E6" s="3461" t="s">
        <v>523</v>
      </c>
      <c r="F6" s="3462"/>
      <c r="G6" s="3427" t="s">
        <v>524</v>
      </c>
      <c r="H6" s="3428"/>
      <c r="I6" s="3427" t="s">
        <v>525</v>
      </c>
      <c r="J6" s="3428"/>
      <c r="K6" s="513" t="s">
        <v>526</v>
      </c>
      <c r="L6" s="2117"/>
      <c r="M6" s="2118"/>
      <c r="N6" s="2118"/>
      <c r="O6" s="2118"/>
      <c r="P6" s="3429" t="s">
        <v>527</v>
      </c>
      <c r="Q6" s="3430"/>
      <c r="R6" s="3435" t="s">
        <v>523</v>
      </c>
      <c r="S6" s="3436"/>
      <c r="T6" s="3435" t="s">
        <v>524</v>
      </c>
      <c r="U6" s="3436"/>
      <c r="V6" s="3422" t="s">
        <v>525</v>
      </c>
      <c r="W6" s="3422"/>
      <c r="X6" s="1552"/>
      <c r="Y6" s="3435" t="s">
        <v>527</v>
      </c>
      <c r="Z6" s="3436"/>
      <c r="AA6" s="3424" t="s">
        <v>523</v>
      </c>
      <c r="AB6" s="3425" t="s">
        <v>524</v>
      </c>
      <c r="AC6" s="3424" t="s">
        <v>525</v>
      </c>
    </row>
    <row r="7" spans="1:29" ht="15">
      <c r="A7" s="514"/>
      <c r="B7" s="515"/>
      <c r="C7" s="3443" t="s">
        <v>2930</v>
      </c>
      <c r="D7" s="3444"/>
      <c r="E7" s="3463" t="s">
        <v>2931</v>
      </c>
      <c r="F7" s="3464"/>
      <c r="G7" s="3443" t="s">
        <v>2932</v>
      </c>
      <c r="H7" s="3444"/>
      <c r="I7" s="3443" t="s">
        <v>2933</v>
      </c>
      <c r="J7" s="3444"/>
      <c r="K7" s="513"/>
      <c r="L7" s="2117"/>
      <c r="M7" s="2118"/>
      <c r="N7" s="2118"/>
      <c r="O7" s="2118"/>
      <c r="P7" s="3431"/>
      <c r="Q7" s="3432"/>
      <c r="R7" s="3437"/>
      <c r="S7" s="3438"/>
      <c r="T7" s="3437"/>
      <c r="U7" s="3438"/>
      <c r="V7" s="3422"/>
      <c r="W7" s="3422"/>
      <c r="X7" s="1552"/>
      <c r="Y7" s="3437"/>
      <c r="Z7" s="3438"/>
      <c r="AA7" s="3425"/>
      <c r="AB7" s="3425"/>
      <c r="AC7" s="3425"/>
    </row>
    <row r="8" spans="1:29" ht="15.75" thickBot="1">
      <c r="A8" s="516"/>
      <c r="B8" s="517"/>
      <c r="C8" s="3441" t="s">
        <v>2934</v>
      </c>
      <c r="D8" s="3442"/>
      <c r="E8" s="3459" t="s">
        <v>2934</v>
      </c>
      <c r="F8" s="3460"/>
      <c r="G8" s="3441" t="s">
        <v>2934</v>
      </c>
      <c r="H8" s="3442"/>
      <c r="I8" s="3441" t="s">
        <v>2934</v>
      </c>
      <c r="J8" s="3442"/>
      <c r="K8" s="513" t="s">
        <v>528</v>
      </c>
      <c r="L8" s="2117"/>
      <c r="M8" s="2118"/>
      <c r="N8" s="2118"/>
      <c r="O8" s="2118"/>
      <c r="P8" s="3433"/>
      <c r="Q8" s="3434"/>
      <c r="R8" s="3437"/>
      <c r="S8" s="3438"/>
      <c r="T8" s="3439"/>
      <c r="U8" s="3440"/>
      <c r="V8" s="3422"/>
      <c r="W8" s="3422"/>
      <c r="X8" s="1552"/>
      <c r="Y8" s="3439"/>
      <c r="Z8" s="3440"/>
      <c r="AA8" s="3426"/>
      <c r="AB8" s="3426"/>
      <c r="AC8" s="3426"/>
    </row>
    <row r="9" spans="1:29" s="1215" customFormat="1" ht="15.75" thickBot="1">
      <c r="A9" s="2864"/>
      <c r="B9" s="2871" t="s">
        <v>529</v>
      </c>
      <c r="C9" s="518">
        <f>'数据-取费表'!B2</f>
        <v>43646</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52" t="s">
        <v>530</v>
      </c>
      <c r="Q9" s="3454"/>
      <c r="R9" s="1553" t="s">
        <v>8</v>
      </c>
      <c r="S9" s="1554">
        <f t="shared" ref="S9:S17" si="0">F9</f>
        <v>0</v>
      </c>
      <c r="T9" s="1553" t="s">
        <v>8</v>
      </c>
      <c r="U9" s="1554">
        <f t="shared" ref="U9:U17" si="1">H9</f>
        <v>0</v>
      </c>
      <c r="V9" s="1553" t="s">
        <v>8</v>
      </c>
      <c r="W9" s="1554">
        <f t="shared" ref="W9:W17" si="2">J9</f>
        <v>0</v>
      </c>
      <c r="X9" s="1555"/>
      <c r="Y9" s="3452" t="s">
        <v>530</v>
      </c>
      <c r="Z9" s="3453"/>
      <c r="AA9" s="1556" t="e">
        <f>D9/F9</f>
        <v>#DIV/0!</v>
      </c>
      <c r="AB9" s="1556" t="e">
        <f>D9/H9</f>
        <v>#DIV/0!</v>
      </c>
      <c r="AC9" s="1556"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52" t="s">
        <v>533</v>
      </c>
      <c r="Q10" s="3453"/>
      <c r="R10" s="1553" t="s">
        <v>8</v>
      </c>
      <c r="S10" s="1554">
        <f t="shared" si="0"/>
        <v>0</v>
      </c>
      <c r="T10" s="1553" t="s">
        <v>8</v>
      </c>
      <c r="U10" s="1554">
        <f t="shared" si="1"/>
        <v>0</v>
      </c>
      <c r="V10" s="1553" t="s">
        <v>8</v>
      </c>
      <c r="W10" s="1554">
        <f t="shared" si="2"/>
        <v>0</v>
      </c>
      <c r="X10" s="1555"/>
      <c r="Y10" s="3452" t="s">
        <v>533</v>
      </c>
      <c r="Z10" s="3453"/>
      <c r="AA10" s="1556" t="e">
        <f t="shared" ref="AA10:AA42" si="3">D10/F10</f>
        <v>#DIV/0!</v>
      </c>
      <c r="AB10" s="1556" t="e">
        <f t="shared" ref="AB10:AB42" si="4">D10/H10</f>
        <v>#DIV/0!</v>
      </c>
      <c r="AC10" s="1556" t="e">
        <f t="shared" ref="AC10:AC42" si="5">D10/J10</f>
        <v>#DIV/0!</v>
      </c>
    </row>
    <row r="11" spans="1:29" s="1215" customFormat="1" ht="15">
      <c r="A11" s="2866"/>
      <c r="B11" s="2873" t="s">
        <v>2756</v>
      </c>
      <c r="C11" s="525"/>
      <c r="D11" s="254">
        <v>100</v>
      </c>
      <c r="E11" s="525"/>
      <c r="F11" s="254">
        <f>SUMIF(72:72,E11,73:73)-SUMIF(72:72,C11,73:73)+100</f>
        <v>100</v>
      </c>
      <c r="G11" s="525"/>
      <c r="H11" s="254">
        <f>SUMIF(72:72,G11,73:73)-SUMIF(72:72,C11,73:73)+100</f>
        <v>100</v>
      </c>
      <c r="I11" s="525"/>
      <c r="J11" s="254">
        <f>SUMIF(72:72,I11,73:73)-SUMIF(72:72,C11,73:73)+100</f>
        <v>100</v>
      </c>
      <c r="K11" s="523"/>
      <c r="L11" s="2119"/>
      <c r="M11" s="2120"/>
      <c r="N11" s="2120"/>
      <c r="O11" s="2121"/>
      <c r="P11" s="3421" t="s">
        <v>535</v>
      </c>
      <c r="Q11" s="1146" t="str">
        <f t="shared" ref="Q11:Q17" si="6">B11</f>
        <v>用途</v>
      </c>
      <c r="R11" s="1553" t="s">
        <v>8</v>
      </c>
      <c r="S11" s="1554">
        <f t="shared" si="0"/>
        <v>100</v>
      </c>
      <c r="T11" s="1553" t="s">
        <v>8</v>
      </c>
      <c r="U11" s="1554">
        <f t="shared" si="1"/>
        <v>100</v>
      </c>
      <c r="V11" s="1553" t="s">
        <v>8</v>
      </c>
      <c r="W11" s="1554">
        <f t="shared" si="2"/>
        <v>100</v>
      </c>
      <c r="X11" s="1555"/>
      <c r="Y11" s="3367" t="s">
        <v>536</v>
      </c>
      <c r="Z11" s="1145" t="str">
        <f t="shared" ref="Z11:Z17" si="7">Q11</f>
        <v>用途</v>
      </c>
      <c r="AA11" s="1556">
        <f t="shared" si="3"/>
        <v>1</v>
      </c>
      <c r="AB11" s="1556">
        <f t="shared" si="4"/>
        <v>1</v>
      </c>
      <c r="AC11" s="1556">
        <f t="shared" si="5"/>
        <v>1</v>
      </c>
    </row>
    <row r="12" spans="1:29" s="1333" customFormat="1" ht="27">
      <c r="A12" s="2867"/>
      <c r="B12" s="2872" t="s">
        <v>2757</v>
      </c>
      <c r="C12" s="527"/>
      <c r="D12" s="255">
        <v>100</v>
      </c>
      <c r="E12" s="527"/>
      <c r="F12" s="255">
        <f>ROUND(100/'数据-取费表'!G16,0)</f>
        <v>100</v>
      </c>
      <c r="G12" s="527"/>
      <c r="H12" s="255">
        <f>ROUND(100/'数据-取费表'!G16,0)</f>
        <v>100</v>
      </c>
      <c r="I12" s="527"/>
      <c r="J12" s="255">
        <f>ROUND(100/'数据-取费表'!G16,0)</f>
        <v>100</v>
      </c>
      <c r="K12" s="530"/>
      <c r="L12" s="2122"/>
      <c r="M12" s="2162"/>
      <c r="N12" s="2162"/>
      <c r="O12" s="2123"/>
      <c r="P12" s="3421"/>
      <c r="Q12" s="1146" t="str">
        <f t="shared" si="6"/>
        <v>土地使用年限（年）</v>
      </c>
      <c r="R12" s="1553" t="s">
        <v>8</v>
      </c>
      <c r="S12" s="1554">
        <f t="shared" si="0"/>
        <v>100</v>
      </c>
      <c r="T12" s="1553" t="s">
        <v>8</v>
      </c>
      <c r="U12" s="1554">
        <f t="shared" si="1"/>
        <v>100</v>
      </c>
      <c r="V12" s="1553" t="s">
        <v>8</v>
      </c>
      <c r="W12" s="1554">
        <f t="shared" si="2"/>
        <v>100</v>
      </c>
      <c r="X12" s="1555"/>
      <c r="Y12" s="3367"/>
      <c r="Z12" s="1145" t="str">
        <f t="shared" si="7"/>
        <v>土地使用年限（年）</v>
      </c>
      <c r="AA12" s="1556">
        <f t="shared" si="3"/>
        <v>1</v>
      </c>
      <c r="AB12" s="1556">
        <f t="shared" si="4"/>
        <v>1</v>
      </c>
      <c r="AC12" s="1556">
        <f t="shared" si="5"/>
        <v>1</v>
      </c>
    </row>
    <row r="13" spans="1:29" ht="15">
      <c r="A13" s="2868"/>
      <c r="B13" s="2872" t="s">
        <v>2758</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24"/>
      <c r="M13" s="2118"/>
      <c r="N13" s="2118"/>
      <c r="O13" s="2125"/>
      <c r="P13" s="3421"/>
      <c r="Q13" s="1146" t="str">
        <f t="shared" si="6"/>
        <v>容积率</v>
      </c>
      <c r="R13" s="1553" t="s">
        <v>8</v>
      </c>
      <c r="S13" s="1554" t="e">
        <f t="shared" si="0"/>
        <v>#N/A</v>
      </c>
      <c r="T13" s="1553" t="s">
        <v>8</v>
      </c>
      <c r="U13" s="1554" t="e">
        <f t="shared" si="1"/>
        <v>#N/A</v>
      </c>
      <c r="V13" s="1553" t="s">
        <v>8</v>
      </c>
      <c r="W13" s="1554" t="e">
        <f t="shared" si="2"/>
        <v>#N/A</v>
      </c>
      <c r="X13" s="1555"/>
      <c r="Y13" s="3367"/>
      <c r="Z13" s="1145" t="str">
        <f t="shared" si="7"/>
        <v>容积率</v>
      </c>
      <c r="AA13" s="1556" t="e">
        <f t="shared" si="3"/>
        <v>#N/A</v>
      </c>
      <c r="AB13" s="1556" t="e">
        <f t="shared" si="4"/>
        <v>#N/A</v>
      </c>
      <c r="AC13" s="1556" t="e">
        <f t="shared" si="5"/>
        <v>#N/A</v>
      </c>
    </row>
    <row r="14" spans="1:29" s="1215" customFormat="1" ht="15">
      <c r="A14" s="2869"/>
      <c r="B14" s="2875">
        <v>111</v>
      </c>
      <c r="C14" s="527"/>
      <c r="D14" s="537">
        <v>100</v>
      </c>
      <c r="E14" s="540"/>
      <c r="F14" s="255">
        <f>SUMIF(79:79,E14,80:80)-SUMIF(79:79,C14,80:80)+100</f>
        <v>100</v>
      </c>
      <c r="G14" s="541"/>
      <c r="H14" s="255">
        <f>SUMIF(79:79,G14,80:80)-SUMIF(79:79,C14,80:80)+100</f>
        <v>100</v>
      </c>
      <c r="I14" s="540"/>
      <c r="J14" s="255">
        <f>SUMIF(79:79,I14,80:80)-SUMIF(79:79,C14,80:80)+100</f>
        <v>100</v>
      </c>
      <c r="K14" s="530"/>
      <c r="L14" s="2119"/>
      <c r="M14" s="2120"/>
      <c r="N14" s="2120"/>
      <c r="O14" s="2121"/>
      <c r="P14" s="3421"/>
      <c r="Q14" s="1146">
        <f t="shared" si="6"/>
        <v>111</v>
      </c>
      <c r="R14" s="1553" t="s">
        <v>8</v>
      </c>
      <c r="S14" s="1554">
        <f t="shared" si="0"/>
        <v>100</v>
      </c>
      <c r="T14" s="1553" t="s">
        <v>8</v>
      </c>
      <c r="U14" s="1554">
        <f t="shared" si="1"/>
        <v>100</v>
      </c>
      <c r="V14" s="1553" t="s">
        <v>8</v>
      </c>
      <c r="W14" s="1554">
        <f t="shared" si="2"/>
        <v>100</v>
      </c>
      <c r="X14" s="1555"/>
      <c r="Y14" s="3367"/>
      <c r="Z14" s="1145">
        <f t="shared" si="7"/>
        <v>111</v>
      </c>
      <c r="AA14" s="1556">
        <f>D14/F14</f>
        <v>1</v>
      </c>
      <c r="AB14" s="1556">
        <f>D14/H14</f>
        <v>1</v>
      </c>
      <c r="AC14" s="1556">
        <f>D14/J14</f>
        <v>1</v>
      </c>
    </row>
    <row r="15" spans="1:29" ht="15">
      <c r="A15" s="2869"/>
      <c r="B15" s="2875">
        <v>111</v>
      </c>
      <c r="C15" s="538"/>
      <c r="D15" s="539">
        <v>100</v>
      </c>
      <c r="E15" s="540"/>
      <c r="F15" s="255">
        <f>SUMIF(81:81,E15,82:82)-SUMIF(81:81,C15,82:82)+100</f>
        <v>100</v>
      </c>
      <c r="G15" s="541"/>
      <c r="H15" s="539">
        <f>SUMIF(81:81,G15,82:82)-SUMIF(81:81,C15,82:82)+100</f>
        <v>100</v>
      </c>
      <c r="I15" s="540"/>
      <c r="J15" s="539">
        <f>SUMIF(81:81,I15,82:82)-SUMIF(81:81,C15,82:82)+100</f>
        <v>100</v>
      </c>
      <c r="K15" s="530"/>
      <c r="L15" s="2126"/>
      <c r="M15" s="2118"/>
      <c r="N15" s="2118"/>
      <c r="O15" s="2125"/>
      <c r="P15" s="3421"/>
      <c r="Q15" s="1146">
        <f t="shared" si="6"/>
        <v>111</v>
      </c>
      <c r="R15" s="1553" t="s">
        <v>8</v>
      </c>
      <c r="S15" s="1554">
        <f t="shared" si="0"/>
        <v>100</v>
      </c>
      <c r="T15" s="1553" t="s">
        <v>8</v>
      </c>
      <c r="U15" s="1554">
        <f t="shared" si="1"/>
        <v>100</v>
      </c>
      <c r="V15" s="1553" t="s">
        <v>8</v>
      </c>
      <c r="W15" s="1554">
        <f t="shared" si="2"/>
        <v>100</v>
      </c>
      <c r="X15" s="1555"/>
      <c r="Y15" s="3367"/>
      <c r="Z15" s="1145">
        <f t="shared" si="7"/>
        <v>111</v>
      </c>
      <c r="AA15" s="1556">
        <f t="shared" si="3"/>
        <v>1</v>
      </c>
      <c r="AB15" s="1556">
        <f t="shared" si="4"/>
        <v>1</v>
      </c>
      <c r="AC15" s="1556">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21"/>
      <c r="Q16" s="1146">
        <f t="shared" si="6"/>
        <v>111</v>
      </c>
      <c r="R16" s="1553" t="s">
        <v>8</v>
      </c>
      <c r="S16" s="1554">
        <f t="shared" si="0"/>
        <v>100</v>
      </c>
      <c r="T16" s="1553" t="s">
        <v>8</v>
      </c>
      <c r="U16" s="1554">
        <f t="shared" si="1"/>
        <v>100</v>
      </c>
      <c r="V16" s="1553" t="s">
        <v>8</v>
      </c>
      <c r="W16" s="1554">
        <f t="shared" si="2"/>
        <v>100</v>
      </c>
      <c r="X16" s="1555"/>
      <c r="Y16" s="3367"/>
      <c r="Z16" s="1145">
        <f t="shared" si="7"/>
        <v>111</v>
      </c>
      <c r="AA16" s="1556">
        <f t="shared" si="3"/>
        <v>1</v>
      </c>
      <c r="AB16" s="1556">
        <f t="shared" si="4"/>
        <v>1</v>
      </c>
      <c r="AC16" s="1556">
        <f t="shared" si="5"/>
        <v>1</v>
      </c>
    </row>
    <row r="17" spans="1:29" ht="57">
      <c r="A17" s="2862"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55" t="s">
        <v>540</v>
      </c>
      <c r="Q17" s="1557" t="str">
        <f t="shared" si="6"/>
        <v>产业集聚程度</v>
      </c>
      <c r="R17" s="1558" t="s">
        <v>8</v>
      </c>
      <c r="S17" s="1559">
        <f t="shared" si="0"/>
        <v>100</v>
      </c>
      <c r="T17" s="1558" t="s">
        <v>8</v>
      </c>
      <c r="U17" s="1559">
        <f t="shared" si="1"/>
        <v>100</v>
      </c>
      <c r="V17" s="1558" t="s">
        <v>8</v>
      </c>
      <c r="W17" s="1559">
        <f t="shared" si="2"/>
        <v>100</v>
      </c>
      <c r="X17" s="1552"/>
      <c r="Y17" s="3455"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56"/>
      <c r="Q18" s="1557"/>
      <c r="R18" s="1558"/>
      <c r="S18" s="1559"/>
      <c r="T18" s="1558"/>
      <c r="U18" s="1559"/>
      <c r="V18" s="1558"/>
      <c r="W18" s="1559"/>
      <c r="X18" s="1552"/>
      <c r="Y18" s="3456"/>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56"/>
      <c r="Q19" s="1557" t="str">
        <f>B19</f>
        <v>交通便捷度</v>
      </c>
      <c r="R19" s="1558" t="s">
        <v>8</v>
      </c>
      <c r="S19" s="1559">
        <f>F19</f>
        <v>100</v>
      </c>
      <c r="T19" s="1558" t="s">
        <v>8</v>
      </c>
      <c r="U19" s="1559">
        <f>H19</f>
        <v>100</v>
      </c>
      <c r="V19" s="1558" t="s">
        <v>8</v>
      </c>
      <c r="W19" s="1559">
        <f>J19</f>
        <v>100</v>
      </c>
      <c r="X19" s="1552"/>
      <c r="Y19" s="3456"/>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56"/>
      <c r="Q20" s="1557"/>
      <c r="R20" s="1558"/>
      <c r="S20" s="1559"/>
      <c r="T20" s="1558"/>
      <c r="U20" s="1559"/>
      <c r="V20" s="1558"/>
      <c r="W20" s="1559"/>
      <c r="X20" s="1552"/>
      <c r="Y20" s="3456"/>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56"/>
      <c r="Q21" s="1557" t="str">
        <f t="shared" ref="Q21:Q35" si="8">B21</f>
        <v>区域土地利用方向</v>
      </c>
      <c r="R21" s="1558" t="s">
        <v>8</v>
      </c>
      <c r="S21" s="1559">
        <f>F21</f>
        <v>100</v>
      </c>
      <c r="T21" s="1558" t="s">
        <v>8</v>
      </c>
      <c r="U21" s="1559">
        <f>H21</f>
        <v>100</v>
      </c>
      <c r="V21" s="1558" t="s">
        <v>8</v>
      </c>
      <c r="W21" s="1559">
        <f>J21</f>
        <v>100</v>
      </c>
      <c r="X21" s="1552"/>
      <c r="Y21" s="3456"/>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56"/>
      <c r="Q22" s="1557"/>
      <c r="R22" s="1558"/>
      <c r="S22" s="1559"/>
      <c r="T22" s="1558"/>
      <c r="U22" s="1559"/>
      <c r="V22" s="1558"/>
      <c r="W22" s="1559"/>
      <c r="X22" s="1552"/>
      <c r="Y22" s="3456"/>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56"/>
      <c r="Q23" s="1557" t="str">
        <f t="shared" si="8"/>
        <v>环境状况</v>
      </c>
      <c r="R23" s="1558" t="s">
        <v>8</v>
      </c>
      <c r="S23" s="1559">
        <f>F23</f>
        <v>100</v>
      </c>
      <c r="T23" s="1558" t="s">
        <v>8</v>
      </c>
      <c r="U23" s="1559">
        <f>H23</f>
        <v>100</v>
      </c>
      <c r="V23" s="1558" t="s">
        <v>8</v>
      </c>
      <c r="W23" s="1559">
        <f>J23</f>
        <v>100</v>
      </c>
      <c r="X23" s="1552"/>
      <c r="Y23" s="3456"/>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56"/>
      <c r="Q24" s="1557"/>
      <c r="R24" s="1558"/>
      <c r="S24" s="1559"/>
      <c r="T24" s="1558"/>
      <c r="U24" s="1559"/>
      <c r="V24" s="1558"/>
      <c r="W24" s="1559"/>
      <c r="X24" s="1552"/>
      <c r="Y24" s="3456"/>
      <c r="Z24" s="1560"/>
      <c r="AA24" s="1561">
        <v>1</v>
      </c>
      <c r="AB24" s="1561">
        <v>1</v>
      </c>
      <c r="AC24" s="1561">
        <v>1</v>
      </c>
    </row>
    <row r="25" spans="1:29" s="1215" customFormat="1" ht="42.75">
      <c r="A25" s="576"/>
      <c r="B25" s="255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56"/>
      <c r="Q25" s="1146" t="str">
        <f t="shared" si="8"/>
        <v>公共配套设施</v>
      </c>
      <c r="R25" s="1553" t="s">
        <v>8</v>
      </c>
      <c r="S25" s="1554">
        <f>F25</f>
        <v>100</v>
      </c>
      <c r="T25" s="1553" t="s">
        <v>8</v>
      </c>
      <c r="U25" s="1554">
        <f>H25</f>
        <v>100</v>
      </c>
      <c r="V25" s="1553" t="s">
        <v>8</v>
      </c>
      <c r="W25" s="1554">
        <f>J25</f>
        <v>100</v>
      </c>
      <c r="X25" s="1555"/>
      <c r="Y25" s="3456"/>
      <c r="Z25" s="1145" t="str">
        <f>Q25</f>
        <v>公共配套设施</v>
      </c>
      <c r="AA25" s="1561">
        <f>D25/F25</f>
        <v>1</v>
      </c>
      <c r="AB25" s="1561">
        <f>D25/H25</f>
        <v>1</v>
      </c>
      <c r="AC25" s="1561">
        <f>D25/J25</f>
        <v>1</v>
      </c>
    </row>
    <row r="26" spans="1:29" s="1215" customFormat="1" ht="15">
      <c r="A26" s="576"/>
      <c r="B26" s="594"/>
      <c r="C26" s="2553"/>
      <c r="D26" s="554"/>
      <c r="E26" s="553"/>
      <c r="F26" s="554"/>
      <c r="G26" s="553"/>
      <c r="H26" s="554"/>
      <c r="I26" s="575"/>
      <c r="J26" s="554"/>
      <c r="K26" s="530"/>
      <c r="L26" s="2119"/>
      <c r="M26" s="2120"/>
      <c r="N26" s="2120"/>
      <c r="O26" s="2121"/>
      <c r="P26" s="3456"/>
      <c r="Q26" s="1146"/>
      <c r="R26" s="1553"/>
      <c r="S26" s="1554"/>
      <c r="T26" s="1553"/>
      <c r="U26" s="1554"/>
      <c r="V26" s="1553"/>
      <c r="W26" s="1554"/>
      <c r="X26" s="1555"/>
      <c r="Y26" s="3456"/>
      <c r="Z26" s="1145"/>
      <c r="AA26" s="1556">
        <v>1</v>
      </c>
      <c r="AB26" s="1556">
        <v>1</v>
      </c>
      <c r="AC26" s="1556">
        <v>1</v>
      </c>
    </row>
    <row r="27" spans="1:29" s="1215" customFormat="1" ht="28.5">
      <c r="A27" s="576"/>
      <c r="B27" s="255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56"/>
      <c r="Q27" s="2539" t="str">
        <f t="shared" ref="Q27" si="9">B27</f>
        <v>基础设施水平</v>
      </c>
      <c r="R27" s="1553" t="s">
        <v>8</v>
      </c>
      <c r="S27" s="1554">
        <f>F27</f>
        <v>100</v>
      </c>
      <c r="T27" s="1553" t="s">
        <v>8</v>
      </c>
      <c r="U27" s="1554">
        <f>H27</f>
        <v>100</v>
      </c>
      <c r="V27" s="1553" t="s">
        <v>8</v>
      </c>
      <c r="W27" s="1554">
        <f>J27</f>
        <v>100</v>
      </c>
      <c r="X27" s="1555"/>
      <c r="Y27" s="3456"/>
      <c r="Z27" s="2536" t="str">
        <f>Q27</f>
        <v>基础设施水平</v>
      </c>
      <c r="AA27" s="1561">
        <f>D27/F27</f>
        <v>1</v>
      </c>
      <c r="AB27" s="1561">
        <f>D27/H27</f>
        <v>1</v>
      </c>
      <c r="AC27" s="1561">
        <f>D27/J27</f>
        <v>1</v>
      </c>
    </row>
    <row r="28" spans="1:29" s="1215" customFormat="1" ht="15">
      <c r="A28" s="576"/>
      <c r="B28" s="594"/>
      <c r="C28" s="2553"/>
      <c r="D28" s="554"/>
      <c r="E28" s="578"/>
      <c r="F28" s="554"/>
      <c r="G28" s="578"/>
      <c r="H28" s="554"/>
      <c r="I28" s="578"/>
      <c r="J28" s="554"/>
      <c r="K28" s="530"/>
      <c r="L28" s="2119"/>
      <c r="M28" s="2120"/>
      <c r="N28" s="2120"/>
      <c r="O28" s="2121"/>
      <c r="P28" s="3456"/>
      <c r="Q28" s="2539"/>
      <c r="R28" s="1553"/>
      <c r="S28" s="1554"/>
      <c r="T28" s="1553"/>
      <c r="U28" s="1554"/>
      <c r="V28" s="1553"/>
      <c r="W28" s="1554"/>
      <c r="X28" s="1555"/>
      <c r="Y28" s="3456"/>
      <c r="Z28" s="2536"/>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5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56"/>
      <c r="Z29" s="1560" t="str">
        <f t="shared" ref="Z29:Z42" si="13">Q29</f>
        <v>临街状况</v>
      </c>
      <c r="AA29" s="1561">
        <f t="shared" si="3"/>
        <v>1</v>
      </c>
      <c r="AB29" s="1561">
        <f t="shared" si="4"/>
        <v>1</v>
      </c>
      <c r="AC29" s="1561">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56"/>
      <c r="Q30" s="1557" t="str">
        <f t="shared" si="8"/>
        <v>毗邻道路的类型与等级</v>
      </c>
      <c r="R30" s="1558" t="s">
        <v>8</v>
      </c>
      <c r="S30" s="1559">
        <f t="shared" si="10"/>
        <v>100</v>
      </c>
      <c r="T30" s="1558" t="s">
        <v>8</v>
      </c>
      <c r="U30" s="1559">
        <f t="shared" si="11"/>
        <v>100</v>
      </c>
      <c r="V30" s="1558" t="s">
        <v>8</v>
      </c>
      <c r="W30" s="1559">
        <f t="shared" si="12"/>
        <v>100</v>
      </c>
      <c r="X30" s="1552"/>
      <c r="Y30" s="3456"/>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56"/>
      <c r="Q31" s="1557"/>
      <c r="R31" s="1558"/>
      <c r="S31" s="1559"/>
      <c r="T31" s="1558"/>
      <c r="U31" s="1559"/>
      <c r="V31" s="1558"/>
      <c r="W31" s="1559"/>
      <c r="X31" s="1552"/>
      <c r="Y31" s="3456"/>
      <c r="Z31" s="1560"/>
      <c r="AA31" s="1561">
        <v>1</v>
      </c>
      <c r="AB31" s="1561">
        <v>1</v>
      </c>
      <c r="AC31" s="1561">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56"/>
      <c r="Q32" s="1557" t="str">
        <f t="shared" si="8"/>
        <v>土地级别</v>
      </c>
      <c r="R32" s="1558" t="s">
        <v>8</v>
      </c>
      <c r="S32" s="1559">
        <f t="shared" si="10"/>
        <v>100</v>
      </c>
      <c r="T32" s="1558" t="s">
        <v>8</v>
      </c>
      <c r="U32" s="1559">
        <f t="shared" si="11"/>
        <v>100</v>
      </c>
      <c r="V32" s="1558" t="s">
        <v>8</v>
      </c>
      <c r="W32" s="1559">
        <f t="shared" si="12"/>
        <v>100</v>
      </c>
      <c r="X32" s="1552"/>
      <c r="Y32" s="3456"/>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56"/>
      <c r="Q33" s="1557">
        <f t="shared" si="8"/>
        <v>111</v>
      </c>
      <c r="R33" s="1558" t="s">
        <v>8</v>
      </c>
      <c r="S33" s="1559">
        <f t="shared" si="10"/>
        <v>100</v>
      </c>
      <c r="T33" s="1558" t="s">
        <v>8</v>
      </c>
      <c r="U33" s="1559">
        <f t="shared" si="11"/>
        <v>100</v>
      </c>
      <c r="V33" s="1558" t="s">
        <v>8</v>
      </c>
      <c r="W33" s="1559">
        <f t="shared" si="12"/>
        <v>100</v>
      </c>
      <c r="X33" s="1552"/>
      <c r="Y33" s="3456"/>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57" t="s">
        <v>550</v>
      </c>
      <c r="Q34" s="1557">
        <f t="shared" si="8"/>
        <v>111</v>
      </c>
      <c r="R34" s="1558" t="s">
        <v>8</v>
      </c>
      <c r="S34" s="1559">
        <f t="shared" si="10"/>
        <v>100</v>
      </c>
      <c r="T34" s="1558" t="s">
        <v>8</v>
      </c>
      <c r="U34" s="1559">
        <f t="shared" si="11"/>
        <v>100</v>
      </c>
      <c r="V34" s="1558" t="s">
        <v>8</v>
      </c>
      <c r="W34" s="1559">
        <f t="shared" si="12"/>
        <v>100</v>
      </c>
      <c r="X34" s="1552"/>
      <c r="Y34" s="3458" t="s">
        <v>550</v>
      </c>
      <c r="Z34" s="1560">
        <f t="shared" si="13"/>
        <v>111</v>
      </c>
      <c r="AA34" s="1561">
        <f t="shared" si="3"/>
        <v>1</v>
      </c>
      <c r="AB34" s="1561">
        <f t="shared" si="4"/>
        <v>1</v>
      </c>
      <c r="AC34" s="1561">
        <f t="shared" si="5"/>
        <v>1</v>
      </c>
    </row>
    <row r="35" spans="1:29" s="1334" customFormat="1" ht="15.75" thickBot="1">
      <c r="A35" s="588"/>
      <c r="B35" s="255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58"/>
      <c r="Q35" s="1557">
        <f t="shared" si="8"/>
        <v>111</v>
      </c>
      <c r="R35" s="1562" t="s">
        <v>8</v>
      </c>
      <c r="S35" s="1563">
        <f t="shared" si="10"/>
        <v>100</v>
      </c>
      <c r="T35" s="1562" t="s">
        <v>8</v>
      </c>
      <c r="U35" s="1563">
        <f t="shared" si="11"/>
        <v>100</v>
      </c>
      <c r="V35" s="1562" t="s">
        <v>8</v>
      </c>
      <c r="W35" s="1563">
        <f t="shared" si="12"/>
        <v>100</v>
      </c>
      <c r="X35" s="1564"/>
      <c r="Y35" s="3458"/>
      <c r="Z35" s="1565">
        <f t="shared" si="13"/>
        <v>111</v>
      </c>
      <c r="AA35" s="1561">
        <f t="shared" si="3"/>
        <v>1</v>
      </c>
      <c r="AB35" s="1561">
        <f t="shared" si="4"/>
        <v>1</v>
      </c>
      <c r="AC35" s="1561">
        <f t="shared" si="5"/>
        <v>1</v>
      </c>
    </row>
    <row r="36" spans="1:29" ht="15">
      <c r="A36" s="2859"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58"/>
      <c r="Q36" s="1557" t="str">
        <f>B36</f>
        <v>宗地面积</v>
      </c>
      <c r="R36" s="1558" t="s">
        <v>8</v>
      </c>
      <c r="S36" s="1559" t="e">
        <f t="shared" si="10"/>
        <v>#N/A</v>
      </c>
      <c r="T36" s="1558" t="s">
        <v>8</v>
      </c>
      <c r="U36" s="1559" t="e">
        <f t="shared" si="11"/>
        <v>#N/A</v>
      </c>
      <c r="V36" s="1558" t="s">
        <v>8</v>
      </c>
      <c r="W36" s="1559" t="e">
        <f t="shared" si="12"/>
        <v>#N/A</v>
      </c>
      <c r="X36" s="1552"/>
      <c r="Y36" s="3458"/>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58"/>
      <c r="Q37" s="1557" t="str">
        <f t="shared" ref="Q37:Q42" si="14">B37</f>
        <v>宗地形状</v>
      </c>
      <c r="R37" s="1558" t="s">
        <v>8</v>
      </c>
      <c r="S37" s="1559">
        <f t="shared" si="10"/>
        <v>100</v>
      </c>
      <c r="T37" s="1558" t="s">
        <v>8</v>
      </c>
      <c r="U37" s="1559">
        <f t="shared" si="11"/>
        <v>100</v>
      </c>
      <c r="V37" s="1558" t="s">
        <v>8</v>
      </c>
      <c r="W37" s="1559">
        <f t="shared" si="12"/>
        <v>100</v>
      </c>
      <c r="X37" s="1552"/>
      <c r="Y37" s="3458"/>
      <c r="Z37" s="1560" t="str">
        <f t="shared" si="13"/>
        <v>宗地形状</v>
      </c>
      <c r="AA37" s="1561">
        <f t="shared" si="3"/>
        <v>1</v>
      </c>
      <c r="AB37" s="1561">
        <f t="shared" si="4"/>
        <v>1</v>
      </c>
      <c r="AC37" s="1561">
        <f t="shared" si="5"/>
        <v>1</v>
      </c>
    </row>
    <row r="38" spans="1:29" s="1215" customFormat="1" ht="15">
      <c r="A38" s="599"/>
      <c r="B38" s="1879"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58"/>
      <c r="Q38" s="1557" t="str">
        <f t="shared" si="14"/>
        <v>宗地开发程度</v>
      </c>
      <c r="R38" s="1553" t="s">
        <v>8</v>
      </c>
      <c r="S38" s="1554">
        <f t="shared" si="10"/>
        <v>100</v>
      </c>
      <c r="T38" s="1553" t="s">
        <v>8</v>
      </c>
      <c r="U38" s="1554">
        <f t="shared" si="11"/>
        <v>100</v>
      </c>
      <c r="V38" s="1553" t="s">
        <v>8</v>
      </c>
      <c r="W38" s="1554">
        <f t="shared" si="12"/>
        <v>100</v>
      </c>
      <c r="X38" s="1555"/>
      <c r="Y38" s="3458"/>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58" t="s">
        <v>601</v>
      </c>
      <c r="Q39" s="1557" t="str">
        <f t="shared" si="14"/>
        <v>工程地质条件</v>
      </c>
      <c r="R39" s="1558" t="s">
        <v>8</v>
      </c>
      <c r="S39" s="1559">
        <f t="shared" si="10"/>
        <v>100</v>
      </c>
      <c r="T39" s="1558" t="s">
        <v>8</v>
      </c>
      <c r="U39" s="1559">
        <f t="shared" si="11"/>
        <v>100</v>
      </c>
      <c r="V39" s="1558" t="s">
        <v>8</v>
      </c>
      <c r="W39" s="1559">
        <f t="shared" si="12"/>
        <v>100</v>
      </c>
      <c r="X39" s="1552"/>
      <c r="Y39" s="3458"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58"/>
      <c r="Q40" s="1557">
        <f t="shared" si="14"/>
        <v>111</v>
      </c>
      <c r="R40" s="1558" t="s">
        <v>8</v>
      </c>
      <c r="S40" s="1559">
        <f t="shared" si="10"/>
        <v>100</v>
      </c>
      <c r="T40" s="1558" t="s">
        <v>8</v>
      </c>
      <c r="U40" s="1559">
        <f t="shared" si="11"/>
        <v>100</v>
      </c>
      <c r="V40" s="1558" t="s">
        <v>8</v>
      </c>
      <c r="W40" s="1559">
        <f t="shared" si="12"/>
        <v>100</v>
      </c>
      <c r="X40" s="1552"/>
      <c r="Y40" s="3458"/>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58"/>
      <c r="Q41" s="1557">
        <f t="shared" si="14"/>
        <v>111</v>
      </c>
      <c r="R41" s="1558" t="s">
        <v>8</v>
      </c>
      <c r="S41" s="1559">
        <f t="shared" si="10"/>
        <v>100</v>
      </c>
      <c r="T41" s="1558" t="s">
        <v>8</v>
      </c>
      <c r="U41" s="1559">
        <f t="shared" si="11"/>
        <v>100</v>
      </c>
      <c r="V41" s="1558" t="s">
        <v>8</v>
      </c>
      <c r="W41" s="1559">
        <f t="shared" si="12"/>
        <v>100</v>
      </c>
      <c r="X41" s="1552"/>
      <c r="Y41" s="3458"/>
      <c r="Z41" s="1560">
        <f t="shared" si="13"/>
        <v>111</v>
      </c>
      <c r="AA41" s="1561">
        <f t="shared" si="3"/>
        <v>1</v>
      </c>
      <c r="AB41" s="1561">
        <f t="shared" si="4"/>
        <v>1</v>
      </c>
      <c r="AC41" s="1561">
        <f t="shared" si="5"/>
        <v>1</v>
      </c>
    </row>
    <row r="42" spans="1:29" s="1334"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58"/>
      <c r="Q42" s="1557">
        <f t="shared" si="14"/>
        <v>111</v>
      </c>
      <c r="R42" s="1562" t="s">
        <v>8</v>
      </c>
      <c r="S42" s="1563">
        <f t="shared" si="10"/>
        <v>100</v>
      </c>
      <c r="T42" s="1562" t="s">
        <v>8</v>
      </c>
      <c r="U42" s="1563">
        <f t="shared" si="11"/>
        <v>100</v>
      </c>
      <c r="V42" s="1562" t="s">
        <v>8</v>
      </c>
      <c r="W42" s="1563">
        <f t="shared" si="12"/>
        <v>100</v>
      </c>
      <c r="X42" s="1564"/>
      <c r="Y42" s="3458"/>
      <c r="Z42" s="1565">
        <f t="shared" si="13"/>
        <v>111</v>
      </c>
      <c r="AA42" s="1561">
        <f t="shared" si="3"/>
        <v>1</v>
      </c>
      <c r="AB42" s="1561">
        <f t="shared" si="4"/>
        <v>1</v>
      </c>
      <c r="AC42" s="1561">
        <f t="shared" si="5"/>
        <v>1</v>
      </c>
    </row>
    <row r="43" spans="1:29" ht="15">
      <c r="A43" s="606" t="s">
        <v>556</v>
      </c>
      <c r="B43" s="607" t="s">
        <v>2935</v>
      </c>
      <c r="C43" s="608" t="s">
        <v>1</v>
      </c>
      <c r="D43" s="609"/>
      <c r="E43" s="610"/>
      <c r="F43" s="611"/>
      <c r="G43" s="612"/>
      <c r="H43" s="613"/>
      <c r="I43" s="610"/>
      <c r="J43" s="613"/>
      <c r="K43" s="1335"/>
      <c r="L43" s="2128"/>
      <c r="M43" s="2118"/>
      <c r="N43" s="2118"/>
      <c r="O43" s="2129"/>
      <c r="P43" s="3421" t="str">
        <f>A43</f>
        <v>成交单价</v>
      </c>
      <c r="Q43" s="3421"/>
      <c r="R43" s="3422">
        <f>E43</f>
        <v>0</v>
      </c>
      <c r="S43" s="3422"/>
      <c r="T43" s="3422">
        <f>G43</f>
        <v>0</v>
      </c>
      <c r="U43" s="3422"/>
      <c r="V43" s="3422">
        <f>I43</f>
        <v>0</v>
      </c>
      <c r="W43" s="3422"/>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421" t="str">
        <f>A44</f>
        <v>比较价格（元/平方米）</v>
      </c>
      <c r="Q44" s="3421"/>
      <c r="R44" s="3423" t="e">
        <f>ROUND(PRODUCT(R43,AA9:AA42),0)</f>
        <v>#DIV/0!</v>
      </c>
      <c r="S44" s="3423"/>
      <c r="T44" s="3423" t="e">
        <f>ROUND(PRODUCT(T43,AB9:AB42),0)</f>
        <v>#DIV/0!</v>
      </c>
      <c r="U44" s="3423"/>
      <c r="V44" s="3423" t="e">
        <f>ROUND(PRODUCT(V43,AC9:AC42),0)</f>
        <v>#DIV/0!</v>
      </c>
      <c r="W44" s="3423"/>
      <c r="X44" s="1544"/>
      <c r="Y44" s="1544"/>
      <c r="Z44" s="1544"/>
      <c r="AA44" s="1544"/>
      <c r="AB44" s="1544"/>
      <c r="AC44" s="1544"/>
    </row>
    <row r="45" spans="1:29" ht="15.75" thickBot="1">
      <c r="A45" s="620" t="s">
        <v>2936</v>
      </c>
      <c r="B45" s="621"/>
      <c r="C45" s="622" t="e">
        <f>R45</f>
        <v>#DIV/0!</v>
      </c>
      <c r="D45" s="622"/>
      <c r="E45" s="622"/>
      <c r="F45" s="622"/>
      <c r="G45" s="622"/>
      <c r="H45" s="622"/>
      <c r="I45" s="622"/>
      <c r="J45" s="622"/>
      <c r="K45" s="1337"/>
      <c r="L45" s="2128"/>
      <c r="M45" s="2118"/>
      <c r="N45" s="2118"/>
      <c r="O45" s="2129"/>
      <c r="P45" s="3418" t="str">
        <f>A45</f>
        <v>估价对象XX用房的比较价格（楼面单价，元/平方米）</v>
      </c>
      <c r="Q45" s="3419"/>
      <c r="R45" s="3420" t="e">
        <f>ROUND(AVERAGE(R44:V44),0)</f>
        <v>#DIV/0!</v>
      </c>
      <c r="S45" s="3420"/>
      <c r="T45" s="3420"/>
      <c r="U45" s="3420"/>
      <c r="V45" s="3420"/>
      <c r="W45" s="342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65" t="s">
        <v>2284</v>
      </c>
      <c r="H52" s="3466"/>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77720.2</v>
      </c>
      <c r="F53" s="1934" t="e">
        <f t="shared" ref="F53:F62" si="15">ROUND(B53*E53/10000,0)</f>
        <v>#DIV/0!</v>
      </c>
      <c r="G53" s="3467"/>
      <c r="H53" s="346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69"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6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6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6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77720.2</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2" t="str">
        <f>YEAR(C9)&amp;"-"&amp;MONTH(C9)&amp;"-1"</f>
        <v>2019-6-1</v>
      </c>
      <c r="D65" s="2751">
        <f>EDATE(C65,-3)</f>
        <v>43525</v>
      </c>
      <c r="E65" s="2751">
        <f t="shared" ref="E65:N65" si="18">EDATE(D65,-3)</f>
        <v>43435</v>
      </c>
      <c r="F65" s="2751">
        <f t="shared" si="18"/>
        <v>43344</v>
      </c>
      <c r="G65" s="2751">
        <f t="shared" si="18"/>
        <v>43252</v>
      </c>
      <c r="H65" s="2751">
        <f t="shared" si="18"/>
        <v>43160</v>
      </c>
      <c r="I65" s="2751">
        <f t="shared" si="18"/>
        <v>43070</v>
      </c>
      <c r="J65" s="2751">
        <f t="shared" si="18"/>
        <v>42979</v>
      </c>
      <c r="K65" s="2751">
        <f t="shared" si="18"/>
        <v>42887</v>
      </c>
      <c r="L65" s="2751">
        <f t="shared" si="18"/>
        <v>42795</v>
      </c>
      <c r="M65" s="2751">
        <f t="shared" si="18"/>
        <v>42705</v>
      </c>
      <c r="N65" s="2751">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29" t="s">
        <v>2533</v>
      </c>
      <c r="B67" s="645"/>
      <c r="C67" s="2747"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43"/>
      <c r="P67" s="2144"/>
      <c r="Q67" s="2145"/>
      <c r="R67" s="2145"/>
      <c r="S67" s="2145"/>
      <c r="T67" s="2145"/>
      <c r="U67" s="2145"/>
      <c r="V67" s="2145"/>
      <c r="W67" s="2145"/>
      <c r="X67" s="2145"/>
      <c r="Y67" s="2145"/>
      <c r="Z67" s="2145"/>
      <c r="AA67" s="2145"/>
      <c r="AB67" s="2145"/>
      <c r="AC67" s="2145"/>
    </row>
    <row r="68" spans="1:29" s="1215" customFormat="1" ht="27.75" customHeight="1">
      <c r="A68" s="2750" t="s">
        <v>2649</v>
      </c>
      <c r="B68" s="478" t="str">
        <f>"北京市平均增长率"&amp;TEXT(基准地价!P24,"0.00%")</f>
        <v>北京市平均增长率1.40%</v>
      </c>
      <c r="C68" s="893">
        <v>100</v>
      </c>
      <c r="D68" s="729"/>
      <c r="E68" s="729"/>
      <c r="F68" s="729"/>
      <c r="G68" s="729"/>
      <c r="H68" s="729"/>
      <c r="I68" s="729"/>
      <c r="J68" s="729"/>
      <c r="K68" s="729"/>
      <c r="L68" s="729"/>
      <c r="M68" s="2745"/>
      <c r="N68" s="2746"/>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3"/>
      <c r="D69" s="2744"/>
      <c r="E69" s="2744"/>
      <c r="F69" s="2744"/>
      <c r="G69" s="2744"/>
      <c r="H69" s="2744"/>
      <c r="I69" s="2744"/>
      <c r="J69" s="2744"/>
      <c r="K69" s="2744"/>
      <c r="L69" s="2744"/>
      <c r="M69" s="2744"/>
      <c r="N69" s="2744"/>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58" t="s">
        <v>2550</v>
      </c>
      <c r="C95" s="2559" t="s">
        <v>2551</v>
      </c>
      <c r="D95" s="2559" t="s">
        <v>2552</v>
      </c>
      <c r="E95" s="2559" t="s">
        <v>2553</v>
      </c>
      <c r="F95" s="2559" t="s">
        <v>2554</v>
      </c>
      <c r="G95" s="2559"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G87" sqref="G87"/>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77720.2</v>
      </c>
      <c r="E1" s="1401" t="s">
        <v>2427</v>
      </c>
      <c r="F1" s="2414">
        <f>'数据-基础表'!A3</f>
        <v>77720.2</v>
      </c>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8" t="s">
        <v>2761</v>
      </c>
      <c r="S1" s="2888" t="s">
        <v>2762</v>
      </c>
      <c r="T1" s="2888" t="s">
        <v>2783</v>
      </c>
      <c r="U1" s="2888" t="s">
        <v>2784</v>
      </c>
      <c r="V1" s="2888" t="s">
        <v>2785</v>
      </c>
      <c r="W1" s="2173"/>
      <c r="X1" s="2173"/>
      <c r="Y1" s="2173"/>
      <c r="Z1" s="2173"/>
      <c r="AA1" s="2173"/>
      <c r="AB1" s="2173"/>
      <c r="AC1" s="2174"/>
    </row>
    <row r="2" spans="1:39" ht="15.75">
      <c r="A2" s="1401" t="s">
        <v>920</v>
      </c>
      <c r="B2" s="1037">
        <f ca="1">C26</f>
        <v>7904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Ⅸ-房2</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89">
        <v>1</v>
      </c>
      <c r="S2" s="2889">
        <f>ROUND(IF(G3&gt;1,IF(R2&lt;7,SUMPRODUCT((B93:B98=R2)*(C92:N92=G2)*(C93:N98)),SUMIF(C92:N92,G2,C100:N100)),IF(R2&lt;7,SUMPRODUCT((B102:B107=R2)*(C92:N92=G2)*(C102:N107)),SUMIF(C92:N92,G2,C109:N109))),4)</f>
        <v>1.9419999999999999</v>
      </c>
      <c r="T2" s="2889">
        <f ca="1">ROUND($C$5*$C$18*$C$19*$C$20*S2*$C$24,0)</f>
        <v>1974</v>
      </c>
      <c r="U2" s="2878"/>
      <c r="V2" s="2889">
        <f ca="1">ROUND(T2*U2/10000,0)</f>
        <v>0</v>
      </c>
      <c r="W2" s="2173"/>
      <c r="X2" s="2173"/>
      <c r="Y2" s="2173"/>
      <c r="Z2" s="2173"/>
      <c r="AA2" s="2173"/>
      <c r="AB2" s="2173"/>
      <c r="AC2" s="2174"/>
    </row>
    <row r="3" spans="1:39" ht="15.75">
      <c r="A3" s="1406" t="s">
        <v>1687</v>
      </c>
      <c r="B3" s="1037">
        <f ca="1">ROUND(B2*10000/D1,0)</f>
        <v>1017</v>
      </c>
      <c r="C3" s="1402" t="s">
        <v>927</v>
      </c>
      <c r="D3" s="1403" t="s">
        <v>928</v>
      </c>
      <c r="E3" s="1407" t="s">
        <v>3134</v>
      </c>
      <c r="F3" s="1408" t="s">
        <v>3036</v>
      </c>
      <c r="G3" s="1038">
        <f>IF(F3="宗地容积率",'数据-汇总表'!I4,IF(F3="估价对象容积率",'数据-汇总表'!I6,'数据-汇总表'!I7))</f>
        <v>1</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89">
        <v>2</v>
      </c>
      <c r="S3" s="2889">
        <f>ROUND(IF(G3&gt;1,IF(R3&lt;7,SUMPRODUCT((B93:B98=R3)*(C92:N92=G2)*(C93:N98)),SUMIF(C92:N92,G2,C100:N100)),IF(R3&lt;7,SUMPRODUCT((B102:B107=R3)*(C92:N92=G2)*(C102:N107)),SUMIF(C92:N92,G2,C109:N109))),4)</f>
        <v>1.2799</v>
      </c>
      <c r="T3" s="2889">
        <f t="shared" ref="T3:T16" ca="1" si="0">ROUND($C$5*$C$18*$C$19*$C$20*S3*$C$24,0)</f>
        <v>1301</v>
      </c>
      <c r="U3" s="2878"/>
      <c r="V3" s="2889">
        <f t="shared" ref="V3:V16" ca="1" si="1">ROUND(T3*U3/10000,0)</f>
        <v>0</v>
      </c>
      <c r="W3" s="2173"/>
      <c r="X3" s="2173"/>
      <c r="Y3" s="2173"/>
      <c r="Z3" s="2173"/>
      <c r="AA3" s="2173"/>
      <c r="AB3" s="2173"/>
      <c r="AC3" s="2174"/>
    </row>
    <row r="4" spans="1:39" ht="28.5">
      <c r="A4" s="1875" t="s">
        <v>2280</v>
      </c>
      <c r="B4" s="2415">
        <f ca="1">ROUND(B2*10000/F1,0)</f>
        <v>1017</v>
      </c>
      <c r="C4" s="1878" t="s">
        <v>2254</v>
      </c>
      <c r="D4" s="1878">
        <f ca="1">ROUND(B2/(F1/666.67),0)</f>
        <v>68</v>
      </c>
      <c r="E4" s="1878" t="s">
        <v>2255</v>
      </c>
      <c r="F4" s="1876"/>
      <c r="G4" s="1876"/>
      <c r="H4" s="1876"/>
      <c r="I4" s="1876"/>
      <c r="J4" s="1877"/>
      <c r="K4" s="3148"/>
      <c r="L4" s="1869" t="s">
        <v>2241</v>
      </c>
      <c r="M4" s="1870">
        <f>SUMPRODUCT((区片价!B49:B75=I2)*(区片价!C3:F3=E2)*(区片价!C49:F75))</f>
        <v>0</v>
      </c>
      <c r="N4" s="1871">
        <f>SUMPRODUCT((因素修正幅度!B49:B75=I2)*(因素修正幅度!C3:F3=E2)*(因素修正幅度!C49:F75))</f>
        <v>0</v>
      </c>
      <c r="O4" s="3148"/>
      <c r="P4" s="1396"/>
      <c r="Q4" s="2173"/>
      <c r="R4" s="2889">
        <v>3</v>
      </c>
      <c r="S4" s="2889">
        <f>ROUND(IF(G3&gt;1,IF(R4&lt;7,SUMPRODUCT((B93:B98=R4)*(C92:N92=G2)*(C93:N98)),SUMIF(C92:N92,G2,C100:N100)),IF(R4&lt;7,SUMPRODUCT((B102:B107=R4)*(C92:N92=G2)*(C102:N107)),SUMIF(C92:N92,G2,C109:N109))),4)</f>
        <v>1.0072000000000001</v>
      </c>
      <c r="T4" s="2889">
        <f t="shared" ca="1" si="0"/>
        <v>1024</v>
      </c>
      <c r="U4" s="2878"/>
      <c r="V4" s="2889">
        <f t="shared" ca="1" si="1"/>
        <v>0</v>
      </c>
      <c r="W4" s="2173"/>
      <c r="X4" s="2173"/>
      <c r="Y4" s="2173"/>
      <c r="Z4" s="2173"/>
      <c r="AA4" s="2173"/>
      <c r="AB4" s="2173"/>
      <c r="AC4" s="2174"/>
    </row>
    <row r="5" spans="1:39" s="1416" customFormat="1" ht="15.75" thickBot="1">
      <c r="A5" s="1622" t="s">
        <v>1823</v>
      </c>
      <c r="B5" s="1410" t="s">
        <v>931</v>
      </c>
      <c r="C5" s="1040">
        <f>ROUND(IF(E2="商业",C6*C7+C16,(IF(E2="住宅",C6*C12+C16,C6+C16))),0)</f>
        <v>730</v>
      </c>
      <c r="D5" s="3069">
        <f>ROUND(C6+C16,0)</f>
        <v>730</v>
      </c>
      <c r="E5" s="3069"/>
      <c r="F5" s="1411"/>
      <c r="G5" s="1412"/>
      <c r="H5" s="1412"/>
      <c r="I5" s="1412"/>
      <c r="J5" s="1413"/>
      <c r="K5" s="3149"/>
      <c r="L5" s="1869" t="s">
        <v>2242</v>
      </c>
      <c r="M5" s="1870">
        <f>SUMPRODUCT((区片价!B76:B109=I2)*(区片价!C3:F3=E2)*(区片价!C76:F109))</f>
        <v>0</v>
      </c>
      <c r="N5" s="1871">
        <f>SUMPRODUCT((因素修正幅度!B76:B109=I2)*(因素修正幅度!C3:F3=E2)*(因素修正幅度!C76:F109))</f>
        <v>0</v>
      </c>
      <c r="O5" s="3149"/>
      <c r="P5" s="1579"/>
      <c r="Q5" s="2173"/>
      <c r="R5" s="2889">
        <v>4</v>
      </c>
      <c r="S5" s="2889">
        <f>ROUND(IF(G3&gt;1,IF(R5&lt;7,SUMPRODUCT((B93:B98=R5)*(C92:N92=G2)*(C93:N98)),SUMIF(C92:N92,G2,C100:N100)),IF(R5&lt;7,SUMPRODUCT((B102:B107=R5)*(C92:N92=G2)*(C102:N107)),SUMIF(C92:N92,G2,C109:N109))),4)</f>
        <v>0.75249999999999995</v>
      </c>
      <c r="T5" s="2889">
        <f t="shared" ca="1" si="0"/>
        <v>765</v>
      </c>
      <c r="U5" s="2878"/>
      <c r="V5" s="2889">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730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89">
        <v>5</v>
      </c>
      <c r="S6" s="2889">
        <f>ROUND(IF(G3&gt;1,IF(R6&lt;7,SUMPRODUCT((B93:B98=R6)*(C92:N92=G2)*(C93:N98)),SUMIF(C92:N92,G2,C100:N100)),IF(R6&lt;7,SUMPRODUCT((B102:B107=R6)*(C92:N92=G2)*(C102:N107)),SUMIF(C92:N92,G2,C109:N109))),4)</f>
        <v>0.56589999999999996</v>
      </c>
      <c r="T6" s="2889">
        <f t="shared" ca="1" si="0"/>
        <v>575</v>
      </c>
      <c r="U6" s="2878"/>
      <c r="V6" s="2889">
        <f t="shared" ca="1" si="1"/>
        <v>0</v>
      </c>
      <c r="W6" s="2173"/>
      <c r="X6" s="2173"/>
      <c r="Y6" s="2173"/>
      <c r="Z6" s="2173"/>
      <c r="AA6" s="2173"/>
      <c r="AB6" s="2173"/>
      <c r="AC6" s="2175"/>
      <c r="AD6" s="1414"/>
      <c r="AE6" s="1414"/>
      <c r="AF6" s="1414"/>
      <c r="AG6" s="1414"/>
      <c r="AH6" s="1414"/>
      <c r="AI6" s="1414"/>
      <c r="AJ6" s="1415"/>
    </row>
    <row r="7" spans="1:39" ht="24">
      <c r="A7" s="3481" t="str">
        <f>IF(E2="商业",IF(C8="不临58条商业街","",2),"")</f>
        <v/>
      </c>
      <c r="B7" s="1422" t="s">
        <v>932</v>
      </c>
      <c r="C7" s="1042">
        <f>IF(C8="不临58条商业街",1,ROUND(1+(1.6*E8+1.2*E9+0.8*E10+0.4*E11)*C9,4))</f>
        <v>1</v>
      </c>
      <c r="D7" s="1423" t="s">
        <v>933</v>
      </c>
      <c r="E7" s="1043">
        <v>60</v>
      </c>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89">
        <v>6</v>
      </c>
      <c r="S7" s="2889">
        <f>ROUND(IF(G3&gt;1,IF(R7&lt;7,SUMPRODUCT((B93:B98=R7)*(C92:N92=G2)*(C93:N98)),SUMIF(C92:N92,G2,C100:N100)),IF(R7&lt;7,SUMPRODUCT((B102:B107=R7)*(C92:N92=G2)*(C102:N107)),SUMIF(C92:N92,G2,C109:N109))),4)</f>
        <v>0.45250000000000001</v>
      </c>
      <c r="T7" s="2889">
        <f t="shared" ca="1" si="0"/>
        <v>460</v>
      </c>
      <c r="U7" s="2878"/>
      <c r="V7" s="2889">
        <f t="shared" ca="1" si="1"/>
        <v>0</v>
      </c>
      <c r="W7" s="2887" t="s">
        <v>2764</v>
      </c>
      <c r="X7" s="2879" t="str">
        <f>G2</f>
        <v>九级</v>
      </c>
      <c r="Y7" s="2879" t="s">
        <v>2765</v>
      </c>
      <c r="Z7" s="2880">
        <f>G3</f>
        <v>1</v>
      </c>
      <c r="AA7" s="2176"/>
      <c r="AB7" s="2176"/>
      <c r="AC7" s="2177"/>
      <c r="AD7" s="2881"/>
      <c r="AE7" s="2881"/>
      <c r="AF7" s="2881"/>
      <c r="AG7" s="2881"/>
      <c r="AH7" s="2881"/>
      <c r="AI7" s="2881"/>
      <c r="AJ7" s="2882"/>
    </row>
    <row r="8" spans="1:39" ht="15">
      <c r="A8" s="3482"/>
      <c r="B8" s="1409" t="s">
        <v>934</v>
      </c>
      <c r="C8" s="1515"/>
      <c r="D8" s="1044" t="s">
        <v>935</v>
      </c>
      <c r="E8" s="1045">
        <f>ROUND(C11/E7,4)</f>
        <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89">
        <v>7</v>
      </c>
      <c r="S8" s="2878"/>
      <c r="T8" s="2889">
        <f t="shared" ca="1" si="0"/>
        <v>0</v>
      </c>
      <c r="U8" s="2878"/>
      <c r="V8" s="2889">
        <f t="shared" ca="1" si="1"/>
        <v>0</v>
      </c>
      <c r="W8" s="3471" t="s">
        <v>2782</v>
      </c>
      <c r="X8" s="3472"/>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3482"/>
      <c r="B9" s="1409" t="s">
        <v>937</v>
      </c>
      <c r="C9" s="1046">
        <f>SUMIF(修正!C59:C119,C8,修正!E59:E119)</f>
        <v>0</v>
      </c>
      <c r="D9" s="1047" t="s">
        <v>938</v>
      </c>
      <c r="E9" s="1047">
        <f>ROUND(C11/E7,4)</f>
        <v>0</v>
      </c>
      <c r="F9" s="1427" t="s">
        <v>939</v>
      </c>
      <c r="G9" s="1428"/>
      <c r="H9" s="1428"/>
      <c r="I9" s="1428"/>
      <c r="J9" s="1429"/>
      <c r="K9" s="1451"/>
      <c r="L9" s="1869" t="s">
        <v>2246</v>
      </c>
      <c r="M9" s="1870">
        <f>SUMPRODUCT((区片价!B245:B289=I2)*(区片价!C3:F3=E2)*(区片价!C245:F289))</f>
        <v>730</v>
      </c>
      <c r="N9" s="1871">
        <f>SUMPRODUCT((因素修正幅度!B245:B289=I2)*(因素修正幅度!C3:F3=E2)*(因素修正幅度!C245:F289))</f>
        <v>0.14299999999999999</v>
      </c>
      <c r="O9" s="1451"/>
      <c r="P9" s="1396"/>
      <c r="Q9" s="2173"/>
      <c r="R9" s="2889">
        <v>8</v>
      </c>
      <c r="S9" s="2878"/>
      <c r="T9" s="2889">
        <f t="shared" ca="1" si="0"/>
        <v>0</v>
      </c>
      <c r="U9" s="2878"/>
      <c r="V9" s="2889">
        <f t="shared" ca="1" si="1"/>
        <v>0</v>
      </c>
      <c r="W9" s="3470" t="s">
        <v>2778</v>
      </c>
      <c r="X9" s="2883" t="s">
        <v>2779</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82"/>
      <c r="B10" s="1409" t="s">
        <v>940</v>
      </c>
      <c r="C10" s="1047">
        <f>SUMIF(修正!C59:C119,C8,修正!F59:F119)</f>
        <v>0</v>
      </c>
      <c r="D10" s="1047" t="s">
        <v>941</v>
      </c>
      <c r="E10" s="1047">
        <f>ROUND(C11/E7,4)</f>
        <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89">
        <v>9</v>
      </c>
      <c r="S10" s="2878"/>
      <c r="T10" s="2889">
        <f t="shared" ca="1" si="0"/>
        <v>0</v>
      </c>
      <c r="U10" s="2878"/>
      <c r="V10" s="2889">
        <f t="shared" ca="1" si="1"/>
        <v>0</v>
      </c>
      <c r="W10" s="347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82"/>
      <c r="B11" s="1430" t="s">
        <v>943</v>
      </c>
      <c r="C11" s="1048">
        <f>C10/4</f>
        <v>0</v>
      </c>
      <c r="D11" s="1048" t="s">
        <v>944</v>
      </c>
      <c r="E11" s="1048">
        <f>ROUND(C11/E7,4)</f>
        <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89">
        <v>10</v>
      </c>
      <c r="S11" s="2878"/>
      <c r="T11" s="2889">
        <f t="shared" ca="1" si="0"/>
        <v>0</v>
      </c>
      <c r="U11" s="2878"/>
      <c r="V11" s="2889">
        <f t="shared" ca="1" si="1"/>
        <v>0</v>
      </c>
      <c r="W11" s="3470" t="s">
        <v>2780</v>
      </c>
      <c r="X11" s="1047" t="s">
        <v>2765</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8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89">
        <v>11</v>
      </c>
      <c r="S12" s="2878"/>
      <c r="T12" s="2889">
        <f t="shared" ca="1" si="0"/>
        <v>0</v>
      </c>
      <c r="U12" s="2878"/>
      <c r="V12" s="2889">
        <f t="shared" ca="1" si="1"/>
        <v>0</v>
      </c>
      <c r="W12" s="3470"/>
      <c r="X12" s="2886" t="s">
        <v>2781</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83"/>
      <c r="B13" s="1439" t="s">
        <v>1696</v>
      </c>
      <c r="C13" s="1440" t="s">
        <v>1697</v>
      </c>
      <c r="D13" s="1084" t="s">
        <v>1698</v>
      </c>
      <c r="E13" s="1084" t="s">
        <v>1699</v>
      </c>
      <c r="F13" s="1441" t="s">
        <v>948</v>
      </c>
      <c r="G13" s="1442" t="s">
        <v>1642</v>
      </c>
      <c r="H13" s="1443" t="s">
        <v>1642</v>
      </c>
      <c r="I13" s="1444" t="s">
        <v>1642</v>
      </c>
      <c r="J13" s="1445" t="s">
        <v>1642</v>
      </c>
      <c r="K13" s="3164"/>
      <c r="L13" s="3164"/>
      <c r="M13" s="3164"/>
      <c r="N13" s="3164"/>
      <c r="O13" s="3164"/>
      <c r="P13" s="1396"/>
      <c r="Q13" s="2173"/>
      <c r="R13" s="2889">
        <v>12</v>
      </c>
      <c r="S13" s="2878"/>
      <c r="T13" s="2889">
        <f t="shared" ca="1" si="0"/>
        <v>0</v>
      </c>
      <c r="U13" s="2878"/>
      <c r="V13" s="2889">
        <f t="shared" ca="1" si="1"/>
        <v>0</v>
      </c>
      <c r="W13" s="3470"/>
      <c r="X13" s="2886"/>
      <c r="Y13" s="2885">
        <f>(-0.163*(Y12^2)-0.59*Y12+7617)*(10^(-4))/Y11</f>
        <v>0.76170000000000004</v>
      </c>
      <c r="Z13" s="2885">
        <f t="shared" ref="Z13:AJ13" si="5">(-0.163*(Z12^2)-0.59*Z12+7617)*(10^(-4))/Z11</f>
        <v>0.76170000000000004</v>
      </c>
      <c r="AA13" s="2885">
        <f t="shared" si="5"/>
        <v>0.76170000000000004</v>
      </c>
      <c r="AB13" s="2885">
        <f t="shared" si="5"/>
        <v>0.76170000000000004</v>
      </c>
      <c r="AC13" s="2885">
        <f t="shared" si="5"/>
        <v>0.76170000000000004</v>
      </c>
      <c r="AD13" s="2885">
        <f t="shared" si="5"/>
        <v>0.76170000000000004</v>
      </c>
      <c r="AE13" s="2885">
        <f t="shared" si="5"/>
        <v>0.76170000000000004</v>
      </c>
      <c r="AF13" s="2885">
        <f t="shared" si="5"/>
        <v>0.76170000000000004</v>
      </c>
      <c r="AG13" s="2885">
        <f t="shared" si="5"/>
        <v>0.76170000000000004</v>
      </c>
      <c r="AH13" s="2885">
        <f t="shared" si="5"/>
        <v>0.76170000000000004</v>
      </c>
      <c r="AI13" s="2885">
        <f t="shared" si="5"/>
        <v>0.76170000000000004</v>
      </c>
      <c r="AJ13" s="2885">
        <f t="shared" si="5"/>
        <v>0.76170000000000004</v>
      </c>
    </row>
    <row r="14" spans="1:39" ht="12.75" customHeight="1">
      <c r="A14" s="3483"/>
      <c r="B14" s="1446"/>
      <c r="C14" s="1447"/>
      <c r="D14" s="1448"/>
      <c r="E14" s="1448"/>
      <c r="F14" s="1449"/>
      <c r="G14" s="1450" t="s">
        <v>949</v>
      </c>
      <c r="H14" s="1451"/>
      <c r="I14" s="1452"/>
      <c r="J14" s="1453"/>
      <c r="K14" s="3150"/>
      <c r="L14" s="3150"/>
      <c r="M14" s="3150"/>
      <c r="N14" s="3150"/>
      <c r="O14" s="3150"/>
      <c r="P14" s="1396"/>
      <c r="Q14" s="2173"/>
      <c r="R14" s="2889">
        <v>13</v>
      </c>
      <c r="S14" s="2878"/>
      <c r="T14" s="2889">
        <f t="shared" ca="1" si="0"/>
        <v>0</v>
      </c>
      <c r="U14" s="2878"/>
      <c r="V14" s="2889">
        <f t="shared" ca="1" si="1"/>
        <v>0</v>
      </c>
      <c r="W14" s="2173"/>
      <c r="X14" s="2173"/>
      <c r="Y14" s="2173"/>
      <c r="Z14" s="2173"/>
      <c r="AA14" s="2173"/>
      <c r="AB14" s="2173"/>
      <c r="AC14" s="2174"/>
    </row>
    <row r="15" spans="1:39" ht="13.5" customHeight="1" thickBot="1">
      <c r="A15" s="3484"/>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6"/>
      <c r="Q15" s="2173"/>
      <c r="R15" s="2889">
        <v>14</v>
      </c>
      <c r="S15" s="2878"/>
      <c r="T15" s="2889">
        <f t="shared" ca="1" si="0"/>
        <v>0</v>
      </c>
      <c r="U15" s="2878"/>
      <c r="V15" s="2889">
        <f t="shared" ca="1" si="1"/>
        <v>0</v>
      </c>
      <c r="W15" s="2173"/>
      <c r="X15" s="2173"/>
      <c r="Y15" s="2173"/>
      <c r="Z15" s="2173"/>
      <c r="AA15" s="2173"/>
      <c r="AB15" s="2173"/>
      <c r="AC15" s="2174"/>
    </row>
    <row r="16" spans="1:39" ht="24.6" customHeight="1">
      <c r="A16" s="3481" t="s">
        <v>1838</v>
      </c>
      <c r="B16" s="1422" t="s">
        <v>950</v>
      </c>
      <c r="C16" s="1051">
        <f>ROUND(IF(F17="与级别开发程度一致",0,(G17-E17)/C17),0)</f>
        <v>0</v>
      </c>
      <c r="D16" s="3478" t="s">
        <v>954</v>
      </c>
      <c r="E16" s="3479"/>
      <c r="F16" s="3478" t="s">
        <v>951</v>
      </c>
      <c r="G16" s="3479"/>
      <c r="H16" s="1454" t="s">
        <v>3037</v>
      </c>
      <c r="I16" s="1454" t="s">
        <v>3038</v>
      </c>
      <c r="J16" s="1454" t="s">
        <v>3039</v>
      </c>
      <c r="K16" s="1454" t="s">
        <v>3040</v>
      </c>
      <c r="L16" s="1454" t="s">
        <v>3130</v>
      </c>
      <c r="M16" s="1454" t="s">
        <v>3131</v>
      </c>
      <c r="N16" s="1454"/>
      <c r="O16" s="3174"/>
      <c r="P16" s="1396"/>
      <c r="Q16" s="2176"/>
      <c r="R16" s="2889">
        <v>15</v>
      </c>
      <c r="S16" s="2878"/>
      <c r="T16" s="2889">
        <f t="shared" ca="1" si="0"/>
        <v>0</v>
      </c>
      <c r="U16" s="2878"/>
      <c r="V16" s="2889">
        <f t="shared" ca="1" si="1"/>
        <v>0</v>
      </c>
      <c r="W16" s="2176"/>
      <c r="X16" s="2176"/>
      <c r="Y16" s="2176"/>
      <c r="Z16" s="2176"/>
      <c r="AA16" s="2176"/>
      <c r="AB16" s="2176"/>
      <c r="AC16" s="2177"/>
    </row>
    <row r="17" spans="1:40" ht="24.75" thickBot="1">
      <c r="A17" s="3485"/>
      <c r="B17" s="3175" t="s">
        <v>953</v>
      </c>
      <c r="C17" s="3176">
        <f>SUMPRODUCT((修正!A2:A5=E2)*(修正!B1:M1=G2)*(修正!B2:M5))</f>
        <v>1</v>
      </c>
      <c r="D17" s="3177" t="str">
        <f>IF(OR(G2="八级",G2="九级",G2="十级",G2="十一级",G2="十二级"),"五通一平","七通一平")</f>
        <v>五通一平</v>
      </c>
      <c r="E17" s="3167">
        <f>SUMPRODUCT((修正!B1:M1=G2)*(修正!B15:M15))</f>
        <v>155</v>
      </c>
      <c r="F17" s="3168" t="s">
        <v>3133</v>
      </c>
      <c r="G17" s="3167">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10</v>
      </c>
      <c r="L17" s="1050">
        <f>SUMPRODUCT((七通一平=L16)*(修正!B1:M1=G2)*(修正!B6:M14))</f>
        <v>20</v>
      </c>
      <c r="M17" s="1050">
        <f>SUMPRODUCT((七通一平=M16)*(修正!B1:M1=G2)*(修正!B6:M14))</f>
        <v>25</v>
      </c>
      <c r="N17" s="1050">
        <f>SUMPRODUCT((七通一平=N16)*(修正!B1:M1=G2)*(修正!B6:M14))</f>
        <v>0</v>
      </c>
      <c r="O17" s="3178">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1" t="s">
        <v>1829</v>
      </c>
      <c r="B18" s="3170" t="s">
        <v>955</v>
      </c>
      <c r="C18" s="3171">
        <f>SUMIF(修正!C18:C39,E3,修正!E18:E39)</f>
        <v>1</v>
      </c>
      <c r="D18" s="3172"/>
      <c r="E18" s="3173"/>
      <c r="F18" s="3155"/>
      <c r="G18" s="3149"/>
      <c r="H18" s="3149"/>
      <c r="I18" s="3149"/>
      <c r="J18" s="3163"/>
      <c r="K18" s="3149"/>
      <c r="L18" s="3149"/>
      <c r="M18" s="3149"/>
      <c r="N18" s="3149"/>
      <c r="O18" s="3149"/>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1.3588</v>
      </c>
      <c r="D19" s="1461" t="s">
        <v>957</v>
      </c>
      <c r="E19" s="1053">
        <v>41640</v>
      </c>
      <c r="F19" s="1461" t="s">
        <v>958</v>
      </c>
      <c r="G19" s="1054">
        <f>'数据-取费表'!B2</f>
        <v>43646</v>
      </c>
      <c r="H19" s="1462" t="s">
        <v>3001</v>
      </c>
      <c r="I19" s="2737" t="str">
        <f>IF(H19="季度增幅（自定义）",SUMIF(N21:N24,E2,O21:O24),"")</f>
        <v/>
      </c>
      <c r="J19" s="1458"/>
      <c r="K19" s="3149"/>
      <c r="L19" s="2989" t="s">
        <v>2840</v>
      </c>
      <c r="M19" s="2990">
        <f>ROUND(SUMIF(地价!B2:F2,E2,地价!B26:F26),0)</f>
        <v>230</v>
      </c>
      <c r="N19" s="2739" t="s">
        <v>1676</v>
      </c>
      <c r="O19" s="2738">
        <f>ROUNDDOWN(DATEDIF(E19,G19,"M")/3,0)</f>
        <v>21</v>
      </c>
      <c r="P19" s="1581"/>
      <c r="Q19" s="2877"/>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1" t="s">
        <v>1836</v>
      </c>
      <c r="B20" s="2732" t="s">
        <v>971</v>
      </c>
      <c r="C20" s="2733">
        <f ca="1">ROUND(POWER(1+G20,J20-I20)*(POWER(1+G20,I20)-1)/(POWER(1+G20,J20)-1),4)</f>
        <v>1</v>
      </c>
      <c r="D20" s="2734" t="s">
        <v>972</v>
      </c>
      <c r="E20" s="3044">
        <f ca="1">存贷款利率!I4/100</f>
        <v>4.3499999999999997E-2</v>
      </c>
      <c r="F20" s="2734" t="s">
        <v>973</v>
      </c>
      <c r="G20" s="2735">
        <f ca="1">SUMIF(M26:P26,E2,M28:P28)</f>
        <v>4.8000000000000001E-2</v>
      </c>
      <c r="H20" s="2734" t="s">
        <v>974</v>
      </c>
      <c r="I20" s="2730">
        <f>SUMIF('数据-取费表'!C6:C15,E2,'数据-取费表'!F6:F15)/COUNTIF('数据-取费表'!C6:C15,E2)</f>
        <v>50</v>
      </c>
      <c r="J20" s="2736">
        <f>IF(E2="住宅",70,IF(E2="商业",40,50))</f>
        <v>50</v>
      </c>
      <c r="K20" s="3151"/>
      <c r="L20" s="2991" t="s">
        <v>2841</v>
      </c>
      <c r="M20" s="3158">
        <f>ROUND(SUMPRODUCT((地价!A4:A26=YEAR(G19)&amp;"-"&amp;ROUNDUP(MONTH(G19)/3,0))*(地价!B2:F2=E2)*(地价!B4:F26)),0)</f>
        <v>308</v>
      </c>
      <c r="N20" s="2742" t="s">
        <v>2645</v>
      </c>
      <c r="O20" s="2740" t="s">
        <v>2644</v>
      </c>
      <c r="P20" s="2741" t="s">
        <v>2650</v>
      </c>
      <c r="Q20" s="2877"/>
      <c r="R20" s="2179"/>
      <c r="S20" s="2179"/>
      <c r="T20" s="2179"/>
      <c r="U20" s="2179"/>
      <c r="V20" s="2179"/>
      <c r="W20" s="2179"/>
      <c r="X20" s="2179"/>
      <c r="Y20" s="1459"/>
      <c r="Z20" s="1459"/>
      <c r="AA20" s="1459"/>
      <c r="AB20" s="1459"/>
      <c r="AC20" s="1459"/>
      <c r="AD20" s="1459"/>
    </row>
    <row r="21" spans="1:40" s="1416" customFormat="1" ht="14.25">
      <c r="A21" s="1626" t="s">
        <v>1837</v>
      </c>
      <c r="B21" s="1467" t="s">
        <v>3002</v>
      </c>
      <c r="C21" s="1153">
        <f>IF(B21="容积率修正",IF(G3&lt;=10,D22,J22),C23)</f>
        <v>1</v>
      </c>
      <c r="D21" s="1468"/>
      <c r="E21" s="1468"/>
      <c r="F21" s="1468"/>
      <c r="G21" s="1468"/>
      <c r="H21" s="1468"/>
      <c r="I21" s="1468"/>
      <c r="J21" s="1469"/>
      <c r="K21" s="3149"/>
      <c r="L21" s="1468"/>
      <c r="M21" s="1468"/>
      <c r="N21" s="1465" t="s">
        <v>975</v>
      </c>
      <c r="O21" s="1528"/>
      <c r="P21" s="2729">
        <f>SUMPRODUCT((地价!A3:A26=YEAR(G19)&amp;"-"&amp;ROUNDUP(MONTH(G19)/3,0))*(地价!AD2:AH2=N21)*(地价!AD3:AH26))</f>
        <v>1.46E-2</v>
      </c>
      <c r="Q21" s="2877"/>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1</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5" t="s">
        <v>977</v>
      </c>
      <c r="J22" s="1055" t="str">
        <f>IF(G3&gt;10,D113,"——")</f>
        <v>——</v>
      </c>
      <c r="K22" s="3152"/>
      <c r="L22" s="1468"/>
      <c r="M22" s="1468"/>
      <c r="N22" s="1465" t="s">
        <v>978</v>
      </c>
      <c r="O22" s="1528"/>
      <c r="P22" s="2729">
        <f>SUMPRODUCT((地价!A3:A26=YEAR(G19)&amp;"-"&amp;ROUNDUP(MONTH(G19)/3,0))*(地价!AD2:AH2=N22)*(地价!AD3:AH26))</f>
        <v>1.46E-2</v>
      </c>
      <c r="Q22" s="2877"/>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0.44750000000000001</v>
      </c>
      <c r="D23" s="1516"/>
      <c r="E23" s="1516"/>
      <c r="F23" s="1517"/>
      <c r="G23" s="1518"/>
      <c r="H23" s="1519"/>
      <c r="I23" s="1520"/>
      <c r="J23" s="1520"/>
      <c r="K23" s="3153"/>
      <c r="L23" s="1396"/>
      <c r="M23" s="1396"/>
      <c r="N23" s="1465" t="s">
        <v>923</v>
      </c>
      <c r="O23" s="1528"/>
      <c r="P23" s="2729">
        <f>SUMPRODUCT((地价!A3:A26=YEAR(G19)&amp;"-"&amp;ROUNDUP(MONTH(G19)/3,0))*(地价!AD2:AH2=N23)*(地价!AD3:AH26))</f>
        <v>2.2599999999999999E-2</v>
      </c>
      <c r="Q23" s="2877"/>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1.0247999999999999</v>
      </c>
      <c r="D24" s="1521"/>
      <c r="E24" s="1522"/>
      <c r="F24" s="1522"/>
      <c r="G24" s="1522"/>
      <c r="H24" s="1522"/>
      <c r="I24" s="1522"/>
      <c r="J24" s="1522"/>
      <c r="K24" s="3153"/>
      <c r="L24" s="1468"/>
      <c r="M24" s="1468"/>
      <c r="N24" s="1465" t="s">
        <v>981</v>
      </c>
      <c r="O24" s="3157"/>
      <c r="P24" s="2729">
        <f>SUMPRODUCT((地价!A3:A26=YEAR(G19)&amp;"-"&amp;ROUNDUP(MONTH(G19)/3,0))*(地价!AD2:AH2=N24)*(地价!AD3:AH26))</f>
        <v>1.4E-2</v>
      </c>
      <c r="Q24" s="2877"/>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9" t="s">
        <v>2648</v>
      </c>
      <c r="O25" s="3160"/>
      <c r="P25" s="2409">
        <f>SUMPRODUCT((地价!A3:A26=YEAR(G19)&amp;"-"&amp;ROUNDUP(MONTH(G19)/3,0))*(地价!AD2:AH2=N25)*(地价!AD3:AH26))</f>
        <v>2.06E-2</v>
      </c>
      <c r="Q25" s="2877"/>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7904</v>
      </c>
      <c r="D26" s="1476"/>
      <c r="E26" s="1451"/>
      <c r="F26" s="1477"/>
      <c r="G26" s="1451"/>
      <c r="H26" s="1451"/>
      <c r="I26" s="1451"/>
      <c r="J26" s="1478"/>
      <c r="K26" s="1451"/>
      <c r="L26" s="1582" t="s">
        <v>898</v>
      </c>
      <c r="M26" s="1423" t="s">
        <v>983</v>
      </c>
      <c r="N26" s="1423" t="s">
        <v>984</v>
      </c>
      <c r="O26" s="1423" t="s">
        <v>902</v>
      </c>
      <c r="P26" s="1463" t="s">
        <v>985</v>
      </c>
      <c r="Q26" s="2877"/>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9"/>
      <c r="R27" s="2877"/>
      <c r="S27" s="2877"/>
      <c r="T27" s="2877"/>
      <c r="U27" s="2877"/>
      <c r="V27" s="2877"/>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7"/>
      <c r="S28" s="2877"/>
      <c r="T28" s="2877"/>
      <c r="U28" s="2877"/>
      <c r="V28" s="2877"/>
      <c r="W28" s="2179"/>
      <c r="X28" s="2179"/>
      <c r="Y28" s="2179"/>
      <c r="Z28" s="2179"/>
      <c r="AA28" s="2179"/>
      <c r="AB28" s="2179"/>
      <c r="AC28" s="2179"/>
      <c r="AD28" s="1459"/>
      <c r="AE28" s="1459"/>
      <c r="AF28" s="1459"/>
      <c r="AG28" s="1459"/>
    </row>
    <row r="29" spans="1:40" ht="14.25">
      <c r="A29" s="1488"/>
      <c r="B29" s="1489" t="s">
        <v>993</v>
      </c>
      <c r="C29" s="1058">
        <f ca="1">ROUND(C5*C18*C19*C20*C21*C24,0)</f>
        <v>1017</v>
      </c>
      <c r="D29" s="1490">
        <f>'数据-汇总表'!D3</f>
        <v>77720.2</v>
      </c>
      <c r="E29" s="1833">
        <f ca="1">ROUND(C29*D29/10000,0)</f>
        <v>7904</v>
      </c>
      <c r="F29" s="1491" t="s">
        <v>1701</v>
      </c>
      <c r="G29" s="1492"/>
      <c r="H29" s="1492"/>
      <c r="I29" s="1492"/>
      <c r="J29" s="1493"/>
      <c r="K29" s="3154"/>
      <c r="L29" s="3154"/>
      <c r="M29" s="3154"/>
      <c r="N29" s="3154"/>
      <c r="O29" s="3154"/>
      <c r="P29" s="1396"/>
      <c r="Q29" s="2179"/>
      <c r="R29" s="2179"/>
      <c r="S29" s="2179"/>
      <c r="T29" s="2179"/>
      <c r="U29" s="2179"/>
      <c r="V29" s="2179"/>
      <c r="W29" s="2877"/>
      <c r="X29" s="2877"/>
      <c r="Y29" s="2877"/>
      <c r="Z29" s="2877"/>
      <c r="AA29" s="2877"/>
      <c r="AB29" s="2179"/>
      <c r="AC29" s="2179"/>
      <c r="AD29" s="2179"/>
      <c r="AE29" s="2179"/>
      <c r="AF29" s="2179"/>
      <c r="AG29" s="2179"/>
      <c r="AH29" s="2179"/>
      <c r="AJ29" s="1398"/>
      <c r="AK29" s="1398"/>
      <c r="AL29" s="1398"/>
      <c r="AM29" s="1397"/>
      <c r="AN29" s="1397"/>
    </row>
    <row r="30" spans="1:40" ht="24.75" thickBot="1">
      <c r="A30" s="1494"/>
      <c r="B30" s="1495" t="s">
        <v>994</v>
      </c>
      <c r="C30" s="1050">
        <f ca="1">ROUND(IF(E2="工业",C29*M39,C29*M38),0)</f>
        <v>153</v>
      </c>
      <c r="D30" s="1496"/>
      <c r="E30" s="1833">
        <f ca="1">ROUND(C30*D30/10000,0)</f>
        <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5"/>
      <c r="L32" s="3155"/>
      <c r="M32" s="3155"/>
      <c r="N32" s="3155"/>
      <c r="O32" s="3155"/>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88" t="s">
        <v>2961</v>
      </c>
      <c r="B33" s="1510" t="s">
        <v>999</v>
      </c>
      <c r="C33" s="1058">
        <f ca="1">ROUND(D5*C19*C20*C24*F33,0)</f>
        <v>610</v>
      </c>
      <c r="D33" s="1523"/>
      <c r="E33" s="1047">
        <f ca="1">ROUND(C33*D33/10000,0)</f>
        <v>0</v>
      </c>
      <c r="F33" s="1047">
        <f>SUMIF(修正!A45:A56,G2,修正!B45:B56)</f>
        <v>0.6</v>
      </c>
      <c r="G33" s="1047">
        <f t="shared" ref="G33" ca="1" si="6">ROUND(IF(E2="工业",C33*$M$39,C33*$M$38),0)</f>
        <v>92</v>
      </c>
      <c r="H33" s="1047">
        <f>D33</f>
        <v>0</v>
      </c>
      <c r="I33" s="1047">
        <f ca="1">ROUND(G33*H33/10000,0)</f>
        <v>0</v>
      </c>
      <c r="J33" s="1511"/>
      <c r="K33" s="3156"/>
      <c r="L33" s="3156"/>
      <c r="M33" s="3156"/>
      <c r="N33" s="3156"/>
      <c r="O33" s="3156"/>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89"/>
      <c r="B34" s="1440" t="s">
        <v>1000</v>
      </c>
      <c r="C34" s="1058">
        <f ca="1">ROUND(D5*C19*C20*C24*F34,0)</f>
        <v>305</v>
      </c>
      <c r="D34" s="1523"/>
      <c r="E34" s="1047">
        <f t="shared" ref="E34:E39" ca="1" si="7">ROUND(C34*D34/10000,0)</f>
        <v>0</v>
      </c>
      <c r="F34" s="1047">
        <f>SUMIF(修正!A45:A56,G2,修正!C45:C56)</f>
        <v>0.3</v>
      </c>
      <c r="G34" s="1047">
        <f ca="1">ROUND(IF(E2="工业",C34*$M$39,C34*$M$38),0)</f>
        <v>46</v>
      </c>
      <c r="H34" s="1047">
        <f t="shared" ref="H34:H39" si="8">D34</f>
        <v>0</v>
      </c>
      <c r="I34" s="1047">
        <f t="shared" ref="I34:I39" ca="1" si="9">ROUND(G34*H34/10000,0)</f>
        <v>0</v>
      </c>
      <c r="J34" s="1511"/>
      <c r="K34" s="3156"/>
      <c r="L34" s="3156"/>
      <c r="M34" s="3156"/>
      <c r="N34" s="3156"/>
      <c r="O34" s="3156"/>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89"/>
      <c r="B35" s="1440" t="s">
        <v>1001</v>
      </c>
      <c r="C35" s="1058">
        <f ca="1">ROUND(D5*C19*C20*C24*F35,0)</f>
        <v>203</v>
      </c>
      <c r="D35" s="1523"/>
      <c r="E35" s="1047">
        <f t="shared" ca="1" si="7"/>
        <v>0</v>
      </c>
      <c r="F35" s="1047">
        <f>SUMIF(修正!A45:A56,G2,修正!D45:D56)</f>
        <v>0.2</v>
      </c>
      <c r="G35" s="1047">
        <f ca="1">ROUND(IF(E2="工业",C35*$M$39,C35*$M$38),0)</f>
        <v>30</v>
      </c>
      <c r="H35" s="1047">
        <f t="shared" si="8"/>
        <v>0</v>
      </c>
      <c r="I35" s="1047">
        <f t="shared" ca="1" si="9"/>
        <v>0</v>
      </c>
      <c r="J35" s="1511"/>
      <c r="K35" s="3156"/>
      <c r="L35" s="3156"/>
      <c r="M35" s="3156"/>
      <c r="N35" s="3156"/>
      <c r="O35" s="3156"/>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90"/>
      <c r="B36" s="1440" t="s">
        <v>1002</v>
      </c>
      <c r="C36" s="1058">
        <f ca="1">ROUND(D5*C19*C20*C24*F36,0)</f>
        <v>203</v>
      </c>
      <c r="D36" s="1523"/>
      <c r="E36" s="1047">
        <f t="shared" ca="1" si="7"/>
        <v>0</v>
      </c>
      <c r="F36" s="1047">
        <f>SUMIF(修正!A45:A56,G2,修正!E45:E56)</f>
        <v>0.2</v>
      </c>
      <c r="G36" s="1047">
        <f ca="1">ROUND(IF(E2="工业",C36*$M$39,C36*$M$38),0)</f>
        <v>30</v>
      </c>
      <c r="H36" s="1047">
        <f t="shared" si="8"/>
        <v>0</v>
      </c>
      <c r="I36" s="1047">
        <f t="shared" ca="1" si="9"/>
        <v>0</v>
      </c>
      <c r="J36" s="1511"/>
      <c r="K36" s="3156"/>
      <c r="L36" s="3156"/>
      <c r="M36" s="3156"/>
      <c r="N36" s="3156"/>
      <c r="O36" s="3156"/>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f ca="1">ROUND(D5*C19*C20*C24*F37,0)</f>
        <v>203</v>
      </c>
      <c r="D37" s="1523"/>
      <c r="E37" s="1047">
        <f t="shared" ca="1" si="7"/>
        <v>0</v>
      </c>
      <c r="F37" s="1058">
        <f>SUMIF(修正!A45:A56,G2,修正!F45:F56)</f>
        <v>0.2</v>
      </c>
      <c r="G37" s="1047">
        <f ca="1">ROUND(IF(E2="工业",C37*$M$39,C37*$M$38),0)</f>
        <v>30</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5" t="s">
        <v>2988</v>
      </c>
      <c r="C41" s="838">
        <f ca="1">ROUND(POWER(1+E41,H41-G41)*(POWER(1+E41,G41)-1)/(POWER(1+E41,H41)-1),4)</f>
        <v>0</v>
      </c>
      <c r="D41" s="377" t="s">
        <v>2986</v>
      </c>
      <c r="E41" s="3144">
        <f ca="1">G20</f>
        <v>4.8000000000000001E-2</v>
      </c>
      <c r="F41" s="377" t="s">
        <v>2987</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1"/>
      <c r="H44" s="2385"/>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6" t="s">
        <v>1007</v>
      </c>
      <c r="B45" s="2387">
        <f>1+E47</f>
        <v>1</v>
      </c>
      <c r="C45" s="2388"/>
      <c r="D45" s="2389"/>
      <c r="E45" s="2390"/>
      <c r="F45" s="2391"/>
      <c r="G45" s="2385"/>
      <c r="H45" s="2385"/>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2" t="s">
        <v>1008</v>
      </c>
      <c r="B46" s="2371" t="s">
        <v>1009</v>
      </c>
      <c r="C46" s="2392" t="s">
        <v>1010</v>
      </c>
      <c r="D46" s="2393" t="s">
        <v>1011</v>
      </c>
      <c r="E46" s="2394" t="s">
        <v>1013</v>
      </c>
      <c r="F46" s="2395" t="s">
        <v>2250</v>
      </c>
      <c r="G46" s="2393" t="s">
        <v>1014</v>
      </c>
      <c r="H46" s="2377" t="s">
        <v>2418</v>
      </c>
      <c r="I46" s="2393" t="s">
        <v>1012</v>
      </c>
      <c r="J46" s="2396" t="s">
        <v>1015</v>
      </c>
      <c r="K46" s="2396" t="s">
        <v>1016</v>
      </c>
      <c r="L46" s="2396" t="s">
        <v>1017</v>
      </c>
      <c r="M46" s="2396" t="s">
        <v>1018</v>
      </c>
      <c r="N46" s="2396"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2" t="s">
        <v>1020</v>
      </c>
      <c r="B47" s="2374" t="str">
        <f>估价对象房地状况!C16</f>
        <v>估价对象位于XX商圈，周边商业氛围成熟，人流量大，商业繁华度好</v>
      </c>
      <c r="C47" s="1049"/>
      <c r="D47" s="2380">
        <f t="shared" ref="D47:D55" si="10">SUMIF($J$46:$N$46,C47,J47:N47)</f>
        <v>0</v>
      </c>
      <c r="E47" s="2398">
        <f>ROUND(SUM(D47:D55),4)</f>
        <v>0</v>
      </c>
      <c r="F47" s="2399" t="str">
        <f>IF(E2="商业",SUMIF(L1:L12,G2,N1:N12),"——")</f>
        <v>——</v>
      </c>
      <c r="G47" s="2378"/>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2" t="s">
        <v>1021</v>
      </c>
      <c r="B48" s="2371" t="str">
        <f>估价对象房地状况!C18</f>
        <v>估价对象周边道路状况、公共交通通达情况、停车便捷程度，综合评价交通便捷度较好</v>
      </c>
      <c r="C48" s="1049"/>
      <c r="D48" s="2380">
        <f t="shared" si="10"/>
        <v>0</v>
      </c>
      <c r="E48" s="2401"/>
      <c r="F48" s="2399"/>
      <c r="G48" s="2378"/>
      <c r="H48" s="2423" t="str">
        <f t="shared" si="11"/>
        <v>——</v>
      </c>
      <c r="I48" s="2397">
        <v>0.25</v>
      </c>
      <c r="J48" s="2400">
        <f t="shared" si="12"/>
        <v>0</v>
      </c>
      <c r="K48" s="2400">
        <f t="shared" si="13"/>
        <v>0</v>
      </c>
      <c r="L48" s="2400">
        <v>0</v>
      </c>
      <c r="M48" s="2400">
        <f t="shared" si="14"/>
        <v>0</v>
      </c>
      <c r="N48" s="2400">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2" t="s">
        <v>1022</v>
      </c>
      <c r="B49" s="2371">
        <f>估价对象房地状况!C19</f>
        <v>0</v>
      </c>
      <c r="C49" s="1049"/>
      <c r="D49" s="2380">
        <f t="shared" si="10"/>
        <v>0</v>
      </c>
      <c r="E49" s="2401"/>
      <c r="F49" s="2399"/>
      <c r="G49" s="2378"/>
      <c r="H49" s="2423" t="str">
        <f t="shared" si="11"/>
        <v>——</v>
      </c>
      <c r="I49" s="2397">
        <v>0.05</v>
      </c>
      <c r="J49" s="2400">
        <f t="shared" si="12"/>
        <v>0</v>
      </c>
      <c r="K49" s="2400">
        <f t="shared" si="13"/>
        <v>0</v>
      </c>
      <c r="L49" s="2400">
        <v>0</v>
      </c>
      <c r="M49" s="2400">
        <f t="shared" si="14"/>
        <v>0</v>
      </c>
      <c r="N49" s="2400">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2" t="s">
        <v>1023</v>
      </c>
      <c r="B50" s="3046" t="s">
        <v>2938</v>
      </c>
      <c r="C50" s="1049"/>
      <c r="D50" s="2380">
        <f t="shared" si="10"/>
        <v>0</v>
      </c>
      <c r="E50" s="2401"/>
      <c r="F50" s="2399"/>
      <c r="G50" s="2378"/>
      <c r="H50" s="2423" t="str">
        <f t="shared" si="11"/>
        <v>——</v>
      </c>
      <c r="I50" s="2397">
        <v>0.05</v>
      </c>
      <c r="J50" s="2400">
        <f t="shared" si="12"/>
        <v>0</v>
      </c>
      <c r="K50" s="2400">
        <f t="shared" si="13"/>
        <v>0</v>
      </c>
      <c r="L50" s="2400">
        <v>0</v>
      </c>
      <c r="M50" s="2400">
        <f t="shared" si="14"/>
        <v>0</v>
      </c>
      <c r="N50" s="2400">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2" t="s">
        <v>1024</v>
      </c>
      <c r="B51" s="2371">
        <f>估价对象房地状况!C24</f>
        <v>0</v>
      </c>
      <c r="C51" s="1049"/>
      <c r="D51" s="2380">
        <f t="shared" si="10"/>
        <v>0</v>
      </c>
      <c r="E51" s="2401"/>
      <c r="F51" s="2399"/>
      <c r="G51" s="2378"/>
      <c r="H51" s="2423" t="str">
        <f t="shared" si="11"/>
        <v>——</v>
      </c>
      <c r="I51" s="2397">
        <v>0.08</v>
      </c>
      <c r="J51" s="2400">
        <f t="shared" si="12"/>
        <v>0</v>
      </c>
      <c r="K51" s="2400">
        <f t="shared" si="13"/>
        <v>0</v>
      </c>
      <c r="L51" s="2400">
        <v>0</v>
      </c>
      <c r="M51" s="2400">
        <f t="shared" si="14"/>
        <v>0</v>
      </c>
      <c r="N51" s="2400">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2" t="s">
        <v>1025</v>
      </c>
      <c r="B52" s="3045" t="s">
        <v>2937</v>
      </c>
      <c r="C52" s="1049"/>
      <c r="D52" s="2380">
        <f t="shared" si="10"/>
        <v>0</v>
      </c>
      <c r="E52" s="2401"/>
      <c r="F52" s="2399"/>
      <c r="G52" s="2378"/>
      <c r="H52" s="2423" t="str">
        <f t="shared" si="11"/>
        <v>——</v>
      </c>
      <c r="I52" s="2397">
        <v>0.03</v>
      </c>
      <c r="J52" s="2400">
        <f t="shared" si="12"/>
        <v>0</v>
      </c>
      <c r="K52" s="2400">
        <f t="shared" si="13"/>
        <v>0</v>
      </c>
      <c r="L52" s="2400">
        <v>0</v>
      </c>
      <c r="M52" s="2400">
        <f t="shared" si="14"/>
        <v>0</v>
      </c>
      <c r="N52" s="2400">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2" t="s">
        <v>1026</v>
      </c>
      <c r="B53" s="2372" t="str">
        <f>估价对象房地状况!C21</f>
        <v>估价对象所在区域公共配套设施齐备情况</v>
      </c>
      <c r="C53" s="1049"/>
      <c r="D53" s="2380">
        <f t="shared" si="10"/>
        <v>0</v>
      </c>
      <c r="E53" s="2401"/>
      <c r="F53" s="2399"/>
      <c r="G53" s="2378"/>
      <c r="H53" s="2423" t="str">
        <f t="shared" si="11"/>
        <v>——</v>
      </c>
      <c r="I53" s="2397">
        <v>0.05</v>
      </c>
      <c r="J53" s="2400">
        <f t="shared" si="12"/>
        <v>0</v>
      </c>
      <c r="K53" s="2400">
        <f t="shared" si="13"/>
        <v>0</v>
      </c>
      <c r="L53" s="2400">
        <v>0</v>
      </c>
      <c r="M53" s="2400">
        <f t="shared" si="14"/>
        <v>0</v>
      </c>
      <c r="N53" s="2400">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2" t="s">
        <v>1027</v>
      </c>
      <c r="B54" s="2371" t="str">
        <f>估价对象房地状况!C22</f>
        <v>估价对象所在区域基础设施水平</v>
      </c>
      <c r="C54" s="1049"/>
      <c r="D54" s="2380">
        <f t="shared" si="10"/>
        <v>0</v>
      </c>
      <c r="E54" s="2401"/>
      <c r="F54" s="2399"/>
      <c r="G54" s="2378"/>
      <c r="H54" s="2423" t="str">
        <f t="shared" si="11"/>
        <v>——</v>
      </c>
      <c r="I54" s="2397">
        <v>0.1</v>
      </c>
      <c r="J54" s="2400">
        <f t="shared" si="12"/>
        <v>0</v>
      </c>
      <c r="K54" s="2400">
        <f t="shared" si="13"/>
        <v>0</v>
      </c>
      <c r="L54" s="2400">
        <v>0</v>
      </c>
      <c r="M54" s="2400">
        <f t="shared" si="14"/>
        <v>0</v>
      </c>
      <c r="N54" s="2400">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hidden="1" thickBot="1">
      <c r="A55" s="2403" t="s">
        <v>1028</v>
      </c>
      <c r="B55" s="2375" t="str">
        <f>估价对象房地状况!C20</f>
        <v>区域自然环境：；人文环境；综合评价环境状况一般</v>
      </c>
      <c r="C55" s="1049"/>
      <c r="D55" s="2380">
        <f t="shared" si="10"/>
        <v>0</v>
      </c>
      <c r="E55" s="2405"/>
      <c r="F55" s="2399"/>
      <c r="G55" s="2378"/>
      <c r="H55" s="2423" t="str">
        <f t="shared" si="11"/>
        <v>——</v>
      </c>
      <c r="I55" s="2404">
        <v>0.06</v>
      </c>
      <c r="J55" s="2400">
        <f t="shared" si="12"/>
        <v>0</v>
      </c>
      <c r="K55" s="2400">
        <f t="shared" si="13"/>
        <v>0</v>
      </c>
      <c r="L55" s="2400">
        <v>0</v>
      </c>
      <c r="M55" s="2400">
        <f t="shared" si="14"/>
        <v>0</v>
      </c>
      <c r="N55" s="2400">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6" t="s">
        <v>1029</v>
      </c>
      <c r="B56" s="2387">
        <f>1+E58</f>
        <v>1</v>
      </c>
      <c r="C56" s="2406"/>
      <c r="D56" s="2389"/>
      <c r="E56" s="2390"/>
      <c r="F56" s="2391"/>
      <c r="G56" s="2385"/>
      <c r="H56" s="2385"/>
      <c r="I56" s="2385"/>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2" t="s">
        <v>1008</v>
      </c>
      <c r="B57" s="2371"/>
      <c r="C57" s="2392" t="s">
        <v>1010</v>
      </c>
      <c r="D57" s="2393" t="s">
        <v>1011</v>
      </c>
      <c r="E57" s="2394" t="s">
        <v>1013</v>
      </c>
      <c r="F57" s="2395" t="s">
        <v>2251</v>
      </c>
      <c r="G57" s="2393" t="s">
        <v>1014</v>
      </c>
      <c r="H57" s="2377" t="s">
        <v>2418</v>
      </c>
      <c r="I57" s="2393" t="s">
        <v>1012</v>
      </c>
      <c r="J57" s="2396" t="s">
        <v>1015</v>
      </c>
      <c r="K57" s="2396" t="s">
        <v>1016</v>
      </c>
      <c r="L57" s="2396" t="s">
        <v>1017</v>
      </c>
      <c r="M57" s="2396" t="s">
        <v>1018</v>
      </c>
      <c r="N57" s="2396"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2" t="s">
        <v>1030</v>
      </c>
      <c r="B58" s="2374" t="str">
        <f>估价对象房地状况!C17</f>
        <v>估价对象位于XX商圈，周边办公楼项目较多，入驻率高，办公集聚程度较好</v>
      </c>
      <c r="C58" s="1049"/>
      <c r="D58" s="2380">
        <f t="shared" ref="D58:D66" si="15">SUMIF($J$57:$N$57,C58,J58:N58)</f>
        <v>0</v>
      </c>
      <c r="E58" s="2398">
        <f>ROUND(SUM(D58:D66),4)</f>
        <v>0</v>
      </c>
      <c r="F58" s="2399" t="str">
        <f>IF(E2="办公",SUMIF(L1:L12,G2,N1:N12),"——")</f>
        <v>——</v>
      </c>
      <c r="G58" s="2378"/>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2" t="s">
        <v>1021</v>
      </c>
      <c r="B59" s="2371" t="str">
        <f>估价对象房地状况!C18</f>
        <v>估价对象周边道路状况、公共交通通达情况、停车便捷程度，综合评价交通便捷度较好</v>
      </c>
      <c r="C59" s="1049"/>
      <c r="D59" s="2380">
        <f t="shared" si="15"/>
        <v>0</v>
      </c>
      <c r="E59" s="2401"/>
      <c r="F59" s="2399"/>
      <c r="G59" s="2378"/>
      <c r="H59" s="2379" t="str">
        <f t="shared" ref="H59:H66" si="19">IFERROR($F$58*I59/2,"——")</f>
        <v>——</v>
      </c>
      <c r="I59" s="2397">
        <v>0.3</v>
      </c>
      <c r="J59" s="2400">
        <f t="shared" si="16"/>
        <v>0</v>
      </c>
      <c r="K59" s="2400">
        <f t="shared" si="17"/>
        <v>0</v>
      </c>
      <c r="L59" s="2400">
        <v>0</v>
      </c>
      <c r="M59" s="2400">
        <f t="shared" si="18"/>
        <v>0</v>
      </c>
      <c r="N59" s="2400">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2" t="s">
        <v>1022</v>
      </c>
      <c r="B60" s="2371">
        <f>估价对象房地状况!C19</f>
        <v>0</v>
      </c>
      <c r="C60" s="1049"/>
      <c r="D60" s="2380">
        <f t="shared" si="15"/>
        <v>0</v>
      </c>
      <c r="E60" s="2401"/>
      <c r="F60" s="2399"/>
      <c r="G60" s="2378"/>
      <c r="H60" s="2379" t="str">
        <f t="shared" si="19"/>
        <v>——</v>
      </c>
      <c r="I60" s="2397">
        <v>0.08</v>
      </c>
      <c r="J60" s="2400">
        <f t="shared" si="16"/>
        <v>0</v>
      </c>
      <c r="K60" s="2400">
        <f t="shared" si="17"/>
        <v>0</v>
      </c>
      <c r="L60" s="2400">
        <v>0</v>
      </c>
      <c r="M60" s="2400">
        <f t="shared" si="18"/>
        <v>0</v>
      </c>
      <c r="N60" s="2400">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2" t="s">
        <v>1023</v>
      </c>
      <c r="B61" s="3046" t="s">
        <v>2939</v>
      </c>
      <c r="C61" s="1049"/>
      <c r="D61" s="2380">
        <f t="shared" si="15"/>
        <v>0</v>
      </c>
      <c r="E61" s="2401"/>
      <c r="F61" s="2399"/>
      <c r="G61" s="2378"/>
      <c r="H61" s="2379" t="str">
        <f t="shared" si="19"/>
        <v>——</v>
      </c>
      <c r="I61" s="2397">
        <v>0.04</v>
      </c>
      <c r="J61" s="2400">
        <f t="shared" si="16"/>
        <v>0</v>
      </c>
      <c r="K61" s="2400">
        <f t="shared" si="17"/>
        <v>0</v>
      </c>
      <c r="L61" s="2400">
        <v>0</v>
      </c>
      <c r="M61" s="2400">
        <f t="shared" si="18"/>
        <v>0</v>
      </c>
      <c r="N61" s="2400">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2" t="s">
        <v>1024</v>
      </c>
      <c r="B62" s="2371">
        <f>估价对象房地状况!C24</f>
        <v>0</v>
      </c>
      <c r="C62" s="1049"/>
      <c r="D62" s="2380">
        <f t="shared" si="15"/>
        <v>0</v>
      </c>
      <c r="E62" s="2401"/>
      <c r="F62" s="2399"/>
      <c r="G62" s="2378"/>
      <c r="H62" s="2379" t="str">
        <f t="shared" si="19"/>
        <v>——</v>
      </c>
      <c r="I62" s="2397">
        <v>0.05</v>
      </c>
      <c r="J62" s="2400">
        <f t="shared" si="16"/>
        <v>0</v>
      </c>
      <c r="K62" s="2400">
        <f t="shared" si="17"/>
        <v>0</v>
      </c>
      <c r="L62" s="2400">
        <v>0</v>
      </c>
      <c r="M62" s="2400">
        <f t="shared" si="18"/>
        <v>0</v>
      </c>
      <c r="N62" s="2400">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2" t="s">
        <v>1025</v>
      </c>
      <c r="B63" s="3045" t="s">
        <v>2937</v>
      </c>
      <c r="C63" s="1049"/>
      <c r="D63" s="2380">
        <f t="shared" si="15"/>
        <v>0</v>
      </c>
      <c r="E63" s="2401"/>
      <c r="F63" s="2399"/>
      <c r="G63" s="2378"/>
      <c r="H63" s="2379" t="str">
        <f t="shared" si="19"/>
        <v>——</v>
      </c>
      <c r="I63" s="2397">
        <v>0.05</v>
      </c>
      <c r="J63" s="2400">
        <f t="shared" si="16"/>
        <v>0</v>
      </c>
      <c r="K63" s="2400">
        <f t="shared" si="17"/>
        <v>0</v>
      </c>
      <c r="L63" s="2400">
        <v>0</v>
      </c>
      <c r="M63" s="2400">
        <f t="shared" si="18"/>
        <v>0</v>
      </c>
      <c r="N63" s="2400">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2" t="s">
        <v>1026</v>
      </c>
      <c r="B64" s="2372" t="str">
        <f>估价对象房地状况!C21</f>
        <v>估价对象所在区域公共配套设施齐备情况</v>
      </c>
      <c r="C64" s="1049"/>
      <c r="D64" s="2380">
        <f t="shared" si="15"/>
        <v>0</v>
      </c>
      <c r="E64" s="2401"/>
      <c r="F64" s="2399"/>
      <c r="G64" s="2378"/>
      <c r="H64" s="2379" t="str">
        <f t="shared" si="19"/>
        <v>——</v>
      </c>
      <c r="I64" s="2397">
        <v>0.06</v>
      </c>
      <c r="J64" s="2400">
        <f t="shared" si="16"/>
        <v>0</v>
      </c>
      <c r="K64" s="2400">
        <f t="shared" si="17"/>
        <v>0</v>
      </c>
      <c r="L64" s="2400">
        <v>0</v>
      </c>
      <c r="M64" s="2400">
        <f t="shared" si="18"/>
        <v>0</v>
      </c>
      <c r="N64" s="2400">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2" t="s">
        <v>1027</v>
      </c>
      <c r="B65" s="2372" t="str">
        <f>估价对象房地状况!C22</f>
        <v>估价对象所在区域基础设施水平</v>
      </c>
      <c r="C65" s="1049"/>
      <c r="D65" s="2380">
        <f t="shared" si="15"/>
        <v>0</v>
      </c>
      <c r="E65" s="2401"/>
      <c r="F65" s="2399"/>
      <c r="G65" s="2378"/>
      <c r="H65" s="2379" t="str">
        <f t="shared" si="19"/>
        <v>——</v>
      </c>
      <c r="I65" s="2397">
        <v>0.12</v>
      </c>
      <c r="J65" s="2400">
        <f t="shared" si="16"/>
        <v>0</v>
      </c>
      <c r="K65" s="2400">
        <f t="shared" si="17"/>
        <v>0</v>
      </c>
      <c r="L65" s="2400">
        <v>0</v>
      </c>
      <c r="M65" s="2400">
        <f t="shared" si="18"/>
        <v>0</v>
      </c>
      <c r="N65" s="2400">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hidden="1" thickBot="1">
      <c r="A66" s="2403" t="s">
        <v>1028</v>
      </c>
      <c r="B66" s="2376" t="str">
        <f>估价对象房地状况!C20</f>
        <v>区域自然环境：；人文环境；综合评价环境状况一般</v>
      </c>
      <c r="C66" s="1049"/>
      <c r="D66" s="2380">
        <f t="shared" si="15"/>
        <v>0</v>
      </c>
      <c r="E66" s="2405"/>
      <c r="F66" s="2399"/>
      <c r="G66" s="2378"/>
      <c r="H66" s="2379" t="str">
        <f t="shared" si="19"/>
        <v>——</v>
      </c>
      <c r="I66" s="2404">
        <v>0.06</v>
      </c>
      <c r="J66" s="2400">
        <f t="shared" si="16"/>
        <v>0</v>
      </c>
      <c r="K66" s="2400">
        <f t="shared" si="17"/>
        <v>0</v>
      </c>
      <c r="L66" s="2400">
        <v>0</v>
      </c>
      <c r="M66" s="2400">
        <f t="shared" si="18"/>
        <v>0</v>
      </c>
      <c r="N66" s="2400">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hidden="1">
      <c r="A67" s="2386" t="s">
        <v>1031</v>
      </c>
      <c r="B67" s="2387" t="e">
        <f>1+E69</f>
        <v>#VALUE!</v>
      </c>
      <c r="C67" s="2406"/>
      <c r="D67" s="2389"/>
      <c r="E67" s="2390"/>
      <c r="F67" s="2391"/>
      <c r="G67" s="2385"/>
      <c r="H67" s="2385"/>
      <c r="I67" s="2385"/>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hidden="1">
      <c r="A68" s="1062" t="s">
        <v>1008</v>
      </c>
      <c r="B68" s="2371"/>
      <c r="C68" s="2392" t="s">
        <v>1010</v>
      </c>
      <c r="D68" s="2393" t="s">
        <v>1011</v>
      </c>
      <c r="E68" s="2394" t="s">
        <v>1013</v>
      </c>
      <c r="F68" s="2395" t="s">
        <v>2252</v>
      </c>
      <c r="G68" s="2393" t="s">
        <v>1014</v>
      </c>
      <c r="H68" s="2377" t="s">
        <v>2418</v>
      </c>
      <c r="I68" s="2393" t="s">
        <v>1012</v>
      </c>
      <c r="J68" s="2396" t="s">
        <v>1015</v>
      </c>
      <c r="K68" s="2396" t="s">
        <v>1016</v>
      </c>
      <c r="L68" s="2396" t="s">
        <v>1017</v>
      </c>
      <c r="M68" s="2396" t="s">
        <v>1018</v>
      </c>
      <c r="N68" s="2396"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hidden="1">
      <c r="A69" s="1062" t="s">
        <v>1032</v>
      </c>
      <c r="B69" s="2374" t="str">
        <f>估价对象房地状况!C15</f>
        <v>估价对象周边居住用地比例、居住小区规模和社区发展完善程度，综合评价居住社区成熟度一般</v>
      </c>
      <c r="C69" s="1154" t="s">
        <v>3003</v>
      </c>
      <c r="D69" s="2380" t="e">
        <f t="shared" ref="D69:D77" si="20">SUMIF($J$68:$N$68,C69,J69:N69)</f>
        <v>#VALUE!</v>
      </c>
      <c r="E69" s="2398" t="e">
        <f>ROUND(SUM(D69:D77),4)</f>
        <v>#VALUE!</v>
      </c>
      <c r="F69" s="2399" t="str">
        <f>IF(E2="住宅",SUMIF(L1:L12,G2,N1:N12),"——")</f>
        <v>——</v>
      </c>
      <c r="G69" s="3180" t="str">
        <f t="shared" ref="G69:G77" si="21">H69</f>
        <v>——</v>
      </c>
      <c r="H69" s="2424" t="str">
        <f t="shared" ref="H69:H77" si="22">IFERROR(ROUNDDOWN($F$69*I69/2,4),"——")</f>
        <v>——</v>
      </c>
      <c r="I69" s="2397">
        <v>0.14000000000000001</v>
      </c>
      <c r="J69" s="2400" t="e">
        <f t="shared" ref="J69:J77" si="23">K69+$G69</f>
        <v>#VALUE!</v>
      </c>
      <c r="K69" s="2400" t="e">
        <f t="shared" ref="K69:K77" si="24">$L69+$G69</f>
        <v>#VALUE!</v>
      </c>
      <c r="L69" s="2400">
        <v>0</v>
      </c>
      <c r="M69" s="2400" t="e">
        <f t="shared" ref="M69:N77" si="25">L69-$G69</f>
        <v>#VALUE!</v>
      </c>
      <c r="N69" s="2400" t="e">
        <f t="shared" si="25"/>
        <v>#VALUE!</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hidden="1">
      <c r="A70" s="1062" t="s">
        <v>1033</v>
      </c>
      <c r="B70" s="2371" t="str">
        <f>估价对象房地状况!C18</f>
        <v>估价对象周边道路状况、公共交通通达情况、停车便捷程度，综合评价交通便捷度较好</v>
      </c>
      <c r="C70" s="1154" t="s">
        <v>3004</v>
      </c>
      <c r="D70" s="2380">
        <f t="shared" si="20"/>
        <v>0</v>
      </c>
      <c r="E70" s="2407"/>
      <c r="F70" s="2408"/>
      <c r="G70" s="3180" t="str">
        <f t="shared" si="21"/>
        <v>——</v>
      </c>
      <c r="H70" s="2424" t="str">
        <f t="shared" si="22"/>
        <v>——</v>
      </c>
      <c r="I70" s="2397">
        <v>0.3</v>
      </c>
      <c r="J70" s="2400" t="e">
        <f t="shared" si="23"/>
        <v>#VALUE!</v>
      </c>
      <c r="K70" s="2400" t="e">
        <f t="shared" si="24"/>
        <v>#VALUE!</v>
      </c>
      <c r="L70" s="2400">
        <v>0</v>
      </c>
      <c r="M70" s="2400" t="e">
        <f t="shared" si="25"/>
        <v>#VALUE!</v>
      </c>
      <c r="N70" s="2400" t="e">
        <f t="shared" si="25"/>
        <v>#VALUE!</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hidden="1">
      <c r="A71" s="1062" t="s">
        <v>1022</v>
      </c>
      <c r="B71" s="2371">
        <f>估价对象房地状况!C19</f>
        <v>0</v>
      </c>
      <c r="C71" s="1154" t="s">
        <v>3003</v>
      </c>
      <c r="D71" s="2380" t="e">
        <f t="shared" si="20"/>
        <v>#VALUE!</v>
      </c>
      <c r="E71" s="2407"/>
      <c r="F71" s="2408"/>
      <c r="G71" s="3180" t="str">
        <f t="shared" si="21"/>
        <v>——</v>
      </c>
      <c r="H71" s="2424" t="str">
        <f t="shared" si="22"/>
        <v>——</v>
      </c>
      <c r="I71" s="2397">
        <v>0.08</v>
      </c>
      <c r="J71" s="2400" t="e">
        <f t="shared" si="23"/>
        <v>#VALUE!</v>
      </c>
      <c r="K71" s="2400" t="e">
        <f t="shared" si="24"/>
        <v>#VALUE!</v>
      </c>
      <c r="L71" s="2400">
        <v>0</v>
      </c>
      <c r="M71" s="2400" t="e">
        <f t="shared" si="25"/>
        <v>#VALUE!</v>
      </c>
      <c r="N71" s="2400" t="e">
        <f t="shared" si="25"/>
        <v>#VALUE!</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hidden="1">
      <c r="A72" s="1062" t="s">
        <v>1034</v>
      </c>
      <c r="B72" s="2371">
        <f>估价对象房地状况!C24</f>
        <v>0</v>
      </c>
      <c r="C72" s="1154" t="s">
        <v>3004</v>
      </c>
      <c r="D72" s="2380">
        <f t="shared" si="20"/>
        <v>0</v>
      </c>
      <c r="E72" s="2407"/>
      <c r="F72" s="2408"/>
      <c r="G72" s="3180" t="str">
        <f t="shared" si="21"/>
        <v>——</v>
      </c>
      <c r="H72" s="2424" t="str">
        <f t="shared" si="22"/>
        <v>——</v>
      </c>
      <c r="I72" s="2397">
        <v>0.04</v>
      </c>
      <c r="J72" s="2400" t="e">
        <f t="shared" si="23"/>
        <v>#VALUE!</v>
      </c>
      <c r="K72" s="2400" t="e">
        <f t="shared" si="24"/>
        <v>#VALUE!</v>
      </c>
      <c r="L72" s="2400">
        <v>0</v>
      </c>
      <c r="M72" s="2400" t="e">
        <f t="shared" si="25"/>
        <v>#VALUE!</v>
      </c>
      <c r="N72" s="2400" t="e">
        <f t="shared" si="25"/>
        <v>#VALUE!</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hidden="1">
      <c r="A73" s="1062" t="s">
        <v>1026</v>
      </c>
      <c r="B73" s="2372" t="str">
        <f>估价对象房地状况!C21</f>
        <v>估价对象所在区域公共配套设施齐备情况</v>
      </c>
      <c r="C73" s="1154" t="s">
        <v>3004</v>
      </c>
      <c r="D73" s="2380">
        <f t="shared" si="20"/>
        <v>0</v>
      </c>
      <c r="E73" s="2407"/>
      <c r="F73" s="2408"/>
      <c r="G73" s="3180" t="str">
        <f t="shared" si="21"/>
        <v>——</v>
      </c>
      <c r="H73" s="2424" t="str">
        <f t="shared" si="22"/>
        <v>——</v>
      </c>
      <c r="I73" s="2397">
        <v>0.08</v>
      </c>
      <c r="J73" s="2400" t="e">
        <f t="shared" si="23"/>
        <v>#VALUE!</v>
      </c>
      <c r="K73" s="2400" t="e">
        <f t="shared" si="24"/>
        <v>#VALUE!</v>
      </c>
      <c r="L73" s="2400">
        <v>0</v>
      </c>
      <c r="M73" s="2400" t="e">
        <f t="shared" si="25"/>
        <v>#VALUE!</v>
      </c>
      <c r="N73" s="2400" t="e">
        <f t="shared" si="25"/>
        <v>#VALUE!</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hidden="1">
      <c r="A74" s="1062" t="s">
        <v>1027</v>
      </c>
      <c r="B74" s="2372" t="str">
        <f>估价对象房地状况!C22</f>
        <v>估价对象所在区域基础设施水平</v>
      </c>
      <c r="C74" s="1154" t="s">
        <v>3004</v>
      </c>
      <c r="D74" s="2380">
        <f t="shared" si="20"/>
        <v>0</v>
      </c>
      <c r="E74" s="2407"/>
      <c r="F74" s="2408"/>
      <c r="G74" s="3180" t="str">
        <f t="shared" si="21"/>
        <v>——</v>
      </c>
      <c r="H74" s="2424" t="str">
        <f t="shared" si="22"/>
        <v>——</v>
      </c>
      <c r="I74" s="2397">
        <v>0.12</v>
      </c>
      <c r="J74" s="2400" t="e">
        <f t="shared" si="23"/>
        <v>#VALUE!</v>
      </c>
      <c r="K74" s="2400" t="e">
        <f t="shared" si="24"/>
        <v>#VALUE!</v>
      </c>
      <c r="L74" s="2400">
        <v>0</v>
      </c>
      <c r="M74" s="2400" t="e">
        <f t="shared" si="25"/>
        <v>#VALUE!</v>
      </c>
      <c r="N74" s="2400" t="e">
        <f t="shared" si="25"/>
        <v>#VALUE!</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hidden="1">
      <c r="A75" s="1062" t="s">
        <v>1025</v>
      </c>
      <c r="B75" s="3045" t="s">
        <v>2937</v>
      </c>
      <c r="C75" s="1154" t="s">
        <v>3003</v>
      </c>
      <c r="D75" s="2380" t="e">
        <f t="shared" si="20"/>
        <v>#VALUE!</v>
      </c>
      <c r="E75" s="2407"/>
      <c r="F75" s="2408"/>
      <c r="G75" s="3180" t="str">
        <f t="shared" si="21"/>
        <v>——</v>
      </c>
      <c r="H75" s="2424" t="str">
        <f t="shared" si="22"/>
        <v>——</v>
      </c>
      <c r="I75" s="2397">
        <v>0.05</v>
      </c>
      <c r="J75" s="2400" t="e">
        <f t="shared" si="23"/>
        <v>#VALUE!</v>
      </c>
      <c r="K75" s="2400" t="e">
        <f t="shared" si="24"/>
        <v>#VALUE!</v>
      </c>
      <c r="L75" s="2400">
        <v>0</v>
      </c>
      <c r="M75" s="2400" t="e">
        <f t="shared" si="25"/>
        <v>#VALUE!</v>
      </c>
      <c r="N75" s="2400" t="e">
        <f t="shared" si="25"/>
        <v>#VALUE!</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hidden="1">
      <c r="A76" s="1062" t="s">
        <v>1028</v>
      </c>
      <c r="B76" s="2374" t="str">
        <f>估价对象房地状况!C20</f>
        <v>区域自然环境：；人文环境；综合评价环境状况一般</v>
      </c>
      <c r="C76" s="1154" t="s">
        <v>3004</v>
      </c>
      <c r="D76" s="2380">
        <f t="shared" si="20"/>
        <v>0</v>
      </c>
      <c r="E76" s="2407"/>
      <c r="F76" s="2408"/>
      <c r="G76" s="3180" t="str">
        <f t="shared" si="21"/>
        <v>——</v>
      </c>
      <c r="H76" s="2424" t="str">
        <f t="shared" si="22"/>
        <v>——</v>
      </c>
      <c r="I76" s="2397">
        <v>0.15</v>
      </c>
      <c r="J76" s="2400" t="e">
        <f t="shared" si="23"/>
        <v>#VALUE!</v>
      </c>
      <c r="K76" s="2400" t="e">
        <f t="shared" si="24"/>
        <v>#VALUE!</v>
      </c>
      <c r="L76" s="2400">
        <v>0</v>
      </c>
      <c r="M76" s="2400" t="e">
        <f t="shared" si="25"/>
        <v>#VALUE!</v>
      </c>
      <c r="N76" s="2400" t="e">
        <f t="shared" si="25"/>
        <v>#VALUE!</v>
      </c>
      <c r="P76" s="2183"/>
      <c r="Q76" s="2183"/>
      <c r="R76" s="2184"/>
      <c r="S76" s="2184"/>
      <c r="T76" s="2184"/>
      <c r="U76" s="2184"/>
      <c r="V76" s="2184"/>
      <c r="W76" s="2183"/>
      <c r="X76" s="2183"/>
      <c r="Y76" s="2183"/>
      <c r="Z76" s="2183"/>
      <c r="AA76" s="2183"/>
      <c r="AB76" s="2183"/>
      <c r="AC76" s="2183"/>
      <c r="AD76" s="2184"/>
      <c r="AJ76" s="1398"/>
      <c r="AN76" s="1399"/>
    </row>
    <row r="77" spans="1:40" ht="24.75" hidden="1" thickBot="1">
      <c r="A77" s="2403" t="s">
        <v>1035</v>
      </c>
      <c r="B77" s="1834"/>
      <c r="C77" s="1154" t="s">
        <v>3004</v>
      </c>
      <c r="D77" s="2380">
        <f t="shared" si="20"/>
        <v>0</v>
      </c>
      <c r="E77" s="2409"/>
      <c r="F77" s="2408"/>
      <c r="G77" s="3180" t="str">
        <f t="shared" si="21"/>
        <v>——</v>
      </c>
      <c r="H77" s="2424" t="str">
        <f t="shared" si="22"/>
        <v>——</v>
      </c>
      <c r="I77" s="2404">
        <v>0.04</v>
      </c>
      <c r="J77" s="2400" t="e">
        <f t="shared" si="23"/>
        <v>#VALUE!</v>
      </c>
      <c r="K77" s="2400" t="e">
        <f t="shared" si="24"/>
        <v>#VALUE!</v>
      </c>
      <c r="L77" s="2400">
        <v>0</v>
      </c>
      <c r="M77" s="2400" t="e">
        <f t="shared" si="25"/>
        <v>#VALUE!</v>
      </c>
      <c r="N77" s="2400" t="e">
        <f t="shared" si="25"/>
        <v>#VALUE!</v>
      </c>
      <c r="AC77" s="1400"/>
      <c r="AD77" s="1399"/>
      <c r="AJ77" s="1398"/>
      <c r="AN77" s="1399"/>
    </row>
    <row r="78" spans="1:40" ht="15">
      <c r="A78" s="2386" t="s">
        <v>1036</v>
      </c>
      <c r="B78" s="2387">
        <f>1+E80</f>
        <v>1.0247999999999999</v>
      </c>
      <c r="C78" s="2406"/>
      <c r="D78" s="2389"/>
      <c r="E78" s="2390"/>
      <c r="F78" s="2391"/>
      <c r="G78" s="2385"/>
      <c r="H78" s="2385"/>
      <c r="I78" s="2385"/>
      <c r="J78" s="1061"/>
      <c r="K78" s="1061"/>
      <c r="L78" s="1061"/>
      <c r="M78" s="1061"/>
      <c r="N78" s="1061"/>
      <c r="AC78" s="1400"/>
      <c r="AD78" s="1399"/>
      <c r="AJ78" s="1398"/>
      <c r="AN78" s="1399"/>
    </row>
    <row r="79" spans="1:40" ht="24">
      <c r="A79" s="1062" t="s">
        <v>1008</v>
      </c>
      <c r="B79" s="2371"/>
      <c r="C79" s="2392" t="s">
        <v>1010</v>
      </c>
      <c r="D79" s="2393" t="s">
        <v>1011</v>
      </c>
      <c r="E79" s="2394" t="s">
        <v>1013</v>
      </c>
      <c r="F79" s="2395" t="s">
        <v>2253</v>
      </c>
      <c r="G79" s="2393" t="s">
        <v>1014</v>
      </c>
      <c r="H79" s="2377" t="s">
        <v>2418</v>
      </c>
      <c r="I79" s="2393" t="s">
        <v>1012</v>
      </c>
      <c r="J79" s="2396" t="s">
        <v>1015</v>
      </c>
      <c r="K79" s="2396" t="s">
        <v>1016</v>
      </c>
      <c r="L79" s="2396" t="s">
        <v>1017</v>
      </c>
      <c r="M79" s="2396" t="s">
        <v>1018</v>
      </c>
      <c r="N79" s="2396" t="s">
        <v>1019</v>
      </c>
      <c r="AC79" s="1400"/>
      <c r="AD79" s="1399"/>
      <c r="AJ79" s="1398"/>
      <c r="AN79" s="1399"/>
    </row>
    <row r="80" spans="1:40" ht="36">
      <c r="A80" s="1062" t="s">
        <v>1037</v>
      </c>
      <c r="B80" s="2371" t="str">
        <f>估价对象房地状况!G15</f>
        <v>估价对象位于XX开发区，园区建设成熟度XX，产业集聚程度XX</v>
      </c>
      <c r="C80" s="1049" t="s">
        <v>3003</v>
      </c>
      <c r="D80" s="2380">
        <f t="shared" ref="D80:D87" si="26">SUMIF($J$79:$N$79,C80,J80:N80)</f>
        <v>1.8499999999999999E-2</v>
      </c>
      <c r="E80" s="2398">
        <f>ROUND(SUM(D80:D87),4)</f>
        <v>2.4799999999999999E-2</v>
      </c>
      <c r="F80" s="2399">
        <f>IF(E2="工业",SUMIF(L1:L12,G2,N1:N12),"——")</f>
        <v>0.14299999999999999</v>
      </c>
      <c r="G80" s="2378">
        <f>H80</f>
        <v>1.8499999999999999E-2</v>
      </c>
      <c r="H80" s="2423">
        <f t="shared" ref="H80:H87" si="27">IFERROR(ROUNDDOWN($F$80*I80/2,4),"——")</f>
        <v>1.8499999999999999E-2</v>
      </c>
      <c r="I80" s="2397">
        <v>0.26</v>
      </c>
      <c r="J80" s="2400">
        <f t="shared" ref="J80:J87" si="28">K80+$G80</f>
        <v>3.6999999999999998E-2</v>
      </c>
      <c r="K80" s="2400">
        <f t="shared" ref="K80:K87" si="29">$L80+$G80</f>
        <v>1.8499999999999999E-2</v>
      </c>
      <c r="L80" s="2400">
        <v>0</v>
      </c>
      <c r="M80" s="2400">
        <f t="shared" ref="M80:N87" si="30">L80-$G80</f>
        <v>-1.8499999999999999E-2</v>
      </c>
      <c r="N80" s="2400">
        <f t="shared" si="30"/>
        <v>-3.6999999999999998E-2</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t="s">
        <v>3004</v>
      </c>
      <c r="D81" s="2380">
        <f t="shared" si="26"/>
        <v>0</v>
      </c>
      <c r="E81" s="2407"/>
      <c r="F81" s="2408"/>
      <c r="G81" s="2378">
        <f t="shared" ref="G81:G87" si="31">H81</f>
        <v>2.35E-2</v>
      </c>
      <c r="H81" s="2423">
        <f t="shared" si="27"/>
        <v>2.35E-2</v>
      </c>
      <c r="I81" s="2397">
        <v>0.33</v>
      </c>
      <c r="J81" s="2400">
        <f t="shared" si="28"/>
        <v>4.7E-2</v>
      </c>
      <c r="K81" s="2400">
        <f t="shared" si="29"/>
        <v>2.35E-2</v>
      </c>
      <c r="L81" s="2400">
        <v>0</v>
      </c>
      <c r="M81" s="2400">
        <f t="shared" si="30"/>
        <v>-2.35E-2</v>
      </c>
      <c r="N81" s="2400">
        <f t="shared" si="30"/>
        <v>-4.7E-2</v>
      </c>
      <c r="AC81" s="1400"/>
      <c r="AD81" s="1399"/>
      <c r="AJ81" s="1398"/>
      <c r="AN81" s="1399"/>
    </row>
    <row r="82" spans="1:40" ht="24">
      <c r="A82" s="1062" t="s">
        <v>1022</v>
      </c>
      <c r="B82" s="2371">
        <f>估价对象房地状况!G17</f>
        <v>0</v>
      </c>
      <c r="C82" s="1049" t="s">
        <v>3003</v>
      </c>
      <c r="D82" s="2380">
        <f t="shared" si="26"/>
        <v>3.5000000000000001E-3</v>
      </c>
      <c r="E82" s="2407"/>
      <c r="F82" s="2408"/>
      <c r="G82" s="2378">
        <f t="shared" si="31"/>
        <v>3.5000000000000001E-3</v>
      </c>
      <c r="H82" s="2423">
        <f t="shared" si="27"/>
        <v>3.5000000000000001E-3</v>
      </c>
      <c r="I82" s="2397">
        <v>0.05</v>
      </c>
      <c r="J82" s="2400">
        <f t="shared" si="28"/>
        <v>7.0000000000000001E-3</v>
      </c>
      <c r="K82" s="2400">
        <f t="shared" si="29"/>
        <v>3.5000000000000001E-3</v>
      </c>
      <c r="L82" s="2400">
        <v>0</v>
      </c>
      <c r="M82" s="2400">
        <f t="shared" si="30"/>
        <v>-3.5000000000000001E-3</v>
      </c>
      <c r="N82" s="2400">
        <f t="shared" si="30"/>
        <v>-7.0000000000000001E-3</v>
      </c>
      <c r="AC82" s="1400"/>
      <c r="AD82" s="1399"/>
      <c r="AJ82" s="1398"/>
      <c r="AN82" s="1399"/>
    </row>
    <row r="83" spans="1:40" ht="14.25">
      <c r="A83" s="1062" t="s">
        <v>1034</v>
      </c>
      <c r="B83" s="2371">
        <f>估价对象房地状况!G22</f>
        <v>0</v>
      </c>
      <c r="C83" s="1049" t="s">
        <v>3003</v>
      </c>
      <c r="D83" s="2380">
        <f t="shared" si="26"/>
        <v>2.8E-3</v>
      </c>
      <c r="E83" s="2407"/>
      <c r="F83" s="2408"/>
      <c r="G83" s="2378">
        <f t="shared" si="31"/>
        <v>2.8E-3</v>
      </c>
      <c r="H83" s="2423">
        <f t="shared" si="27"/>
        <v>2.8E-3</v>
      </c>
      <c r="I83" s="2397">
        <v>0.04</v>
      </c>
      <c r="J83" s="2400">
        <f t="shared" si="28"/>
        <v>5.5999999999999999E-3</v>
      </c>
      <c r="K83" s="2400">
        <f t="shared" si="29"/>
        <v>2.8E-3</v>
      </c>
      <c r="L83" s="2400">
        <v>0</v>
      </c>
      <c r="M83" s="2400">
        <f t="shared" si="30"/>
        <v>-2.8E-3</v>
      </c>
      <c r="N83" s="2400">
        <f t="shared" si="30"/>
        <v>-5.5999999999999999E-3</v>
      </c>
      <c r="AC83" s="1400"/>
      <c r="AD83" s="1399"/>
      <c r="AJ83" s="1398"/>
      <c r="AN83" s="1399"/>
    </row>
    <row r="84" spans="1:40" ht="24">
      <c r="A84" s="1062" t="s">
        <v>1026</v>
      </c>
      <c r="B84" s="2372" t="str">
        <f>估价对象房地状况!G19</f>
        <v>估价对象所在区域公共配套设施齐备情况</v>
      </c>
      <c r="C84" s="1049" t="s">
        <v>3004</v>
      </c>
      <c r="D84" s="2380">
        <f t="shared" si="26"/>
        <v>0</v>
      </c>
      <c r="E84" s="2407"/>
      <c r="F84" s="2408"/>
      <c r="G84" s="2378">
        <f t="shared" si="31"/>
        <v>4.1999999999999997E-3</v>
      </c>
      <c r="H84" s="2423">
        <f t="shared" si="27"/>
        <v>4.1999999999999997E-3</v>
      </c>
      <c r="I84" s="2397">
        <v>0.06</v>
      </c>
      <c r="J84" s="2400">
        <f t="shared" si="28"/>
        <v>8.3999999999999995E-3</v>
      </c>
      <c r="K84" s="2400">
        <f t="shared" si="29"/>
        <v>4.1999999999999997E-3</v>
      </c>
      <c r="L84" s="2400">
        <v>0</v>
      </c>
      <c r="M84" s="2400">
        <f t="shared" si="30"/>
        <v>-4.1999999999999997E-3</v>
      </c>
      <c r="N84" s="2400">
        <f t="shared" si="30"/>
        <v>-8.3999999999999995E-3</v>
      </c>
      <c r="AC84" s="1400"/>
      <c r="AD84" s="1399"/>
      <c r="AJ84" s="1398"/>
      <c r="AN84" s="1399"/>
    </row>
    <row r="85" spans="1:40" ht="24">
      <c r="A85" s="1062" t="s">
        <v>1027</v>
      </c>
      <c r="B85" s="2372" t="str">
        <f>估价对象房地状况!G20</f>
        <v>估价对象所在区域基础设施水平</v>
      </c>
      <c r="C85" s="1049" t="s">
        <v>3004</v>
      </c>
      <c r="D85" s="2380">
        <f t="shared" si="26"/>
        <v>0</v>
      </c>
      <c r="E85" s="2407"/>
      <c r="F85" s="2408"/>
      <c r="G85" s="2378">
        <f t="shared" si="31"/>
        <v>1.0699999999999999E-2</v>
      </c>
      <c r="H85" s="2423">
        <f t="shared" si="27"/>
        <v>1.0699999999999999E-2</v>
      </c>
      <c r="I85" s="2397">
        <v>0.15</v>
      </c>
      <c r="J85" s="2400">
        <f t="shared" si="28"/>
        <v>2.1399999999999999E-2</v>
      </c>
      <c r="K85" s="2400">
        <f t="shared" si="29"/>
        <v>1.0699999999999999E-2</v>
      </c>
      <c r="L85" s="2400">
        <v>0</v>
      </c>
      <c r="M85" s="2400">
        <f t="shared" si="30"/>
        <v>-1.0699999999999999E-2</v>
      </c>
      <c r="N85" s="2400">
        <f t="shared" si="30"/>
        <v>-2.1399999999999999E-2</v>
      </c>
      <c r="AC85" s="1400"/>
      <c r="AD85" s="1399"/>
      <c r="AJ85" s="1398"/>
      <c r="AN85" s="1399"/>
    </row>
    <row r="86" spans="1:40" ht="24">
      <c r="A86" s="1062" t="s">
        <v>1025</v>
      </c>
      <c r="B86" s="3045" t="s">
        <v>2937</v>
      </c>
      <c r="C86" s="1049" t="s">
        <v>3004</v>
      </c>
      <c r="D86" s="2380">
        <f t="shared" si="26"/>
        <v>0</v>
      </c>
      <c r="E86" s="2407"/>
      <c r="F86" s="2408"/>
      <c r="G86" s="2378">
        <f t="shared" si="31"/>
        <v>3.5000000000000001E-3</v>
      </c>
      <c r="H86" s="2423">
        <f t="shared" si="27"/>
        <v>3.5000000000000001E-3</v>
      </c>
      <c r="I86" s="2397">
        <v>0.05</v>
      </c>
      <c r="J86" s="2400">
        <f t="shared" si="28"/>
        <v>7.0000000000000001E-3</v>
      </c>
      <c r="K86" s="2400">
        <f t="shared" si="29"/>
        <v>3.5000000000000001E-3</v>
      </c>
      <c r="L86" s="2400">
        <v>0</v>
      </c>
      <c r="M86" s="2400">
        <f t="shared" si="30"/>
        <v>-3.5000000000000001E-3</v>
      </c>
      <c r="N86" s="2400">
        <f t="shared" si="30"/>
        <v>-7.0000000000000001E-3</v>
      </c>
      <c r="AC86" s="1400"/>
      <c r="AD86" s="1399"/>
      <c r="AJ86" s="1398"/>
      <c r="AN86" s="1399"/>
    </row>
    <row r="87" spans="1:40" ht="36.75" thickBot="1">
      <c r="A87" s="2403" t="s">
        <v>1038</v>
      </c>
      <c r="B87" s="2373" t="str">
        <f>估价对象房地状况!G18</f>
        <v>该园区内是否有污染型企业，绿化情况，卫生条件，整体环境状况判断</v>
      </c>
      <c r="C87" s="1049" t="s">
        <v>3004</v>
      </c>
      <c r="D87" s="2380">
        <f t="shared" si="26"/>
        <v>0</v>
      </c>
      <c r="E87" s="2409"/>
      <c r="F87" s="2408"/>
      <c r="G87" s="2378">
        <f t="shared" si="31"/>
        <v>4.1999999999999997E-3</v>
      </c>
      <c r="H87" s="2423">
        <f t="shared" si="27"/>
        <v>4.1999999999999997E-3</v>
      </c>
      <c r="I87" s="2404">
        <v>0.06</v>
      </c>
      <c r="J87" s="2400">
        <f t="shared" si="28"/>
        <v>8.3999999999999995E-3</v>
      </c>
      <c r="K87" s="2400">
        <f t="shared" si="29"/>
        <v>4.1999999999999997E-3</v>
      </c>
      <c r="L87" s="2400">
        <v>0</v>
      </c>
      <c r="M87" s="2400">
        <f t="shared" si="30"/>
        <v>-4.1999999999999997E-3</v>
      </c>
      <c r="N87" s="2400">
        <f t="shared" si="30"/>
        <v>-8.3999999999999995E-3</v>
      </c>
      <c r="AC87" s="1400"/>
      <c r="AD87" s="1399"/>
      <c r="AJ87" s="1398"/>
      <c r="AN87" s="1399"/>
    </row>
    <row r="90" spans="1:40">
      <c r="A90" s="3486" t="s">
        <v>1633</v>
      </c>
      <c r="B90" s="3486"/>
      <c r="C90" s="3486"/>
      <c r="D90" s="3486"/>
      <c r="E90" s="3486"/>
      <c r="F90" s="3486"/>
      <c r="G90" s="3486"/>
      <c r="H90" s="3486"/>
      <c r="I90" s="3486"/>
      <c r="J90" s="3486"/>
      <c r="K90" s="2412"/>
      <c r="L90" s="2412"/>
      <c r="M90" s="2412"/>
      <c r="N90" s="2412"/>
    </row>
    <row r="91" spans="1:40">
      <c r="A91" s="3487" t="s">
        <v>1443</v>
      </c>
      <c r="B91" s="3487" t="s">
        <v>1634</v>
      </c>
      <c r="C91" s="1135" t="s">
        <v>1635</v>
      </c>
      <c r="D91" s="1136"/>
      <c r="E91" s="1136"/>
      <c r="F91" s="1136"/>
      <c r="G91" s="1136"/>
      <c r="H91" s="1136"/>
      <c r="I91" s="1136"/>
      <c r="J91" s="1137"/>
      <c r="K91" s="1129"/>
      <c r="L91" s="1129"/>
      <c r="M91" s="1129"/>
      <c r="N91" s="1129"/>
    </row>
    <row r="92" spans="1:40">
      <c r="A92" s="3487"/>
      <c r="B92" s="348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73"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1636</v>
      </c>
      <c r="C99" s="1140">
        <f>$I$3</f>
        <v>8</v>
      </c>
      <c r="D99" s="1140">
        <f t="shared" ref="D99:N99" si="32">$I$3</f>
        <v>8</v>
      </c>
      <c r="E99" s="1140">
        <f t="shared" si="32"/>
        <v>8</v>
      </c>
      <c r="F99" s="1140">
        <f t="shared" si="32"/>
        <v>8</v>
      </c>
      <c r="G99" s="1140">
        <f t="shared" si="32"/>
        <v>8</v>
      </c>
      <c r="H99" s="1140">
        <f t="shared" si="32"/>
        <v>8</v>
      </c>
      <c r="I99" s="1140">
        <f t="shared" si="32"/>
        <v>8</v>
      </c>
      <c r="J99" s="1140">
        <f t="shared" si="32"/>
        <v>8</v>
      </c>
      <c r="K99" s="1140">
        <f t="shared" si="32"/>
        <v>8</v>
      </c>
      <c r="L99" s="1140">
        <f t="shared" si="32"/>
        <v>8</v>
      </c>
      <c r="M99" s="1140">
        <f t="shared" si="32"/>
        <v>8</v>
      </c>
      <c r="N99" s="1140">
        <f t="shared" si="32"/>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1637</v>
      </c>
      <c r="B101" s="1142" t="s">
        <v>906</v>
      </c>
      <c r="C101" s="1143">
        <f>$G$3</f>
        <v>1</v>
      </c>
      <c r="D101" s="1143">
        <f t="shared" ref="D101:N101" si="33">$G$3</f>
        <v>1</v>
      </c>
      <c r="E101" s="1143">
        <f t="shared" si="33"/>
        <v>1</v>
      </c>
      <c r="F101" s="1143">
        <f t="shared" si="33"/>
        <v>1</v>
      </c>
      <c r="G101" s="1143">
        <f t="shared" si="33"/>
        <v>1</v>
      </c>
      <c r="H101" s="1143">
        <f t="shared" si="33"/>
        <v>1</v>
      </c>
      <c r="I101" s="1143">
        <f t="shared" si="33"/>
        <v>1</v>
      </c>
      <c r="J101" s="1143">
        <f t="shared" si="33"/>
        <v>1</v>
      </c>
      <c r="K101" s="1143">
        <f t="shared" si="33"/>
        <v>1</v>
      </c>
      <c r="L101" s="1143">
        <f t="shared" si="33"/>
        <v>1</v>
      </c>
      <c r="M101" s="1143">
        <f t="shared" si="33"/>
        <v>1</v>
      </c>
      <c r="N101" s="1143">
        <f t="shared" si="33"/>
        <v>1</v>
      </c>
    </row>
    <row r="102" spans="1:14">
      <c r="A102" s="3474"/>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74"/>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74"/>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74"/>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74"/>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74"/>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74"/>
      <c r="B108" s="3476" t="s">
        <v>1638</v>
      </c>
      <c r="C108" s="1140">
        <f>C99</f>
        <v>8</v>
      </c>
      <c r="D108" s="1140">
        <f t="shared" ref="D108:N108" si="34">D99</f>
        <v>8</v>
      </c>
      <c r="E108" s="1140">
        <f t="shared" si="34"/>
        <v>8</v>
      </c>
      <c r="F108" s="1140">
        <f t="shared" si="34"/>
        <v>8</v>
      </c>
      <c r="G108" s="1140">
        <f t="shared" si="34"/>
        <v>8</v>
      </c>
      <c r="H108" s="1140">
        <f t="shared" si="34"/>
        <v>8</v>
      </c>
      <c r="I108" s="1140">
        <f t="shared" si="34"/>
        <v>8</v>
      </c>
      <c r="J108" s="1140">
        <f t="shared" si="34"/>
        <v>8</v>
      </c>
      <c r="K108" s="1140">
        <f t="shared" si="34"/>
        <v>8</v>
      </c>
      <c r="L108" s="1140">
        <f t="shared" si="34"/>
        <v>8</v>
      </c>
      <c r="M108" s="1140">
        <f t="shared" si="34"/>
        <v>8</v>
      </c>
      <c r="N108" s="1140">
        <f t="shared" si="34"/>
        <v>8</v>
      </c>
    </row>
    <row r="109" spans="1:14">
      <c r="A109" s="3475"/>
      <c r="B109" s="3477"/>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480" t="s">
        <v>1639</v>
      </c>
      <c r="B110" s="3480"/>
      <c r="C110" s="3480"/>
      <c r="D110" s="3480"/>
      <c r="E110" s="3480"/>
      <c r="F110" s="3480"/>
      <c r="G110" s="3480"/>
      <c r="H110" s="3480"/>
      <c r="I110" s="3480"/>
      <c r="J110" s="3480"/>
      <c r="K110" s="2410"/>
      <c r="L110" s="2410"/>
      <c r="M110" s="2410"/>
      <c r="N110" s="2410"/>
    </row>
    <row r="112" spans="1:14" ht="12.75" thickBot="1"/>
    <row r="113" spans="1:13" ht="25.5" thickBot="1">
      <c r="A113" s="1015" t="s">
        <v>896</v>
      </c>
      <c r="B113" s="2413">
        <f>G3</f>
        <v>1</v>
      </c>
      <c r="C113" s="1016" t="s">
        <v>897</v>
      </c>
      <c r="D113" s="1017">
        <f>SUMPRODUCT((A115:A118=F113)*(B114:M114=H113)*B115:M118)</f>
        <v>0.55310000000000004</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5">I115</f>
        <v>0.67349999999999999</v>
      </c>
      <c r="K115" s="1029">
        <f t="shared" si="35"/>
        <v>0.67349999999999999</v>
      </c>
      <c r="L115" s="1029">
        <f t="shared" si="35"/>
        <v>0.67349999999999999</v>
      </c>
      <c r="M115" s="1030">
        <f t="shared" si="35"/>
        <v>0.67349999999999999</v>
      </c>
    </row>
    <row r="116" spans="1:13" ht="12.75">
      <c r="A116" s="1028" t="s">
        <v>901</v>
      </c>
      <c r="B116" s="1029">
        <f>ROUND(0.949-0.012*B113,4)</f>
        <v>0.93700000000000006</v>
      </c>
      <c r="C116" s="1029">
        <f>B116</f>
        <v>0.93700000000000006</v>
      </c>
      <c r="D116" s="1029">
        <f>ROUND(0.8567-0.013*B113,4)</f>
        <v>0.84370000000000001</v>
      </c>
      <c r="E116" s="1029">
        <f t="shared" ref="E116:H117" si="36">D116</f>
        <v>0.84370000000000001</v>
      </c>
      <c r="F116" s="1029">
        <f t="shared" si="36"/>
        <v>0.84370000000000001</v>
      </c>
      <c r="G116" s="1029">
        <f t="shared" si="36"/>
        <v>0.84370000000000001</v>
      </c>
      <c r="H116" s="1029">
        <f t="shared" si="36"/>
        <v>0.84370000000000001</v>
      </c>
      <c r="I116" s="1029">
        <f>ROUND(0.7694-0.014*B113,4)</f>
        <v>0.75539999999999996</v>
      </c>
      <c r="J116" s="1029">
        <f t="shared" si="35"/>
        <v>0.75539999999999996</v>
      </c>
      <c r="K116" s="1029">
        <f t="shared" si="35"/>
        <v>0.75539999999999996</v>
      </c>
      <c r="L116" s="1029">
        <f t="shared" si="35"/>
        <v>0.75539999999999996</v>
      </c>
      <c r="M116" s="1030">
        <f t="shared" si="35"/>
        <v>0.75539999999999996</v>
      </c>
    </row>
    <row r="117" spans="1:13" ht="12.75">
      <c r="A117" s="1031" t="s">
        <v>902</v>
      </c>
      <c r="B117" s="1029">
        <f>ROUND(0.8808-0.006*B113,4)</f>
        <v>0.87480000000000002</v>
      </c>
      <c r="C117" s="1029">
        <f>B117</f>
        <v>0.87480000000000002</v>
      </c>
      <c r="D117" s="1029">
        <f>ROUND(0.8748-0.008*B113,4)</f>
        <v>0.86680000000000001</v>
      </c>
      <c r="E117" s="1029">
        <f t="shared" si="36"/>
        <v>0.86680000000000001</v>
      </c>
      <c r="F117" s="1029">
        <f t="shared" si="36"/>
        <v>0.86680000000000001</v>
      </c>
      <c r="G117" s="1029">
        <f t="shared" si="36"/>
        <v>0.86680000000000001</v>
      </c>
      <c r="H117" s="1029">
        <f t="shared" si="36"/>
        <v>0.86680000000000001</v>
      </c>
      <c r="I117" s="1029">
        <f>ROUND(0.7412-0.0095*B113,4)</f>
        <v>0.73170000000000002</v>
      </c>
      <c r="J117" s="1029">
        <f t="shared" si="35"/>
        <v>0.73170000000000002</v>
      </c>
      <c r="K117" s="1029">
        <f t="shared" si="35"/>
        <v>0.73170000000000002</v>
      </c>
      <c r="L117" s="1029">
        <f t="shared" si="35"/>
        <v>0.73170000000000002</v>
      </c>
      <c r="M117" s="1030">
        <f t="shared" si="35"/>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5"/>
        <v>0.55310000000000004</v>
      </c>
      <c r="K118" s="1033">
        <f t="shared" si="35"/>
        <v>0.55310000000000004</v>
      </c>
      <c r="L118" s="1033">
        <f t="shared" si="35"/>
        <v>0.55310000000000004</v>
      </c>
      <c r="M118" s="1034">
        <f t="shared" si="35"/>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2991</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87" t="s">
        <v>1007</v>
      </c>
      <c r="B18" s="1149" t="s">
        <v>1446</v>
      </c>
      <c r="C18" s="1126" t="s">
        <v>1447</v>
      </c>
      <c r="D18" s="1127"/>
      <c r="E18" s="1149">
        <v>1</v>
      </c>
      <c r="F18" s="1128" t="s">
        <v>1448</v>
      </c>
      <c r="G18" s="1129"/>
      <c r="H18" s="1100"/>
      <c r="I18" s="1100"/>
    </row>
    <row r="19" spans="1:9" s="1583" customFormat="1" ht="19.5" customHeight="1">
      <c r="A19" s="3487"/>
      <c r="B19" s="3487" t="s">
        <v>1449</v>
      </c>
      <c r="C19" s="1126" t="s">
        <v>1450</v>
      </c>
      <c r="D19" s="1127"/>
      <c r="E19" s="1149">
        <v>0.9</v>
      </c>
      <c r="F19" s="1128" t="s">
        <v>1451</v>
      </c>
      <c r="G19" s="1129"/>
      <c r="H19" s="1100"/>
      <c r="I19" s="1100"/>
    </row>
    <row r="20" spans="1:9" s="1583" customFormat="1" ht="19.5" customHeight="1">
      <c r="A20" s="3487"/>
      <c r="B20" s="3487"/>
      <c r="C20" s="1126" t="s">
        <v>1452</v>
      </c>
      <c r="D20" s="1127"/>
      <c r="E20" s="1149">
        <v>1.1000000000000001</v>
      </c>
      <c r="F20" s="1128" t="s">
        <v>1453</v>
      </c>
      <c r="G20" s="1129"/>
      <c r="H20" s="1100"/>
      <c r="I20" s="1100"/>
    </row>
    <row r="21" spans="1:9" s="1583" customFormat="1" ht="19.5" customHeight="1">
      <c r="A21" s="3487"/>
      <c r="B21" s="3487"/>
      <c r="C21" s="1126" t="s">
        <v>1454</v>
      </c>
      <c r="D21" s="1127"/>
      <c r="E21" s="1149">
        <v>0.8</v>
      </c>
      <c r="F21" s="1128" t="s">
        <v>1455</v>
      </c>
      <c r="G21" s="1129"/>
      <c r="H21" s="1100"/>
      <c r="I21" s="1100"/>
    </row>
    <row r="22" spans="1:9" s="1583" customFormat="1" ht="19.5" customHeight="1">
      <c r="A22" s="3487"/>
      <c r="B22" s="3487"/>
      <c r="C22" s="1126" t="s">
        <v>1456</v>
      </c>
      <c r="D22" s="1127"/>
      <c r="E22" s="1149">
        <v>0.5</v>
      </c>
      <c r="F22" s="1128"/>
      <c r="G22" s="1129"/>
      <c r="H22" s="1100"/>
      <c r="I22" s="1100"/>
    </row>
    <row r="23" spans="1:9" s="1583" customFormat="1" ht="19.5" customHeight="1">
      <c r="A23" s="3487" t="s">
        <v>1029</v>
      </c>
      <c r="B23" s="1149" t="s">
        <v>1446</v>
      </c>
      <c r="C23" s="1126" t="s">
        <v>1457</v>
      </c>
      <c r="D23" s="1127"/>
      <c r="E23" s="1149">
        <v>1</v>
      </c>
      <c r="F23" s="1128" t="s">
        <v>1458</v>
      </c>
      <c r="G23" s="1129"/>
      <c r="H23" s="1100"/>
      <c r="I23" s="1100"/>
    </row>
    <row r="24" spans="1:9" s="1583" customFormat="1" ht="19.5" customHeight="1">
      <c r="A24" s="3487"/>
      <c r="B24" s="3487" t="s">
        <v>1449</v>
      </c>
      <c r="C24" s="1126" t="s">
        <v>1459</v>
      </c>
      <c r="D24" s="1127"/>
      <c r="E24" s="1149">
        <v>0.5</v>
      </c>
      <c r="F24" s="1128"/>
      <c r="G24" s="1129"/>
      <c r="H24" s="1100"/>
      <c r="I24" s="1100"/>
    </row>
    <row r="25" spans="1:9" s="1583" customFormat="1" ht="19.5" customHeight="1">
      <c r="A25" s="3487"/>
      <c r="B25" s="3487"/>
      <c r="C25" s="1126" t="s">
        <v>1460</v>
      </c>
      <c r="D25" s="1127"/>
      <c r="E25" s="1149">
        <v>1.1000000000000001</v>
      </c>
      <c r="F25" s="1128"/>
      <c r="G25" s="1129"/>
      <c r="H25" s="1100"/>
      <c r="I25" s="1100"/>
    </row>
    <row r="26" spans="1:9" s="1583" customFormat="1" ht="19.5" customHeight="1">
      <c r="A26" s="3487"/>
      <c r="B26" s="3487"/>
      <c r="C26" s="1126" t="s">
        <v>1461</v>
      </c>
      <c r="D26" s="1127"/>
      <c r="E26" s="1149">
        <v>1.1000000000000001</v>
      </c>
      <c r="F26" s="1128"/>
      <c r="G26" s="1129"/>
      <c r="H26" s="1100"/>
      <c r="I26" s="1100"/>
    </row>
    <row r="27" spans="1:9" s="1583" customFormat="1" ht="19.5" customHeight="1">
      <c r="A27" s="3487"/>
      <c r="B27" s="3487"/>
      <c r="C27" s="1126" t="s">
        <v>1462</v>
      </c>
      <c r="D27" s="1127"/>
      <c r="E27" s="1149">
        <v>0.9</v>
      </c>
      <c r="F27" s="1128" t="s">
        <v>1463</v>
      </c>
      <c r="G27" s="1129"/>
      <c r="H27" s="1100"/>
      <c r="I27" s="1100"/>
    </row>
    <row r="28" spans="1:9" s="1583" customFormat="1" ht="19.5" customHeight="1">
      <c r="A28" s="3487"/>
      <c r="B28" s="3487"/>
      <c r="C28" s="1126" t="s">
        <v>1464</v>
      </c>
      <c r="D28" s="1127"/>
      <c r="E28" s="1149">
        <v>0.9</v>
      </c>
      <c r="F28" s="1128" t="s">
        <v>1465</v>
      </c>
      <c r="G28" s="1129"/>
      <c r="H28" s="1100"/>
      <c r="I28" s="1100"/>
    </row>
    <row r="29" spans="1:9" s="1583" customFormat="1" ht="19.5" customHeight="1">
      <c r="A29" s="3487"/>
      <c r="B29" s="3487"/>
      <c r="C29" s="1126" t="s">
        <v>1466</v>
      </c>
      <c r="D29" s="1127"/>
      <c r="E29" s="1149">
        <v>0.9</v>
      </c>
      <c r="F29" s="1128" t="s">
        <v>1467</v>
      </c>
      <c r="G29" s="1129"/>
      <c r="H29" s="1100"/>
      <c r="I29" s="1100"/>
    </row>
    <row r="30" spans="1:9" s="1583" customFormat="1" ht="19.5" customHeight="1">
      <c r="A30" s="3487"/>
      <c r="B30" s="3487"/>
      <c r="C30" s="1126" t="s">
        <v>1468</v>
      </c>
      <c r="D30" s="1127"/>
      <c r="E30" s="1149">
        <v>0.9</v>
      </c>
      <c r="F30" s="1128" t="s">
        <v>1469</v>
      </c>
      <c r="G30" s="1129"/>
      <c r="H30" s="1100"/>
      <c r="I30" s="1100"/>
    </row>
    <row r="31" spans="1:9" s="1583" customFormat="1" ht="19.5" customHeight="1">
      <c r="A31" s="3487"/>
      <c r="B31" s="3487"/>
      <c r="C31" s="1126" t="s">
        <v>1470</v>
      </c>
      <c r="D31" s="1127"/>
      <c r="E31" s="1149">
        <v>0.8</v>
      </c>
      <c r="F31" s="1128" t="s">
        <v>1471</v>
      </c>
      <c r="G31" s="1129"/>
      <c r="H31" s="1100"/>
      <c r="I31" s="1100"/>
    </row>
    <row r="32" spans="1:9" s="1583" customFormat="1" ht="19.5" customHeight="1">
      <c r="A32" s="3487"/>
      <c r="B32" s="3487"/>
      <c r="C32" s="1126" t="s">
        <v>1472</v>
      </c>
      <c r="D32" s="1127"/>
      <c r="E32" s="1149">
        <v>0.8</v>
      </c>
      <c r="F32" s="1128" t="s">
        <v>1473</v>
      </c>
      <c r="G32" s="1129"/>
      <c r="H32" s="1100"/>
      <c r="I32" s="1100"/>
    </row>
    <row r="33" spans="1:9" s="1583" customFormat="1" ht="19.5" customHeight="1">
      <c r="A33" s="3487" t="s">
        <v>1474</v>
      </c>
      <c r="B33" s="1149" t="s">
        <v>1446</v>
      </c>
      <c r="C33" s="1126" t="s">
        <v>1475</v>
      </c>
      <c r="D33" s="1127"/>
      <c r="E33" s="1149">
        <v>1</v>
      </c>
      <c r="F33" s="1128" t="s">
        <v>1476</v>
      </c>
      <c r="G33" s="1129"/>
      <c r="H33" s="1100"/>
      <c r="I33" s="1100"/>
    </row>
    <row r="34" spans="1:9" s="1583" customFormat="1" ht="19.5" customHeight="1">
      <c r="A34" s="3487"/>
      <c r="B34" s="1149" t="s">
        <v>1449</v>
      </c>
      <c r="C34" s="1126" t="s">
        <v>1477</v>
      </c>
      <c r="D34" s="1127"/>
      <c r="E34" s="1149">
        <v>1.5</v>
      </c>
      <c r="F34" s="1128" t="s">
        <v>1478</v>
      </c>
      <c r="G34" s="1129"/>
      <c r="H34" s="1100"/>
      <c r="I34" s="1100"/>
    </row>
    <row r="35" spans="1:9" s="1583" customFormat="1" ht="19.5" customHeight="1">
      <c r="A35" s="3487" t="s">
        <v>1432</v>
      </c>
      <c r="B35" s="1149" t="s">
        <v>1446</v>
      </c>
      <c r="C35" s="1126" t="s">
        <v>1479</v>
      </c>
      <c r="D35" s="1127"/>
      <c r="E35" s="1149">
        <v>1</v>
      </c>
      <c r="F35" s="1128" t="s">
        <v>1480</v>
      </c>
      <c r="G35" s="1129"/>
      <c r="H35" s="1100"/>
      <c r="I35" s="1100"/>
    </row>
    <row r="36" spans="1:9" s="1583" customFormat="1" ht="19.5" customHeight="1">
      <c r="A36" s="3487"/>
      <c r="B36" s="3487" t="s">
        <v>1449</v>
      </c>
      <c r="C36" s="1126" t="s">
        <v>1481</v>
      </c>
      <c r="D36" s="1127"/>
      <c r="E36" s="1149">
        <v>1</v>
      </c>
      <c r="F36" s="1128" t="s">
        <v>1482</v>
      </c>
      <c r="G36" s="1129"/>
      <c r="H36" s="1100"/>
      <c r="I36" s="1100"/>
    </row>
    <row r="37" spans="1:9" s="1583" customFormat="1" ht="19.5" customHeight="1">
      <c r="A37" s="3487"/>
      <c r="B37" s="3487"/>
      <c r="C37" s="1126" t="s">
        <v>1483</v>
      </c>
      <c r="D37" s="1127"/>
      <c r="E37" s="1149">
        <v>1.5</v>
      </c>
      <c r="F37" s="1128" t="s">
        <v>1484</v>
      </c>
      <c r="G37" s="1129"/>
      <c r="H37" s="1100"/>
      <c r="I37" s="1100"/>
    </row>
    <row r="38" spans="1:9" s="1583" customFormat="1" ht="19.5" customHeight="1">
      <c r="A38" s="3487"/>
      <c r="B38" s="3487"/>
      <c r="C38" s="1126" t="s">
        <v>1485</v>
      </c>
      <c r="D38" s="1127"/>
      <c r="E38" s="1149">
        <v>1</v>
      </c>
      <c r="F38" s="1128" t="s">
        <v>1486</v>
      </c>
      <c r="G38" s="1129"/>
      <c r="H38" s="1100"/>
      <c r="I38" s="1100"/>
    </row>
    <row r="39" spans="1:9" s="1583" customFormat="1" ht="19.5" customHeight="1">
      <c r="A39" s="3487"/>
      <c r="B39" s="348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87" t="s">
        <v>1501</v>
      </c>
      <c r="C61" s="1063" t="s">
        <v>1502</v>
      </c>
      <c r="D61" s="1063" t="s">
        <v>1503</v>
      </c>
      <c r="E61" s="1134">
        <v>0.5</v>
      </c>
      <c r="F61" s="1149">
        <v>80</v>
      </c>
      <c r="H61" s="1100">
        <f>SUMIF(C59:C119,基准地价!C8,E59:E119)</f>
        <v>0</v>
      </c>
    </row>
    <row r="62" spans="1:8" s="1100" customFormat="1" ht="24">
      <c r="A62" s="1149">
        <v>2</v>
      </c>
      <c r="B62" s="3487"/>
      <c r="C62" s="1063" t="s">
        <v>1504</v>
      </c>
      <c r="D62" s="1063" t="s">
        <v>1505</v>
      </c>
      <c r="E62" s="1134">
        <v>0.5</v>
      </c>
      <c r="F62" s="1149">
        <v>80</v>
      </c>
    </row>
    <row r="63" spans="1:8" s="1100" customFormat="1" ht="36">
      <c r="A63" s="1149">
        <v>3</v>
      </c>
      <c r="B63" s="3487"/>
      <c r="C63" s="1063" t="s">
        <v>1506</v>
      </c>
      <c r="D63" s="1063" t="s">
        <v>1507</v>
      </c>
      <c r="E63" s="1134">
        <v>0.5</v>
      </c>
      <c r="F63" s="1149">
        <v>80</v>
      </c>
    </row>
    <row r="64" spans="1:8" s="1100" customFormat="1" ht="36">
      <c r="A64" s="1149">
        <v>4</v>
      </c>
      <c r="B64" s="3487"/>
      <c r="C64" s="1063" t="s">
        <v>1508</v>
      </c>
      <c r="D64" s="1063" t="s">
        <v>1509</v>
      </c>
      <c r="E64" s="1134">
        <v>0.4</v>
      </c>
      <c r="F64" s="1149">
        <v>60</v>
      </c>
    </row>
    <row r="65" spans="1:6" s="1100" customFormat="1" ht="36">
      <c r="A65" s="1149">
        <v>5</v>
      </c>
      <c r="B65" s="3487"/>
      <c r="C65" s="1063" t="s">
        <v>1510</v>
      </c>
      <c r="D65" s="1063" t="s">
        <v>1511</v>
      </c>
      <c r="E65" s="1134">
        <v>0.2</v>
      </c>
      <c r="F65" s="1149">
        <v>30</v>
      </c>
    </row>
    <row r="66" spans="1:6" s="1100" customFormat="1" ht="36">
      <c r="A66" s="1149">
        <v>6</v>
      </c>
      <c r="B66" s="3487"/>
      <c r="C66" s="1063" t="s">
        <v>1512</v>
      </c>
      <c r="D66" s="1063" t="s">
        <v>1513</v>
      </c>
      <c r="E66" s="1134">
        <v>0.3</v>
      </c>
      <c r="F66" s="1149">
        <v>50</v>
      </c>
    </row>
    <row r="67" spans="1:6" s="1100" customFormat="1" ht="36">
      <c r="A67" s="1149">
        <v>7</v>
      </c>
      <c r="B67" s="3487"/>
      <c r="C67" s="1063" t="s">
        <v>1514</v>
      </c>
      <c r="D67" s="1063" t="s">
        <v>1515</v>
      </c>
      <c r="E67" s="1134">
        <v>0.2</v>
      </c>
      <c r="F67" s="1149">
        <v>30</v>
      </c>
    </row>
    <row r="68" spans="1:6" s="1100" customFormat="1" ht="36">
      <c r="A68" s="1149">
        <v>8</v>
      </c>
      <c r="B68" s="3487"/>
      <c r="C68" s="1063" t="s">
        <v>1516</v>
      </c>
      <c r="D68" s="1063" t="s">
        <v>1517</v>
      </c>
      <c r="E68" s="1134">
        <v>0.2</v>
      </c>
      <c r="F68" s="1149">
        <v>30</v>
      </c>
    </row>
    <row r="69" spans="1:6" s="1100" customFormat="1" ht="36">
      <c r="A69" s="1149">
        <v>9</v>
      </c>
      <c r="B69" s="3487"/>
      <c r="C69" s="1063" t="s">
        <v>1518</v>
      </c>
      <c r="D69" s="1063" t="s">
        <v>1519</v>
      </c>
      <c r="E69" s="1134">
        <v>0.2</v>
      </c>
      <c r="F69" s="1149">
        <v>30</v>
      </c>
    </row>
    <row r="70" spans="1:6" s="1100" customFormat="1" ht="48">
      <c r="A70" s="1149">
        <v>10</v>
      </c>
      <c r="B70" s="3487"/>
      <c r="C70" s="1063" t="s">
        <v>1520</v>
      </c>
      <c r="D70" s="1063" t="s">
        <v>1521</v>
      </c>
      <c r="E70" s="1134">
        <v>0.2</v>
      </c>
      <c r="F70" s="1149">
        <v>30</v>
      </c>
    </row>
    <row r="71" spans="1:6" s="1100" customFormat="1" ht="48">
      <c r="A71" s="1149">
        <v>11</v>
      </c>
      <c r="B71" s="3487"/>
      <c r="C71" s="1063" t="s">
        <v>1522</v>
      </c>
      <c r="D71" s="1063" t="s">
        <v>1523</v>
      </c>
      <c r="E71" s="1134">
        <v>0.2</v>
      </c>
      <c r="F71" s="1149">
        <v>30</v>
      </c>
    </row>
    <row r="72" spans="1:6" s="1100" customFormat="1" ht="36">
      <c r="A72" s="1149">
        <v>12</v>
      </c>
      <c r="B72" s="3487"/>
      <c r="C72" s="1063" t="s">
        <v>1524</v>
      </c>
      <c r="D72" s="1063" t="s">
        <v>1525</v>
      </c>
      <c r="E72" s="1134">
        <v>0.5</v>
      </c>
      <c r="F72" s="1149">
        <v>80</v>
      </c>
    </row>
    <row r="73" spans="1:6" s="1100" customFormat="1" ht="24">
      <c r="A73" s="1149">
        <v>13</v>
      </c>
      <c r="B73" s="3487"/>
      <c r="C73" s="1063" t="s">
        <v>1526</v>
      </c>
      <c r="D73" s="1063" t="s">
        <v>1527</v>
      </c>
      <c r="E73" s="1134">
        <v>0.4</v>
      </c>
      <c r="F73" s="1149">
        <v>60</v>
      </c>
    </row>
    <row r="74" spans="1:6" s="1100" customFormat="1" ht="24">
      <c r="A74" s="1149">
        <v>14</v>
      </c>
      <c r="B74" s="3487"/>
      <c r="C74" s="1063" t="s">
        <v>1528</v>
      </c>
      <c r="D74" s="1063" t="s">
        <v>1529</v>
      </c>
      <c r="E74" s="1134">
        <v>0.2</v>
      </c>
      <c r="F74" s="1149">
        <v>30</v>
      </c>
    </row>
    <row r="75" spans="1:6" s="1100" customFormat="1" ht="24">
      <c r="A75" s="1149">
        <v>15</v>
      </c>
      <c r="B75" s="3487"/>
      <c r="C75" s="1063" t="s">
        <v>1530</v>
      </c>
      <c r="D75" s="1063" t="s">
        <v>1531</v>
      </c>
      <c r="E75" s="1134">
        <v>0.2</v>
      </c>
      <c r="F75" s="1149">
        <v>30</v>
      </c>
    </row>
    <row r="76" spans="1:6" s="1100" customFormat="1" ht="24">
      <c r="A76" s="1149">
        <v>16</v>
      </c>
      <c r="B76" s="3487" t="s">
        <v>1532</v>
      </c>
      <c r="C76" s="1063" t="s">
        <v>1533</v>
      </c>
      <c r="D76" s="1063" t="s">
        <v>1534</v>
      </c>
      <c r="E76" s="1134">
        <v>0.5</v>
      </c>
      <c r="F76" s="1149">
        <v>80</v>
      </c>
    </row>
    <row r="77" spans="1:6" s="1100" customFormat="1" ht="24">
      <c r="A77" s="1149">
        <v>17</v>
      </c>
      <c r="B77" s="3487"/>
      <c r="C77" s="1063" t="s">
        <v>1535</v>
      </c>
      <c r="D77" s="1063" t="s">
        <v>1536</v>
      </c>
      <c r="E77" s="1134">
        <v>0.5</v>
      </c>
      <c r="F77" s="1149">
        <v>80</v>
      </c>
    </row>
    <row r="78" spans="1:6" s="1100" customFormat="1" ht="24">
      <c r="A78" s="1149">
        <v>18</v>
      </c>
      <c r="B78" s="3487"/>
      <c r="C78" s="1063" t="s">
        <v>1537</v>
      </c>
      <c r="D78" s="1063" t="s">
        <v>1538</v>
      </c>
      <c r="E78" s="1134">
        <v>0.2</v>
      </c>
      <c r="F78" s="1149">
        <v>30</v>
      </c>
    </row>
    <row r="79" spans="1:6" s="1100" customFormat="1" ht="24">
      <c r="A79" s="1149">
        <v>19</v>
      </c>
      <c r="B79" s="3487"/>
      <c r="C79" s="1063" t="s">
        <v>1539</v>
      </c>
      <c r="D79" s="1063" t="s">
        <v>1540</v>
      </c>
      <c r="E79" s="1134">
        <v>0.5</v>
      </c>
      <c r="F79" s="1149">
        <v>80</v>
      </c>
    </row>
    <row r="80" spans="1:6" s="1100" customFormat="1" ht="36">
      <c r="A80" s="1149">
        <v>20</v>
      </c>
      <c r="B80" s="3487"/>
      <c r="C80" s="1063" t="s">
        <v>1541</v>
      </c>
      <c r="D80" s="1063" t="s">
        <v>1542</v>
      </c>
      <c r="E80" s="1134">
        <v>0.2</v>
      </c>
      <c r="F80" s="1149">
        <v>30</v>
      </c>
    </row>
    <row r="81" spans="1:6" s="1100" customFormat="1" ht="36">
      <c r="A81" s="1149">
        <v>21</v>
      </c>
      <c r="B81" s="3487"/>
      <c r="C81" s="1063" t="s">
        <v>1543</v>
      </c>
      <c r="D81" s="1063" t="s">
        <v>1544</v>
      </c>
      <c r="E81" s="1134">
        <v>0.2</v>
      </c>
      <c r="F81" s="1149">
        <v>30</v>
      </c>
    </row>
    <row r="82" spans="1:6" s="1100" customFormat="1" ht="48">
      <c r="A82" s="1149">
        <v>22</v>
      </c>
      <c r="B82" s="3487"/>
      <c r="C82" s="1063" t="s">
        <v>1545</v>
      </c>
      <c r="D82" s="1063" t="s">
        <v>1546</v>
      </c>
      <c r="E82" s="1134">
        <v>0.2</v>
      </c>
      <c r="F82" s="1149">
        <v>30</v>
      </c>
    </row>
    <row r="83" spans="1:6" s="1100" customFormat="1" ht="48">
      <c r="A83" s="1149">
        <v>23</v>
      </c>
      <c r="B83" s="3487"/>
      <c r="C83" s="1063" t="s">
        <v>1547</v>
      </c>
      <c r="D83" s="1063" t="s">
        <v>1548</v>
      </c>
      <c r="E83" s="1134">
        <v>0.2</v>
      </c>
      <c r="F83" s="1149">
        <v>30</v>
      </c>
    </row>
    <row r="84" spans="1:6" s="1100" customFormat="1" ht="36">
      <c r="A84" s="1149">
        <v>24</v>
      </c>
      <c r="B84" s="3487"/>
      <c r="C84" s="1063" t="s">
        <v>1549</v>
      </c>
      <c r="D84" s="1063" t="s">
        <v>1550</v>
      </c>
      <c r="E84" s="1134">
        <v>0.2</v>
      </c>
      <c r="F84" s="1149">
        <v>30</v>
      </c>
    </row>
    <row r="85" spans="1:6" s="1100" customFormat="1" ht="36">
      <c r="A85" s="1149">
        <v>25</v>
      </c>
      <c r="B85" s="3487"/>
      <c r="C85" s="1063" t="s">
        <v>1551</v>
      </c>
      <c r="D85" s="1063" t="s">
        <v>1552</v>
      </c>
      <c r="E85" s="1134">
        <v>0.5</v>
      </c>
      <c r="F85" s="1149">
        <v>80</v>
      </c>
    </row>
    <row r="86" spans="1:6" s="1100" customFormat="1" ht="36">
      <c r="A86" s="1149">
        <v>26</v>
      </c>
      <c r="B86" s="3487"/>
      <c r="C86" s="1063" t="s">
        <v>1553</v>
      </c>
      <c r="D86" s="1063" t="s">
        <v>1554</v>
      </c>
      <c r="E86" s="1134">
        <v>0.2</v>
      </c>
      <c r="F86" s="1149">
        <v>30</v>
      </c>
    </row>
    <row r="87" spans="1:6" s="1100" customFormat="1" ht="36">
      <c r="A87" s="1149">
        <v>27</v>
      </c>
      <c r="B87" s="3487"/>
      <c r="C87" s="1063" t="s">
        <v>1555</v>
      </c>
      <c r="D87" s="1063" t="s">
        <v>1556</v>
      </c>
      <c r="E87" s="1134">
        <v>0.2</v>
      </c>
      <c r="F87" s="1149">
        <v>30</v>
      </c>
    </row>
    <row r="88" spans="1:6" s="1100" customFormat="1" ht="36">
      <c r="A88" s="1149">
        <v>28</v>
      </c>
      <c r="B88" s="3487"/>
      <c r="C88" s="1063" t="s">
        <v>1557</v>
      </c>
      <c r="D88" s="1063" t="s">
        <v>1558</v>
      </c>
      <c r="E88" s="1134">
        <v>0.2</v>
      </c>
      <c r="F88" s="1149">
        <v>30</v>
      </c>
    </row>
    <row r="89" spans="1:6" s="1100" customFormat="1" ht="24">
      <c r="A89" s="1149">
        <v>29</v>
      </c>
      <c r="B89" s="3487"/>
      <c r="C89" s="1063" t="s">
        <v>1559</v>
      </c>
      <c r="D89" s="1063" t="s">
        <v>1560</v>
      </c>
      <c r="E89" s="1134">
        <v>0.2</v>
      </c>
      <c r="F89" s="1149">
        <v>30</v>
      </c>
    </row>
    <row r="90" spans="1:6" s="1100" customFormat="1" ht="24">
      <c r="A90" s="1149">
        <v>30</v>
      </c>
      <c r="B90" s="3487"/>
      <c r="C90" s="1063" t="s">
        <v>1561</v>
      </c>
      <c r="D90" s="1063" t="s">
        <v>1562</v>
      </c>
      <c r="E90" s="1134">
        <v>0.2</v>
      </c>
      <c r="F90" s="1149">
        <v>30</v>
      </c>
    </row>
    <row r="91" spans="1:6" s="1100" customFormat="1" ht="36">
      <c r="A91" s="1149">
        <v>31</v>
      </c>
      <c r="B91" s="3487"/>
      <c r="C91" s="1063" t="s">
        <v>1563</v>
      </c>
      <c r="D91" s="1063" t="s">
        <v>1564</v>
      </c>
      <c r="E91" s="1134">
        <v>0.2</v>
      </c>
      <c r="F91" s="1149">
        <v>30</v>
      </c>
    </row>
    <row r="92" spans="1:6" s="1100" customFormat="1" ht="24">
      <c r="A92" s="1149">
        <v>32</v>
      </c>
      <c r="B92" s="3487" t="s">
        <v>1565</v>
      </c>
      <c r="C92" s="1149" t="s">
        <v>1566</v>
      </c>
      <c r="D92" s="1063" t="s">
        <v>1567</v>
      </c>
      <c r="E92" s="1134">
        <v>0.2</v>
      </c>
      <c r="F92" s="1149">
        <v>30</v>
      </c>
    </row>
    <row r="93" spans="1:6" s="1100" customFormat="1" ht="36">
      <c r="A93" s="1149">
        <v>33</v>
      </c>
      <c r="B93" s="3487"/>
      <c r="C93" s="1149" t="s">
        <v>1568</v>
      </c>
      <c r="D93" s="1063" t="s">
        <v>1569</v>
      </c>
      <c r="E93" s="1134">
        <v>0.2</v>
      </c>
      <c r="F93" s="1149">
        <v>30</v>
      </c>
    </row>
    <row r="94" spans="1:6" s="1100" customFormat="1" ht="48">
      <c r="A94" s="1149">
        <v>34</v>
      </c>
      <c r="B94" s="3487"/>
      <c r="C94" s="1149" t="s">
        <v>1570</v>
      </c>
      <c r="D94" s="1063" t="s">
        <v>1571</v>
      </c>
      <c r="E94" s="1134">
        <v>0.2</v>
      </c>
      <c r="F94" s="1149">
        <v>30</v>
      </c>
    </row>
    <row r="95" spans="1:6" s="1100" customFormat="1" ht="36">
      <c r="A95" s="1149">
        <v>35</v>
      </c>
      <c r="B95" s="3487"/>
      <c r="C95" s="1149" t="s">
        <v>1572</v>
      </c>
      <c r="D95" s="1063" t="s">
        <v>1573</v>
      </c>
      <c r="E95" s="1134">
        <v>0.2</v>
      </c>
      <c r="F95" s="1149">
        <v>30</v>
      </c>
    </row>
    <row r="96" spans="1:6" s="1100" customFormat="1" ht="48">
      <c r="A96" s="1149">
        <v>36</v>
      </c>
      <c r="B96" s="3487"/>
      <c r="C96" s="1063" t="s">
        <v>1574</v>
      </c>
      <c r="D96" s="1063" t="s">
        <v>1575</v>
      </c>
      <c r="E96" s="1134">
        <v>0.2</v>
      </c>
      <c r="F96" s="1149">
        <v>30</v>
      </c>
    </row>
    <row r="97" spans="1:6" s="1100" customFormat="1" ht="36">
      <c r="A97" s="1149">
        <v>37</v>
      </c>
      <c r="B97" s="3487"/>
      <c r="C97" s="1149" t="s">
        <v>1576</v>
      </c>
      <c r="D97" s="1063" t="s">
        <v>1577</v>
      </c>
      <c r="E97" s="1134">
        <v>0.2</v>
      </c>
      <c r="F97" s="1149">
        <v>30</v>
      </c>
    </row>
    <row r="98" spans="1:6" s="1100" customFormat="1" ht="36">
      <c r="A98" s="1149">
        <v>38</v>
      </c>
      <c r="B98" s="3487"/>
      <c r="C98" s="1149" t="s">
        <v>1578</v>
      </c>
      <c r="D98" s="1063" t="s">
        <v>1579</v>
      </c>
      <c r="E98" s="1134">
        <v>0.2</v>
      </c>
      <c r="F98" s="1149">
        <v>30</v>
      </c>
    </row>
    <row r="99" spans="1:6" s="1100" customFormat="1" ht="36">
      <c r="A99" s="1149">
        <v>39</v>
      </c>
      <c r="B99" s="3487" t="s">
        <v>1580</v>
      </c>
      <c r="C99" s="1149" t="s">
        <v>1581</v>
      </c>
      <c r="D99" s="1063" t="s">
        <v>1582</v>
      </c>
      <c r="E99" s="1134">
        <v>0.3</v>
      </c>
      <c r="F99" s="1149">
        <v>50</v>
      </c>
    </row>
    <row r="100" spans="1:6" s="1100" customFormat="1" ht="24">
      <c r="A100" s="1149">
        <v>40</v>
      </c>
      <c r="B100" s="3487"/>
      <c r="C100" s="1149" t="s">
        <v>1583</v>
      </c>
      <c r="D100" s="1063" t="s">
        <v>1584</v>
      </c>
      <c r="E100" s="1134">
        <v>0.2</v>
      </c>
      <c r="F100" s="1149">
        <v>30</v>
      </c>
    </row>
    <row r="101" spans="1:6" s="1100" customFormat="1" ht="36">
      <c r="A101" s="1149">
        <v>41</v>
      </c>
      <c r="B101" s="348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87" t="s">
        <v>1595</v>
      </c>
      <c r="C105" s="1149" t="s">
        <v>1596</v>
      </c>
      <c r="D105" s="1063" t="s">
        <v>1597</v>
      </c>
      <c r="E105" s="1134">
        <v>0.2</v>
      </c>
      <c r="F105" s="1149">
        <v>30</v>
      </c>
    </row>
    <row r="106" spans="1:6" s="1100" customFormat="1" ht="36">
      <c r="A106" s="1149">
        <v>46</v>
      </c>
      <c r="B106" s="3487"/>
      <c r="C106" s="1149" t="s">
        <v>1598</v>
      </c>
      <c r="D106" s="1063" t="s">
        <v>1599</v>
      </c>
      <c r="E106" s="1134">
        <v>0.2</v>
      </c>
      <c r="F106" s="1149">
        <v>30</v>
      </c>
    </row>
    <row r="107" spans="1:6" s="1100" customFormat="1" ht="36">
      <c r="A107" s="1149">
        <v>47</v>
      </c>
      <c r="B107" s="3487" t="s">
        <v>1600</v>
      </c>
      <c r="C107" s="1149" t="s">
        <v>1601</v>
      </c>
      <c r="D107" s="1063" t="s">
        <v>1602</v>
      </c>
      <c r="E107" s="1134">
        <v>0.3</v>
      </c>
      <c r="F107" s="1149">
        <v>50</v>
      </c>
    </row>
    <row r="108" spans="1:6" s="1100" customFormat="1" ht="36">
      <c r="A108" s="1149">
        <v>48</v>
      </c>
      <c r="B108" s="348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87" t="s">
        <v>1611</v>
      </c>
      <c r="C111" s="1149" t="s">
        <v>1612</v>
      </c>
      <c r="D111" s="1063" t="s">
        <v>1613</v>
      </c>
      <c r="E111" s="1134">
        <v>0.2</v>
      </c>
      <c r="F111" s="1149">
        <v>30</v>
      </c>
    </row>
    <row r="112" spans="1:6" s="1100" customFormat="1" ht="24">
      <c r="A112" s="1149">
        <v>52</v>
      </c>
      <c r="B112" s="3487"/>
      <c r="C112" s="1149" t="s">
        <v>1614</v>
      </c>
      <c r="D112" s="1063" t="s">
        <v>1615</v>
      </c>
      <c r="E112" s="1134">
        <v>0.2</v>
      </c>
      <c r="F112" s="1149">
        <v>30</v>
      </c>
    </row>
    <row r="113" spans="1:14" s="1100" customFormat="1" ht="24">
      <c r="A113" s="1149">
        <v>53</v>
      </c>
      <c r="B113" s="348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87" t="s">
        <v>1624</v>
      </c>
      <c r="C116" s="1149" t="s">
        <v>1625</v>
      </c>
      <c r="D116" s="1063" t="s">
        <v>1626</v>
      </c>
      <c r="E116" s="1134">
        <v>0.2</v>
      </c>
      <c r="F116" s="1149">
        <v>30</v>
      </c>
    </row>
    <row r="117" spans="1:14" ht="36">
      <c r="A117" s="1149">
        <v>57</v>
      </c>
      <c r="B117" s="348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86" t="s">
        <v>1633</v>
      </c>
      <c r="B121" s="3486"/>
      <c r="C121" s="3486"/>
      <c r="D121" s="3486"/>
      <c r="E121" s="3486"/>
      <c r="F121" s="3486"/>
      <c r="G121" s="3486"/>
      <c r="H121" s="3486"/>
      <c r="I121" s="3486"/>
      <c r="J121" s="348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1" t="s">
        <v>1039</v>
      </c>
      <c r="B1" s="3491"/>
      <c r="C1" s="3491"/>
      <c r="D1" s="3491"/>
      <c r="E1" s="3491"/>
      <c r="F1" s="349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92" t="s">
        <v>1052</v>
      </c>
      <c r="B2" s="3492"/>
      <c r="C2" s="3492"/>
      <c r="D2" s="3492"/>
      <c r="E2" s="3492"/>
      <c r="F2" s="349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9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9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730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1.2383999999999999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5" t="s">
        <v>2079</v>
      </c>
      <c r="B1" s="349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03" t="s">
        <v>2576</v>
      </c>
      <c r="C1" s="3503"/>
      <c r="D1" s="3503"/>
      <c r="E1" s="3503"/>
      <c r="F1" s="3503"/>
      <c r="G1" s="3502" t="s">
        <v>2577</v>
      </c>
      <c r="H1" s="3502"/>
      <c r="I1" s="3502"/>
      <c r="J1" s="3502"/>
      <c r="K1" s="3502"/>
      <c r="L1" s="3502"/>
      <c r="N1" s="3502" t="s">
        <v>2578</v>
      </c>
      <c r="O1" s="3502"/>
      <c r="P1" s="3502"/>
      <c r="Q1" s="3502"/>
      <c r="R1" s="2615"/>
      <c r="S1" s="3502" t="s">
        <v>2579</v>
      </c>
      <c r="T1" s="3502"/>
      <c r="U1" s="3502"/>
      <c r="V1" s="3502"/>
      <c r="X1" s="3501" t="s">
        <v>2639</v>
      </c>
      <c r="Y1" s="3502"/>
      <c r="Z1" s="3502"/>
      <c r="AA1" s="3502"/>
      <c r="AB1" s="3502"/>
      <c r="AD1" s="3501" t="s">
        <v>2643</v>
      </c>
      <c r="AE1" s="3502"/>
      <c r="AF1" s="3502"/>
      <c r="AG1" s="3502"/>
      <c r="AH1" s="3502"/>
    </row>
    <row r="2" spans="1:34" s="2716" customFormat="1" ht="14.25" thickBot="1">
      <c r="B2" s="2724" t="s">
        <v>2580</v>
      </c>
      <c r="C2" s="2724" t="s">
        <v>2641</v>
      </c>
      <c r="D2" s="2717" t="s">
        <v>1644</v>
      </c>
      <c r="E2" s="2717" t="s">
        <v>1949</v>
      </c>
      <c r="F2" s="2724" t="s">
        <v>2642</v>
      </c>
      <c r="G2" s="2720"/>
      <c r="H2" s="2719"/>
      <c r="I2" s="2724" t="s">
        <v>2956</v>
      </c>
      <c r="J2" s="2717" t="s">
        <v>2958</v>
      </c>
      <c r="K2" s="2717" t="s">
        <v>2959</v>
      </c>
      <c r="L2" s="2724" t="s">
        <v>2960</v>
      </c>
      <c r="N2" s="2724" t="s">
        <v>2580</v>
      </c>
      <c r="O2" s="2717" t="s">
        <v>2957</v>
      </c>
      <c r="P2" s="2717" t="s">
        <v>1949</v>
      </c>
      <c r="Q2" s="2724" t="s">
        <v>2642</v>
      </c>
      <c r="R2" s="2718"/>
      <c r="S2" s="2724" t="s">
        <v>2580</v>
      </c>
      <c r="T2" s="2717" t="s">
        <v>2957</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25">
      <c r="A3" s="3092" t="s">
        <v>2969</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5" thickBot="1">
      <c r="A5" s="3062" t="s">
        <v>2992</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3">
        <v>2</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2970</v>
      </c>
      <c r="X5" s="3067">
        <f>ROUND(IF(项目基本情况!B8="出让",SUMPRODUCT(PRODUCT(1+N5:N$26)),SUMPRODUCT(PRODUCT(1+N5:N$25))),4)</f>
        <v>1.5641</v>
      </c>
      <c r="Y5" s="3067">
        <f>ROUND(IF(项目基本情况!B8="出让",SUMPRODUCT(PRODUCT(1+O5:O$26)),SUMPRODUCT(PRODUCT(1+O5:O$25))),4)</f>
        <v>1.3736999999999999</v>
      </c>
      <c r="Z5" s="3067">
        <f t="shared" ref="Z5" si="11">Y5</f>
        <v>1.3736999999999999</v>
      </c>
      <c r="AA5" s="3067">
        <f>ROUND(IF(项目基本情况!B8="出让",SUMPRODUCT(PRODUCT(1+P5:P$26)),SUMPRODUCT(PRODUCT(1+P5:P$25))),4)</f>
        <v>1.6298999999999999</v>
      </c>
      <c r="AB5" s="3067">
        <f>ROUND(IF(项目基本情况!B8="出让",SUMPRODUCT(PRODUCT(1+Q5:Q$26)),SUMPRODUCT(PRODUCT(1+Q5:Q$25))),4)</f>
        <v>1.3588</v>
      </c>
      <c r="AD5" s="3068">
        <f>ROUND(AVERAGE(I5:I$26)/100,4)</f>
        <v>2.06E-2</v>
      </c>
      <c r="AE5" s="3068">
        <f>ROUND(AVERAGE(J5:J$26)/100,4)</f>
        <v>1.46E-2</v>
      </c>
      <c r="AF5" s="3068">
        <f t="shared" ref="AF5" si="12">AE5</f>
        <v>1.46E-2</v>
      </c>
      <c r="AG5" s="3068">
        <f>ROUND(AVERAGE(K5:K$26)/100,4)</f>
        <v>2.2599999999999999E-2</v>
      </c>
      <c r="AH5" s="3068">
        <f>ROUND(AVERAGE(L5:L$26)/100,4)</f>
        <v>1.4E-2</v>
      </c>
    </row>
    <row r="6" spans="1:34" s="2721" customFormat="1" ht="13.5" thickBot="1">
      <c r="A6" s="2616" t="s">
        <v>2993</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6">
        <v>0.6</v>
      </c>
      <c r="J6" s="3146">
        <v>0.37</v>
      </c>
      <c r="K6" s="3146">
        <v>0.63</v>
      </c>
      <c r="L6" s="3147">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1.5641</v>
      </c>
      <c r="Y6" s="2714">
        <f>ROUND(IF(项目基本情况!B8="出让",SUMPRODUCT(PRODUCT(1+O6:O$26)),SUMPRODUCT(PRODUCT(1+O6:O$25))),4)</f>
        <v>1.3736999999999999</v>
      </c>
      <c r="Z6" s="2714">
        <f t="shared" ref="Z6" si="21">Y6</f>
        <v>1.3736999999999999</v>
      </c>
      <c r="AA6" s="2714">
        <f>ROUND(IF(项目基本情况!B8="出让",SUMPRODUCT(PRODUCT(1+P6:P$26)),SUMPRODUCT(PRODUCT(1+P6:P$25))),4)</f>
        <v>1.6298999999999999</v>
      </c>
      <c r="AB6" s="2714">
        <f>ROUND(IF(项目基本情况!B8="出让",SUMPRODUCT(PRODUCT(1+Q6:Q$26)),SUMPRODUCT(PRODUCT(1+Q6:Q$25))),4)</f>
        <v>1.3588</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2989</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97">
        <v>2018</v>
      </c>
      <c r="H7" s="2619">
        <v>4</v>
      </c>
      <c r="I7" s="3146">
        <v>0.96</v>
      </c>
      <c r="J7" s="3146">
        <v>1.03</v>
      </c>
      <c r="K7" s="3146">
        <v>0.92</v>
      </c>
      <c r="L7" s="3147">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2979</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97"/>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2980</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97"/>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2976</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98"/>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2967</v>
      </c>
      <c r="B11" s="3094">
        <v>439</v>
      </c>
      <c r="C11" s="3094">
        <v>327</v>
      </c>
      <c r="D11" s="3094">
        <f t="shared" si="54"/>
        <v>327</v>
      </c>
      <c r="E11" s="3094">
        <v>627</v>
      </c>
      <c r="F11" s="3095">
        <v>283</v>
      </c>
      <c r="G11" s="3496">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2971</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97"/>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2581</v>
      </c>
      <c r="B13" s="2629">
        <f t="shared" si="66"/>
        <v>419.31181600000002</v>
      </c>
      <c r="C13" s="2629">
        <f t="shared" si="66"/>
        <v>313.95436800000004</v>
      </c>
      <c r="D13" s="2629">
        <f t="shared" si="54"/>
        <v>313.95436800000004</v>
      </c>
      <c r="E13" s="2629">
        <f t="shared" si="67"/>
        <v>596.63028431999999</v>
      </c>
      <c r="F13" s="2629">
        <f t="shared" si="67"/>
        <v>274.74220703999998</v>
      </c>
      <c r="G13" s="3497"/>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2582</v>
      </c>
      <c r="B14" s="2629">
        <f t="shared" si="66"/>
        <v>405.524</v>
      </c>
      <c r="C14" s="2629">
        <f t="shared" si="66"/>
        <v>307.79840000000002</v>
      </c>
      <c r="D14" s="2629">
        <f t="shared" si="54"/>
        <v>307.79840000000002</v>
      </c>
      <c r="E14" s="2629">
        <f t="shared" si="67"/>
        <v>574.67759999999998</v>
      </c>
      <c r="F14" s="2629">
        <f t="shared" si="67"/>
        <v>270.20280000000002</v>
      </c>
      <c r="G14" s="3498"/>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496">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97"/>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497"/>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500"/>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499">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97"/>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497"/>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500"/>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499">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97"/>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497"/>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500"/>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2640</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2583</v>
      </c>
      <c r="B27" s="2621">
        <v>299</v>
      </c>
      <c r="C27" s="2621">
        <v>252</v>
      </c>
      <c r="D27" s="2621">
        <f t="shared" si="76"/>
        <v>252</v>
      </c>
      <c r="E27" s="2621">
        <v>409</v>
      </c>
      <c r="F27" s="2622">
        <v>227</v>
      </c>
      <c r="G27" s="3504">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2584</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505"/>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2585</v>
      </c>
      <c r="B29" s="2629">
        <f t="shared" si="85"/>
        <v>288.2649053828776</v>
      </c>
      <c r="C29" s="2629">
        <f t="shared" si="85"/>
        <v>243.64564425013293</v>
      </c>
      <c r="D29" s="2629">
        <f t="shared" si="76"/>
        <v>243.64564425013293</v>
      </c>
      <c r="E29" s="2629">
        <f t="shared" si="86"/>
        <v>393.31080825986544</v>
      </c>
      <c r="F29" s="2629">
        <f t="shared" si="86"/>
        <v>223.07903790551154</v>
      </c>
      <c r="G29" s="3505"/>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2586</v>
      </c>
      <c r="B30" s="2629">
        <f t="shared" si="85"/>
        <v>282.50186729015837</v>
      </c>
      <c r="C30" s="2629">
        <f t="shared" si="85"/>
        <v>238.09796174155468</v>
      </c>
      <c r="D30" s="2629">
        <f t="shared" si="76"/>
        <v>238.09796174155468</v>
      </c>
      <c r="E30" s="2629">
        <f t="shared" si="86"/>
        <v>385.33438646014054</v>
      </c>
      <c r="F30" s="2629">
        <f t="shared" si="86"/>
        <v>221.55034055567739</v>
      </c>
      <c r="G30" s="3506"/>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2587</v>
      </c>
      <c r="B31" s="2659">
        <v>278</v>
      </c>
      <c r="C31" s="2659">
        <v>234</v>
      </c>
      <c r="D31" s="2659">
        <f t="shared" si="76"/>
        <v>234</v>
      </c>
      <c r="E31" s="2659">
        <v>379</v>
      </c>
      <c r="F31" s="2660">
        <v>220</v>
      </c>
      <c r="G31" s="3499">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2588</v>
      </c>
      <c r="B32" s="2629">
        <f>B31/(1+N31)</f>
        <v>275.49301357645425</v>
      </c>
      <c r="C32" s="2629">
        <f>C31/(1+O31)</f>
        <v>232.41954707985698</v>
      </c>
      <c r="D32" s="2629">
        <f t="shared" si="76"/>
        <v>232.41954707985698</v>
      </c>
      <c r="E32" s="2629">
        <f t="shared" ref="E32:F34" si="87">E31/(1+P31)</f>
        <v>375.32184591008121</v>
      </c>
      <c r="F32" s="2629">
        <f t="shared" si="87"/>
        <v>218.03766105054513</v>
      </c>
      <c r="G32" s="3497"/>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2589</v>
      </c>
      <c r="B33" s="2629">
        <f>B32/(1+N32)</f>
        <v>275.24529281292263</v>
      </c>
      <c r="C33" s="2629">
        <f>C32/(1+O32)</f>
        <v>231.74747938962707</v>
      </c>
      <c r="D33" s="2629">
        <f t="shared" si="76"/>
        <v>231.74747938962707</v>
      </c>
      <c r="E33" s="2629">
        <f t="shared" si="87"/>
        <v>375.35938184826603</v>
      </c>
      <c r="F33" s="2629">
        <f t="shared" si="87"/>
        <v>216.78033510692495</v>
      </c>
      <c r="G33" s="3497"/>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2590</v>
      </c>
      <c r="B34" s="2629">
        <f>B33/(1+N33)</f>
        <v>275.19025476197027</v>
      </c>
      <c r="C34" s="2661">
        <v>232</v>
      </c>
      <c r="D34" s="2661">
        <f t="shared" si="76"/>
        <v>232</v>
      </c>
      <c r="E34" s="2629">
        <f t="shared" si="87"/>
        <v>375.65990977608692</v>
      </c>
      <c r="F34" s="2629">
        <f t="shared" si="87"/>
        <v>214.12518283971252</v>
      </c>
      <c r="G34" s="3500"/>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2591</v>
      </c>
      <c r="B35" s="2621">
        <v>275</v>
      </c>
      <c r="C35" s="2621">
        <v>232</v>
      </c>
      <c r="D35" s="2621">
        <f t="shared" si="76"/>
        <v>232</v>
      </c>
      <c r="E35" s="2621">
        <v>376</v>
      </c>
      <c r="F35" s="2622">
        <v>213</v>
      </c>
      <c r="G35" s="3499">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2592</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97">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2593</v>
      </c>
      <c r="B37" s="2629">
        <f t="shared" si="88"/>
        <v>275.19335084830601</v>
      </c>
      <c r="C37" s="2629">
        <f t="shared" si="88"/>
        <v>230.18088050139744</v>
      </c>
      <c r="D37" s="2629">
        <f t="shared" si="76"/>
        <v>230.18088050139744</v>
      </c>
      <c r="E37" s="2629">
        <f t="shared" si="89"/>
        <v>377.58482925212331</v>
      </c>
      <c r="F37" s="2629">
        <f t="shared" si="89"/>
        <v>210.90687997847917</v>
      </c>
      <c r="G37" s="3497">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2594</v>
      </c>
      <c r="B38" s="2629">
        <f t="shared" si="88"/>
        <v>276.29854502841971</v>
      </c>
      <c r="C38" s="2629">
        <f t="shared" si="88"/>
        <v>229.79023709833027</v>
      </c>
      <c r="D38" s="2629">
        <f t="shared" si="76"/>
        <v>229.79023709833027</v>
      </c>
      <c r="E38" s="2629">
        <f t="shared" si="89"/>
        <v>379.78759731655936</v>
      </c>
      <c r="F38" s="2629">
        <f t="shared" si="89"/>
        <v>211.32953905659235</v>
      </c>
      <c r="G38" s="3500">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2595</v>
      </c>
      <c r="B39" s="2621">
        <v>269</v>
      </c>
      <c r="C39" s="2621">
        <v>221</v>
      </c>
      <c r="D39" s="2621">
        <f t="shared" si="76"/>
        <v>221</v>
      </c>
      <c r="E39" s="2621">
        <v>373</v>
      </c>
      <c r="F39" s="2622">
        <v>196</v>
      </c>
      <c r="G39" s="3499">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2596</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97">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2597</v>
      </c>
      <c r="B41" s="2629">
        <f t="shared" si="90"/>
        <v>242.95398227588385</v>
      </c>
      <c r="C41" s="2629">
        <f t="shared" si="90"/>
        <v>199.59137053614126</v>
      </c>
      <c r="D41" s="2629">
        <f t="shared" si="76"/>
        <v>199.59137053614126</v>
      </c>
      <c r="E41" s="2629">
        <f t="shared" si="91"/>
        <v>335.92189522342125</v>
      </c>
      <c r="F41" s="2629">
        <f t="shared" si="91"/>
        <v>183.10139991109489</v>
      </c>
      <c r="G41" s="3497">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2598</v>
      </c>
      <c r="B42" s="2629">
        <f t="shared" si="90"/>
        <v>232.06990378821649</v>
      </c>
      <c r="C42" s="2629">
        <f t="shared" si="90"/>
        <v>192.74878854286936</v>
      </c>
      <c r="D42" s="2629">
        <f t="shared" si="76"/>
        <v>192.74878854286936</v>
      </c>
      <c r="E42" s="2629">
        <f t="shared" si="91"/>
        <v>319.71247284992984</v>
      </c>
      <c r="F42" s="2629">
        <f t="shared" si="91"/>
        <v>175.67053622862409</v>
      </c>
      <c r="G42" s="3500">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2599</v>
      </c>
      <c r="B43" s="2621">
        <v>220</v>
      </c>
      <c r="C43" s="2621">
        <v>187</v>
      </c>
      <c r="D43" s="2621">
        <f t="shared" si="76"/>
        <v>187</v>
      </c>
      <c r="E43" s="2621">
        <v>301</v>
      </c>
      <c r="F43" s="2622">
        <v>168</v>
      </c>
      <c r="G43" s="3499">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2600</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97">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2601</v>
      </c>
      <c r="B45" s="2629">
        <f t="shared" si="92"/>
        <v>210.630522469011</v>
      </c>
      <c r="C45" s="2629">
        <f t="shared" si="92"/>
        <v>181.69567812247232</v>
      </c>
      <c r="D45" s="2629">
        <f t="shared" si="76"/>
        <v>181.69567812247232</v>
      </c>
      <c r="E45" s="2629">
        <f t="shared" si="93"/>
        <v>286.13517466736738</v>
      </c>
      <c r="F45" s="2629">
        <f t="shared" si="93"/>
        <v>165.47535084591149</v>
      </c>
      <c r="G45" s="3497">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2602</v>
      </c>
      <c r="B46" s="2629">
        <f t="shared" si="92"/>
        <v>208.83454537875372</v>
      </c>
      <c r="C46" s="2629">
        <f t="shared" si="92"/>
        <v>183.77230517090351</v>
      </c>
      <c r="D46" s="2629">
        <f t="shared" si="76"/>
        <v>183.77230517090351</v>
      </c>
      <c r="E46" s="2629">
        <f t="shared" si="93"/>
        <v>281.10342338870947</v>
      </c>
      <c r="F46" s="2629">
        <f t="shared" si="93"/>
        <v>168.97309388942256</v>
      </c>
      <c r="G46" s="3500">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2603</v>
      </c>
      <c r="B47" s="2659">
        <v>214</v>
      </c>
      <c r="C47" s="2659">
        <v>188</v>
      </c>
      <c r="D47" s="2659">
        <f t="shared" si="76"/>
        <v>188</v>
      </c>
      <c r="E47" s="2659">
        <v>289</v>
      </c>
      <c r="F47" s="2660">
        <v>166</v>
      </c>
      <c r="G47" s="3499">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2604</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97">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2605</v>
      </c>
      <c r="B49" s="2629">
        <f t="shared" si="94"/>
        <v>206.31694671589116</v>
      </c>
      <c r="C49" s="2629">
        <f t="shared" si="94"/>
        <v>183.61041121036101</v>
      </c>
      <c r="D49" s="2629">
        <f t="shared" si="76"/>
        <v>183.61041121036101</v>
      </c>
      <c r="E49" s="2629">
        <f t="shared" si="95"/>
        <v>276.66850301795557</v>
      </c>
      <c r="F49" s="2629">
        <f t="shared" si="95"/>
        <v>165.1360938278614</v>
      </c>
      <c r="G49" s="3497">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2606</v>
      </c>
      <c r="B50" s="2662">
        <f t="shared" si="94"/>
        <v>196.62341248059772</v>
      </c>
      <c r="C50" s="2662">
        <f t="shared" si="94"/>
        <v>170.99125648199012</v>
      </c>
      <c r="D50" s="2662">
        <f t="shared" si="76"/>
        <v>170.99125648199012</v>
      </c>
      <c r="E50" s="2662">
        <f t="shared" si="95"/>
        <v>266.07857570490052</v>
      </c>
      <c r="F50" s="2662">
        <f t="shared" si="95"/>
        <v>154.53499328828505</v>
      </c>
      <c r="G50" s="3500">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2607</v>
      </c>
      <c r="B51" s="2621">
        <v>188</v>
      </c>
      <c r="C51" s="2621">
        <v>165</v>
      </c>
      <c r="D51" s="2621">
        <f t="shared" si="76"/>
        <v>165</v>
      </c>
      <c r="E51" s="2621">
        <v>254</v>
      </c>
      <c r="F51" s="2622">
        <v>148</v>
      </c>
      <c r="G51" s="3499">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2608</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97">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2609</v>
      </c>
      <c r="B53" s="2629">
        <f t="shared" si="98"/>
        <v>168.82017748715555</v>
      </c>
      <c r="C53" s="2629">
        <f t="shared" si="98"/>
        <v>148.06267029972753</v>
      </c>
      <c r="D53" s="2629">
        <f t="shared" si="76"/>
        <v>148.06267029972753</v>
      </c>
      <c r="E53" s="2629">
        <f t="shared" si="99"/>
        <v>216.46288379323747</v>
      </c>
      <c r="F53" s="2629">
        <f t="shared" si="99"/>
        <v>134.23529411764704</v>
      </c>
      <c r="G53" s="3497">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2610</v>
      </c>
      <c r="B54" s="2629">
        <f t="shared" si="98"/>
        <v>163.84913591779542</v>
      </c>
      <c r="C54" s="2629">
        <f t="shared" si="98"/>
        <v>145.0283378746594</v>
      </c>
      <c r="D54" s="2629">
        <f t="shared" si="76"/>
        <v>145.0283378746594</v>
      </c>
      <c r="E54" s="2629">
        <f t="shared" si="99"/>
        <v>204.95180722891567</v>
      </c>
      <c r="F54" s="2629">
        <f t="shared" si="99"/>
        <v>125.95920303605313</v>
      </c>
      <c r="G54" s="3500">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2611</v>
      </c>
      <c r="B55" s="2643">
        <v>159</v>
      </c>
      <c r="C55" s="2643">
        <v>141</v>
      </c>
      <c r="D55" s="2643">
        <f t="shared" si="76"/>
        <v>141</v>
      </c>
      <c r="E55" s="2643">
        <v>195</v>
      </c>
      <c r="F55" s="2644">
        <v>122</v>
      </c>
      <c r="G55" s="3499">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2612</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97">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2613</v>
      </c>
      <c r="B57" s="2629">
        <f t="shared" si="102"/>
        <v>146.57412060301507</v>
      </c>
      <c r="C57" s="2629">
        <f t="shared" si="102"/>
        <v>136.46831955922866</v>
      </c>
      <c r="D57" s="2629">
        <f t="shared" si="76"/>
        <v>136.46831955922866</v>
      </c>
      <c r="E57" s="2629">
        <f t="shared" si="103"/>
        <v>166.73864894795128</v>
      </c>
      <c r="F57" s="2629">
        <f t="shared" si="103"/>
        <v>115.05882352941177</v>
      </c>
      <c r="G57" s="3497">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2614</v>
      </c>
      <c r="B58" s="2629">
        <f t="shared" si="102"/>
        <v>144.04145728643215</v>
      </c>
      <c r="C58" s="2629">
        <f t="shared" si="102"/>
        <v>136.12396694214877</v>
      </c>
      <c r="D58" s="2629">
        <f t="shared" si="76"/>
        <v>136.12396694214877</v>
      </c>
      <c r="E58" s="2629">
        <f t="shared" si="103"/>
        <v>158.32225913621264</v>
      </c>
      <c r="F58" s="2629">
        <f t="shared" si="103"/>
        <v>114.04278074866311</v>
      </c>
      <c r="G58" s="3500">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2615</v>
      </c>
      <c r="B59" s="2643">
        <v>138</v>
      </c>
      <c r="C59" s="2643">
        <v>131</v>
      </c>
      <c r="D59" s="2643">
        <f t="shared" si="76"/>
        <v>131</v>
      </c>
      <c r="E59" s="2643">
        <v>155</v>
      </c>
      <c r="F59" s="2644">
        <v>114</v>
      </c>
      <c r="G59" s="3499">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2616</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97">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2617</v>
      </c>
      <c r="B61" s="2629">
        <f t="shared" si="106"/>
        <v>124.29032258064517</v>
      </c>
      <c r="C61" s="2629">
        <f t="shared" si="106"/>
        <v>123.8968609865471</v>
      </c>
      <c r="D61" s="2629">
        <f t="shared" si="76"/>
        <v>123.8968609865471</v>
      </c>
      <c r="E61" s="2629">
        <f t="shared" si="107"/>
        <v>138.00507614213197</v>
      </c>
      <c r="F61" s="2629">
        <f t="shared" si="107"/>
        <v>107.96106557377048</v>
      </c>
      <c r="G61" s="3497">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2618</v>
      </c>
      <c r="B62" s="2629">
        <f t="shared" si="106"/>
        <v>122.57204301075269</v>
      </c>
      <c r="C62" s="2629">
        <f t="shared" si="106"/>
        <v>123.4932735426009</v>
      </c>
      <c r="D62" s="2629">
        <f t="shared" si="76"/>
        <v>123.4932735426009</v>
      </c>
      <c r="E62" s="2629">
        <f t="shared" si="107"/>
        <v>129.82233502538071</v>
      </c>
      <c r="F62" s="2629">
        <f t="shared" si="107"/>
        <v>107.39446721311475</v>
      </c>
      <c r="G62" s="3500">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2619</v>
      </c>
      <c r="B63" s="2659">
        <v>121</v>
      </c>
      <c r="C63" s="2659">
        <v>122</v>
      </c>
      <c r="D63" s="2659">
        <f t="shared" si="76"/>
        <v>122</v>
      </c>
      <c r="E63" s="2659">
        <v>124</v>
      </c>
      <c r="F63" s="2660">
        <v>107</v>
      </c>
      <c r="G63" s="3499">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2620</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97">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2621</v>
      </c>
      <c r="B65" s="2629">
        <f t="shared" si="110"/>
        <v>116.99099099099099</v>
      </c>
      <c r="C65" s="2629">
        <f t="shared" si="110"/>
        <v>118.84848484848486</v>
      </c>
      <c r="D65" s="2629">
        <f t="shared" si="76"/>
        <v>118.84848484848486</v>
      </c>
      <c r="E65" s="2629">
        <f t="shared" si="111"/>
        <v>117.60960960960961</v>
      </c>
      <c r="F65" s="2629">
        <f t="shared" si="111"/>
        <v>104</v>
      </c>
      <c r="G65" s="3497">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2622</v>
      </c>
      <c r="B66" s="2662">
        <f t="shared" si="110"/>
        <v>112.48648648648648</v>
      </c>
      <c r="C66" s="2662">
        <f t="shared" si="110"/>
        <v>115.21212121212122</v>
      </c>
      <c r="D66" s="2662">
        <f t="shared" si="76"/>
        <v>115.21212121212122</v>
      </c>
      <c r="E66" s="2662">
        <f t="shared" si="111"/>
        <v>110.4024024024024</v>
      </c>
      <c r="F66" s="2662">
        <f t="shared" si="111"/>
        <v>104</v>
      </c>
      <c r="G66" s="3500">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2623</v>
      </c>
      <c r="B67" s="2680">
        <v>111</v>
      </c>
      <c r="C67" s="2680">
        <v>114</v>
      </c>
      <c r="D67" s="2680">
        <f t="shared" si="76"/>
        <v>114</v>
      </c>
      <c r="E67" s="2680">
        <v>108</v>
      </c>
      <c r="F67" s="2681">
        <v>104</v>
      </c>
      <c r="G67" s="3499">
        <v>2003</v>
      </c>
      <c r="H67" s="2670">
        <v>4</v>
      </c>
      <c r="I67" s="2682"/>
      <c r="J67" s="2682"/>
      <c r="K67" s="2682"/>
      <c r="L67" s="2682"/>
      <c r="N67" s="2683"/>
      <c r="O67" s="2682"/>
      <c r="P67" s="2682"/>
      <c r="Q67" s="2682"/>
      <c r="S67" s="2683"/>
      <c r="T67" s="2682"/>
      <c r="U67" s="2682"/>
      <c r="V67" s="2682"/>
      <c r="X67" s="2674"/>
      <c r="Y67" s="2674"/>
      <c r="Z67" s="2674"/>
    </row>
    <row r="68" spans="1:26">
      <c r="A68" s="2616" t="s">
        <v>2624</v>
      </c>
      <c r="B68" s="2684">
        <f t="shared" ref="B68:C70" si="112">B69+(B$67-B$71)/4</f>
        <v>109.75</v>
      </c>
      <c r="C68" s="2684">
        <f t="shared" si="112"/>
        <v>112.25</v>
      </c>
      <c r="D68" s="2684">
        <f t="shared" si="76"/>
        <v>112.25</v>
      </c>
      <c r="E68" s="2684">
        <f t="shared" ref="E68:F70" si="113">E69+(E$67-E$71)/4</f>
        <v>107.25</v>
      </c>
      <c r="F68" s="2684">
        <f t="shared" si="113"/>
        <v>103.5</v>
      </c>
      <c r="G68" s="3497">
        <v>2003</v>
      </c>
      <c r="H68" s="2640">
        <v>3</v>
      </c>
      <c r="I68" s="2682"/>
      <c r="J68" s="2682"/>
      <c r="K68" s="2682"/>
      <c r="L68" s="2682"/>
      <c r="X68" s="2674"/>
      <c r="Y68" s="2674"/>
      <c r="Z68" s="2674"/>
    </row>
    <row r="69" spans="1:26">
      <c r="A69" s="2616" t="s">
        <v>2625</v>
      </c>
      <c r="B69" s="2684">
        <f t="shared" si="112"/>
        <v>108.5</v>
      </c>
      <c r="C69" s="2684">
        <f t="shared" si="112"/>
        <v>110.5</v>
      </c>
      <c r="D69" s="2684">
        <f t="shared" si="76"/>
        <v>110.5</v>
      </c>
      <c r="E69" s="2684">
        <f t="shared" si="113"/>
        <v>106.5</v>
      </c>
      <c r="F69" s="2684">
        <f t="shared" si="113"/>
        <v>103</v>
      </c>
      <c r="G69" s="3497">
        <v>2003</v>
      </c>
      <c r="H69" s="2620">
        <v>2</v>
      </c>
      <c r="I69" s="2682"/>
      <c r="J69" s="2682"/>
      <c r="K69" s="2682"/>
      <c r="L69" s="2682"/>
      <c r="X69" s="2674"/>
      <c r="Y69" s="2674"/>
      <c r="Z69" s="2674"/>
    </row>
    <row r="70" spans="1:26" ht="13.5" thickBot="1">
      <c r="A70" s="2616" t="s">
        <v>2626</v>
      </c>
      <c r="B70" s="2684">
        <f t="shared" si="112"/>
        <v>107.25</v>
      </c>
      <c r="C70" s="2684">
        <f t="shared" si="112"/>
        <v>108.75</v>
      </c>
      <c r="D70" s="2684">
        <f t="shared" si="76"/>
        <v>108.75</v>
      </c>
      <c r="E70" s="2684">
        <f t="shared" si="113"/>
        <v>105.75</v>
      </c>
      <c r="F70" s="2684">
        <f t="shared" si="113"/>
        <v>102.5</v>
      </c>
      <c r="G70" s="3500">
        <v>2003</v>
      </c>
      <c r="H70" s="2685">
        <v>1</v>
      </c>
      <c r="I70" s="2682"/>
      <c r="J70" s="2682"/>
      <c r="K70" s="2682"/>
      <c r="L70" s="2682"/>
      <c r="S70" s="2624"/>
      <c r="T70" s="2625"/>
      <c r="U70" s="2625"/>
      <c r="X70" s="2674"/>
      <c r="Y70" s="2674"/>
      <c r="Z70" s="2674"/>
    </row>
    <row r="71" spans="1:26" ht="13.5" thickBot="1">
      <c r="A71" s="2616" t="s">
        <v>2627</v>
      </c>
      <c r="B71" s="2686">
        <v>106</v>
      </c>
      <c r="C71" s="2686">
        <v>107</v>
      </c>
      <c r="D71" s="2686">
        <f t="shared" si="76"/>
        <v>107</v>
      </c>
      <c r="E71" s="2686">
        <v>105</v>
      </c>
      <c r="F71" s="2687">
        <v>102</v>
      </c>
      <c r="G71" s="3499">
        <v>2002</v>
      </c>
      <c r="H71" s="2635">
        <v>4</v>
      </c>
      <c r="I71" s="2682"/>
      <c r="J71" s="2682"/>
      <c r="K71" s="2682"/>
      <c r="L71" s="2682"/>
      <c r="N71" s="2683"/>
      <c r="O71" s="2682"/>
      <c r="P71" s="2682"/>
      <c r="Q71" s="2682"/>
      <c r="S71" s="2683"/>
      <c r="T71" s="2682"/>
      <c r="U71" s="2682"/>
      <c r="V71" s="2682"/>
      <c r="X71" s="2674"/>
      <c r="Y71" s="2674"/>
      <c r="Z71" s="2674"/>
    </row>
    <row r="72" spans="1:26">
      <c r="A72" s="2616" t="s">
        <v>2628</v>
      </c>
      <c r="B72" s="2684">
        <f t="shared" ref="B72:C74" si="114">B73+(B$71-B$75)/4</f>
        <v>105</v>
      </c>
      <c r="C72" s="2684">
        <f t="shared" si="114"/>
        <v>106</v>
      </c>
      <c r="D72" s="2684">
        <f t="shared" si="76"/>
        <v>106</v>
      </c>
      <c r="E72" s="2684">
        <f t="shared" ref="E72:F74" si="115">E73+(E$71-E$75)/4</f>
        <v>104.5</v>
      </c>
      <c r="F72" s="2684">
        <f t="shared" si="115"/>
        <v>101.5</v>
      </c>
      <c r="G72" s="3497">
        <v>2002</v>
      </c>
      <c r="H72" s="2640">
        <v>3</v>
      </c>
      <c r="I72" s="2682"/>
      <c r="J72" s="2682"/>
      <c r="K72" s="2682"/>
      <c r="L72" s="2682"/>
      <c r="X72" s="2674"/>
      <c r="Y72" s="2674"/>
      <c r="Z72" s="2674"/>
    </row>
    <row r="73" spans="1:26">
      <c r="A73" s="2616" t="s">
        <v>2629</v>
      </c>
      <c r="B73" s="2684">
        <f t="shared" si="114"/>
        <v>104</v>
      </c>
      <c r="C73" s="2684">
        <f t="shared" si="114"/>
        <v>105</v>
      </c>
      <c r="D73" s="2684">
        <f t="shared" si="76"/>
        <v>105</v>
      </c>
      <c r="E73" s="2684">
        <f t="shared" si="115"/>
        <v>104</v>
      </c>
      <c r="F73" s="2684">
        <f t="shared" si="115"/>
        <v>101</v>
      </c>
      <c r="G73" s="3497">
        <v>2002</v>
      </c>
      <c r="H73" s="2620">
        <v>2</v>
      </c>
      <c r="I73" s="2682"/>
      <c r="J73" s="2682"/>
      <c r="K73" s="2682"/>
      <c r="L73" s="2682"/>
      <c r="X73" s="2674"/>
      <c r="Y73" s="2674"/>
      <c r="Z73" s="2674"/>
    </row>
    <row r="74" spans="1:26" s="2651" customFormat="1" ht="13.5" thickBot="1">
      <c r="A74" s="2647" t="s">
        <v>2630</v>
      </c>
      <c r="B74" s="2688">
        <f t="shared" si="114"/>
        <v>103</v>
      </c>
      <c r="C74" s="2688">
        <f t="shared" si="114"/>
        <v>104</v>
      </c>
      <c r="D74" s="2688">
        <f t="shared" si="76"/>
        <v>104</v>
      </c>
      <c r="E74" s="2688">
        <f t="shared" si="115"/>
        <v>103.5</v>
      </c>
      <c r="F74" s="2688">
        <f t="shared" si="115"/>
        <v>100.5</v>
      </c>
      <c r="G74" s="3500">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2631</v>
      </c>
      <c r="G77" s="2698"/>
      <c r="N77" s="2698"/>
      <c r="S77" s="2698"/>
    </row>
    <row r="78" spans="1:26" s="2697" customFormat="1">
      <c r="A78" s="2697" t="s">
        <v>2632</v>
      </c>
      <c r="G78" s="2698"/>
      <c r="N78" s="2698"/>
      <c r="S78" s="2698"/>
    </row>
    <row r="79" spans="1:26" s="2697" customFormat="1">
      <c r="A79" s="2697" t="s">
        <v>2633</v>
      </c>
      <c r="G79" s="2698"/>
      <c r="I79" s="2699"/>
      <c r="J79" s="2699"/>
      <c r="K79" s="2699"/>
      <c r="L79" s="2699"/>
      <c r="N79" s="2700"/>
      <c r="O79" s="2699"/>
      <c r="P79" s="2699"/>
      <c r="Q79" s="2699"/>
      <c r="S79" s="2700"/>
      <c r="T79" s="2699"/>
      <c r="U79" s="2699"/>
      <c r="V79" s="2699"/>
    </row>
    <row r="80" spans="1:26" s="2697" customFormat="1">
      <c r="A80" s="2697" t="s">
        <v>2634</v>
      </c>
      <c r="G80" s="2698"/>
      <c r="N80" s="2698"/>
      <c r="S80" s="2698"/>
    </row>
    <row r="87" spans="7:22" ht="13.5" thickBot="1"/>
    <row r="88" spans="7:22">
      <c r="G88" s="2623"/>
      <c r="S88" s="2701" t="s">
        <v>2635</v>
      </c>
      <c r="T88" s="2702" t="s">
        <v>2636</v>
      </c>
      <c r="U88" s="2702" t="s">
        <v>2637</v>
      </c>
      <c r="V88" s="2702" t="s">
        <v>2638</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2949</v>
      </c>
      <c r="B1" s="3054"/>
      <c r="C1" s="3054"/>
      <c r="D1" s="3054"/>
      <c r="E1" s="3054"/>
      <c r="F1" s="3054"/>
    </row>
    <row r="2" spans="1:6" ht="14.25">
      <c r="A2" s="3055" t="s">
        <v>2944</v>
      </c>
      <c r="B2" s="3056">
        <f ca="1">SUMIF(B7:B14,"&lt;&gt;#ref!",B7:B14)</f>
        <v>7904</v>
      </c>
      <c r="C2" s="3055" t="s">
        <v>2945</v>
      </c>
      <c r="D2" s="3054"/>
      <c r="E2" s="3054"/>
      <c r="F2" s="3054"/>
    </row>
    <row r="3" spans="1:6" ht="14.25">
      <c r="A3" s="3055" t="s">
        <v>2977</v>
      </c>
      <c r="B3" s="3056">
        <f ca="1">ROUND(B2*10000/E3,0)</f>
        <v>1017</v>
      </c>
      <c r="C3" s="3055" t="s">
        <v>2078</v>
      </c>
      <c r="D3" s="3055" t="s">
        <v>2946</v>
      </c>
      <c r="E3" s="3056">
        <f ca="1">SUMIF(E7:E14,"&lt;&gt;#ref!",E7:E14)</f>
        <v>77720.2</v>
      </c>
      <c r="F3" s="3054"/>
    </row>
    <row r="4" spans="1:6" ht="14.25">
      <c r="A4" s="3055" t="s">
        <v>2953</v>
      </c>
      <c r="B4" s="3056">
        <f ca="1">ROUND(B2*10000/E4,0)</f>
        <v>1017</v>
      </c>
      <c r="C4" s="3055" t="s">
        <v>2078</v>
      </c>
      <c r="D4" s="3055" t="s">
        <v>2954</v>
      </c>
      <c r="E4" s="3056">
        <f ca="1">SUMIF(F7:F14,"&lt;&gt;#ref!",F7:F14)</f>
        <v>77720.2</v>
      </c>
      <c r="F4" s="3054"/>
    </row>
    <row r="5" spans="1:6" ht="14.25">
      <c r="A5" s="3057"/>
      <c r="B5" s="1865"/>
      <c r="C5" s="1865"/>
      <c r="D5" s="1865"/>
      <c r="E5" s="1865"/>
      <c r="F5" s="3054"/>
    </row>
    <row r="6" spans="1:6" ht="28.5">
      <c r="A6" s="3058" t="s">
        <v>2950</v>
      </c>
      <c r="B6" s="3055" t="s">
        <v>2947</v>
      </c>
      <c r="C6" s="3056"/>
      <c r="D6" s="1865"/>
      <c r="E6" s="3055" t="s">
        <v>2948</v>
      </c>
      <c r="F6" s="3055" t="s">
        <v>2952</v>
      </c>
    </row>
    <row r="7" spans="1:6" ht="14.25">
      <c r="A7" s="260" t="s">
        <v>2951</v>
      </c>
      <c r="B7" s="3059">
        <f ca="1">SUMIF(INDIRECT("'"&amp;A7&amp;"'"&amp;"!A:A"),"总价",INDIRECT("'"&amp;A7&amp;"'"&amp;"!B:B"))</f>
        <v>7904</v>
      </c>
      <c r="C7" s="3055" t="s">
        <v>2945</v>
      </c>
      <c r="D7" s="1865"/>
      <c r="E7" s="3060">
        <f ca="1">SUMIF(INDIRECT("'"&amp;A7&amp;"'"&amp;"!C:C"),"建筑面积",INDIRECT("'"&amp;A7&amp;"'"&amp;"!D:D"))</f>
        <v>77720.2</v>
      </c>
      <c r="F7" s="3060">
        <f ca="1">SUMIF(INDIRECT("'"&amp;A7&amp;"'"&amp;"!E:E"),"土地面积",INDIRECT("'"&amp;A7&amp;"'"&amp;"!F:F"))</f>
        <v>77720.2</v>
      </c>
    </row>
    <row r="8" spans="1:6" ht="14.25">
      <c r="A8" s="260"/>
      <c r="B8" s="3059" t="e">
        <f t="shared" ref="B8:B14" ca="1" si="0">SUMIF(INDIRECT("'"&amp;A8&amp;"'"&amp;"!A:A"),"总价",INDIRECT("'"&amp;A8&amp;"'"&amp;"!B:B"))</f>
        <v>#REF!</v>
      </c>
      <c r="C8" s="3055" t="s">
        <v>2945</v>
      </c>
      <c r="D8" s="1865"/>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2945</v>
      </c>
      <c r="D9" s="1865"/>
      <c r="E9" s="3060" t="e">
        <f t="shared" ca="1" si="1"/>
        <v>#REF!</v>
      </c>
      <c r="F9" s="3060" t="e">
        <f t="shared" ca="1" si="2"/>
        <v>#REF!</v>
      </c>
    </row>
    <row r="10" spans="1:6" ht="14.25">
      <c r="A10" s="260"/>
      <c r="B10" s="3059" t="e">
        <f t="shared" ca="1" si="0"/>
        <v>#REF!</v>
      </c>
      <c r="C10" s="3055" t="s">
        <v>2945</v>
      </c>
      <c r="D10" s="1865"/>
      <c r="E10" s="3060" t="e">
        <f t="shared" ca="1" si="1"/>
        <v>#REF!</v>
      </c>
      <c r="F10" s="3060" t="e">
        <f t="shared" ca="1" si="2"/>
        <v>#REF!</v>
      </c>
    </row>
    <row r="11" spans="1:6" ht="14.25">
      <c r="A11" s="260"/>
      <c r="B11" s="3059" t="e">
        <f t="shared" ca="1" si="0"/>
        <v>#REF!</v>
      </c>
      <c r="C11" s="3055" t="s">
        <v>2945</v>
      </c>
      <c r="D11" s="1865"/>
      <c r="E11" s="3060" t="e">
        <f t="shared" ca="1" si="1"/>
        <v>#REF!</v>
      </c>
      <c r="F11" s="3060" t="e">
        <f t="shared" ca="1" si="2"/>
        <v>#REF!</v>
      </c>
    </row>
    <row r="12" spans="1:6" ht="14.25">
      <c r="A12" s="260"/>
      <c r="B12" s="3059" t="e">
        <f t="shared" ca="1" si="0"/>
        <v>#REF!</v>
      </c>
      <c r="C12" s="3055" t="s">
        <v>2945</v>
      </c>
      <c r="D12" s="1865"/>
      <c r="E12" s="3060" t="e">
        <f t="shared" ca="1" si="1"/>
        <v>#REF!</v>
      </c>
      <c r="F12" s="3060" t="e">
        <f t="shared" ca="1" si="2"/>
        <v>#REF!</v>
      </c>
    </row>
    <row r="13" spans="1:6" ht="14.25">
      <c r="A13" s="260"/>
      <c r="B13" s="3059" t="e">
        <f t="shared" ca="1" si="0"/>
        <v>#REF!</v>
      </c>
      <c r="C13" s="3055" t="s">
        <v>2945</v>
      </c>
      <c r="D13" s="1865"/>
      <c r="E13" s="3060" t="e">
        <f t="shared" ca="1" si="1"/>
        <v>#REF!</v>
      </c>
      <c r="F13" s="3060" t="e">
        <f t="shared" ca="1" si="2"/>
        <v>#REF!</v>
      </c>
    </row>
    <row r="14" spans="1:6" ht="14.25">
      <c r="A14" s="3053"/>
      <c r="B14" s="3059" t="e">
        <f t="shared" ca="1" si="0"/>
        <v>#REF!</v>
      </c>
      <c r="C14" s="3055" t="s">
        <v>2945</v>
      </c>
      <c r="D14" s="1865"/>
      <c r="E14" s="3060" t="e">
        <f t="shared" ca="1" si="1"/>
        <v>#REF!</v>
      </c>
      <c r="F14" s="306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0</v>
      </c>
      <c r="G1" s="773">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7" t="s">
        <v>2461</v>
      </c>
      <c r="E7" s="2451"/>
      <c r="F7" s="2452"/>
      <c r="G7" s="1577"/>
      <c r="H7" s="780">
        <v>1</v>
      </c>
      <c r="I7" s="781" t="s">
        <v>2458</v>
      </c>
      <c r="J7" s="53">
        <f ca="1">J8+J12+J14</f>
        <v>0</v>
      </c>
      <c r="K7" s="2457" t="s">
        <v>2461</v>
      </c>
      <c r="L7" s="2451"/>
      <c r="M7" s="2452"/>
    </row>
    <row r="8" spans="1:25" ht="18" customHeight="1">
      <c r="A8" s="1814" t="s">
        <v>1824</v>
      </c>
      <c r="B8" s="3508" t="s">
        <v>2463</v>
      </c>
      <c r="C8" s="1809">
        <f ca="1">ROUND(F8*F10*F9*(1-F11)/10000,0)</f>
        <v>0</v>
      </c>
      <c r="D8" s="1806" t="s">
        <v>2534</v>
      </c>
      <c r="E8" s="61" t="s">
        <v>637</v>
      </c>
      <c r="F8" s="784">
        <f ca="1">INDIRECT("'数据-取费表'!u"&amp;$G$1)</f>
        <v>0</v>
      </c>
      <c r="G8" s="1577"/>
      <c r="H8" s="2465" t="s">
        <v>1824</v>
      </c>
      <c r="I8" s="3508" t="s">
        <v>2463</v>
      </c>
      <c r="J8" s="782">
        <f ca="1">ROUND(M8*M10*M9*(1-M11)/10000,0)</f>
        <v>0</v>
      </c>
      <c r="K8" s="340" t="s">
        <v>2534</v>
      </c>
      <c r="L8" s="783" t="s">
        <v>1738</v>
      </c>
      <c r="M8" s="784">
        <f ca="1">INDIRECT("'数据-取费表'!z"&amp;$G$1)</f>
        <v>0</v>
      </c>
    </row>
    <row r="9" spans="1:25" ht="18" customHeight="1">
      <c r="A9" s="2461"/>
      <c r="B9" s="3509"/>
      <c r="C9" s="1810"/>
      <c r="D9" s="1807"/>
      <c r="E9" s="61" t="s">
        <v>638</v>
      </c>
      <c r="F9" s="784">
        <f ca="1">IF(INDIRECT("'数据-取费表'!ah"&amp;$G$1)="",INDIRECT("'数据-取费表'!k"&amp;$G$1),INDIRECT("'数据-取费表'!ah"&amp;$G$1))</f>
        <v>0</v>
      </c>
      <c r="G9" s="1577"/>
      <c r="H9" s="2450"/>
      <c r="I9" s="3509"/>
      <c r="J9" s="787"/>
      <c r="K9" s="788"/>
      <c r="L9" s="783" t="s">
        <v>1739</v>
      </c>
      <c r="M9" s="784">
        <f ca="1">F9</f>
        <v>0</v>
      </c>
    </row>
    <row r="10" spans="1:25" ht="18" customHeight="1">
      <c r="A10" s="2454"/>
      <c r="B10" s="3510"/>
      <c r="C10" s="1810"/>
      <c r="D10" s="1807"/>
      <c r="E10" s="61" t="s">
        <v>639</v>
      </c>
      <c r="F10" s="784">
        <f ca="1">INDIRECT("'数据-取费表'!ai"&amp;$G$1)</f>
        <v>0</v>
      </c>
      <c r="G10" s="1577"/>
      <c r="H10" s="2450"/>
      <c r="I10" s="3510"/>
      <c r="J10" s="787"/>
      <c r="K10" s="788"/>
      <c r="L10" s="783" t="s">
        <v>1740</v>
      </c>
      <c r="M10" s="784">
        <f ca="1">INDIRECT("'数据-取费表'!ai"&amp;$G$1)</f>
        <v>0</v>
      </c>
    </row>
    <row r="11" spans="1:25" ht="18" customHeight="1">
      <c r="A11" s="785"/>
      <c r="B11" s="3511"/>
      <c r="C11" s="1810"/>
      <c r="D11" s="1807"/>
      <c r="E11" s="61" t="s">
        <v>640</v>
      </c>
      <c r="F11" s="793">
        <f ca="1">INDIRECT("'数据-取费表'!w"&amp;$G$1)</f>
        <v>0</v>
      </c>
      <c r="G11" s="1577"/>
      <c r="H11" s="2466"/>
      <c r="I11" s="3510"/>
      <c r="J11" s="787"/>
      <c r="K11" s="788"/>
      <c r="L11" s="794" t="s">
        <v>1741</v>
      </c>
      <c r="M11" s="795">
        <f ca="1">INDIRECT("'数据-取费表'!ab"&amp;$G$1)</f>
        <v>0</v>
      </c>
    </row>
    <row r="12" spans="1:25" ht="18" customHeight="1">
      <c r="A12" s="1814" t="s">
        <v>1825</v>
      </c>
      <c r="B12" s="2455" t="s">
        <v>2459</v>
      </c>
      <c r="C12" s="798">
        <f ca="1">ROUND(IF(F12="押一",C8/12*F13,IF(F12="押二",C8/12*2*F13,IF(F12="押三",C8/12*3*F13,C13*F13))),0)</f>
        <v>0</v>
      </c>
      <c r="D12" s="2462" t="s">
        <v>2974</v>
      </c>
      <c r="E12" s="2459" t="s">
        <v>2464</v>
      </c>
      <c r="F12" s="2582"/>
      <c r="G12" s="1577"/>
      <c r="H12" s="2522" t="s">
        <v>1825</v>
      </c>
      <c r="I12" s="2527" t="s">
        <v>2459</v>
      </c>
      <c r="J12" s="782">
        <f ca="1">ROUND(IF(M12="押一",J8/12*M13,IF(M12="押二",J8/12*2*M13,IF(M12="押三",J8/12*3*M13,J13*M13))),0)</f>
        <v>0</v>
      </c>
      <c r="K12" s="2462" t="s">
        <v>2974</v>
      </c>
      <c r="L12" s="2459" t="s">
        <v>2464</v>
      </c>
      <c r="M12" s="2582"/>
    </row>
    <row r="13" spans="1:25" ht="18" customHeight="1">
      <c r="A13" s="789"/>
      <c r="B13" s="2456" t="s">
        <v>2573</v>
      </c>
      <c r="C13" s="2460"/>
      <c r="D13" s="788"/>
      <c r="E13" s="2459" t="s">
        <v>2456</v>
      </c>
      <c r="F13" s="795">
        <f ca="1">'数据-取费表'!B39</f>
        <v>1.4999999999999999E-2</v>
      </c>
      <c r="G13" s="1577"/>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7"/>
      <c r="H14" s="2512" t="s">
        <v>2467</v>
      </c>
      <c r="I14" s="2525" t="s">
        <v>2460</v>
      </c>
      <c r="J14" s="2526"/>
      <c r="K14" s="2501"/>
      <c r="L14" s="2502"/>
      <c r="M14" s="2515"/>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1"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0</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3" t="str">
        <f>IF(F25&lt;=1,"单利计息。","复利计息。")&amp;"建造成本、管理费用、销售费用产生的利息。"</f>
        <v>单利计息。建造成本、管理费用、销售费用产生的利息。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2" t="str">
        <f>IF(F25&lt;=1,"(建造成本+管理费用)×利率×(建设周期÷2)","(建造成本+管理费用)×((1+利率)^(建设周期÷2)-1)")</f>
        <v>(建造成本+管理费用)×利率×(建设周期÷2)</v>
      </c>
      <c r="E25" s="783" t="s">
        <v>678</v>
      </c>
      <c r="F25" s="639">
        <f>'数据-取费表'!B20</f>
        <v>0</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0</v>
      </c>
      <c r="D26" s="2532" t="str">
        <f>IF(F25&lt;=1,"销售费用×利率×(建设周期÷2)","销售费用×((1+利率)^(建设周期÷2)-1)")</f>
        <v>销售费用×利率×(建设周期÷2)</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1" t="s">
        <v>685</v>
      </c>
      <c r="E27" s="1966"/>
      <c r="F27" s="56"/>
      <c r="G27" s="1577"/>
      <c r="H27" s="796" t="s">
        <v>1828</v>
      </c>
      <c r="I27" s="2960"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1" t="s">
        <v>1883</v>
      </c>
      <c r="B31" s="2502" t="s">
        <v>2822</v>
      </c>
      <c r="C31" s="2505">
        <f ca="1">ROUND((C21+C22+C25+C28)/(1-F23-C26-C29-C30),0)</f>
        <v>0</v>
      </c>
      <c r="D31" s="2506"/>
      <c r="E31" s="2507"/>
      <c r="F31" s="2508"/>
      <c r="G31" s="1578"/>
      <c r="H31" s="822" t="s">
        <v>1872</v>
      </c>
      <c r="I31" s="2961"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48"/>
      <c r="F32" s="2452"/>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0</v>
      </c>
      <c r="G36" s="2046"/>
      <c r="H36" s="2049"/>
      <c r="I36" s="3507"/>
      <c r="J36" s="2063"/>
      <c r="K36" s="2064"/>
      <c r="L36" s="2063"/>
      <c r="M36" s="2063"/>
    </row>
    <row r="37" spans="1:18" ht="18" customHeight="1">
      <c r="A37" s="814"/>
      <c r="B37" s="792"/>
      <c r="C37" s="69"/>
      <c r="D37" s="815"/>
      <c r="E37" s="783" t="s">
        <v>674</v>
      </c>
      <c r="F37" s="784">
        <f ca="1">INDIRECT("'数据-取费表'!r"&amp;$G$1)</f>
        <v>0</v>
      </c>
      <c r="G37" s="2046"/>
      <c r="H37" s="2049"/>
      <c r="I37" s="3507"/>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1" t="s">
        <v>1879</v>
      </c>
      <c r="B40" s="2507" t="s">
        <v>666</v>
      </c>
      <c r="C40" s="2505">
        <f ca="1">ROUND(C7*F40,1)</f>
        <v>0</v>
      </c>
      <c r="D40" s="2506" t="s">
        <v>683</v>
      </c>
      <c r="E40" s="2507" t="s">
        <v>649</v>
      </c>
      <c r="F40" s="2503">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1" t="s">
        <v>2962</v>
      </c>
      <c r="F43" s="3072">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3" t="s">
        <v>2965</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6" t="str">
        <f ca="1">IF(M48="住宅",0,IF(L49&gt;J52,L61,J61))</f>
        <v>0</v>
      </c>
      <c r="O47" s="2357" t="s">
        <v>2410</v>
      </c>
      <c r="P47" s="1577"/>
      <c r="Q47" s="1588"/>
      <c r="R47" s="1577"/>
    </row>
    <row r="48" spans="1:18" s="2043" customFormat="1" ht="18" customHeight="1" thickBot="1">
      <c r="A48" s="2068"/>
      <c r="C48" s="2071"/>
      <c r="D48" s="2072"/>
      <c r="E48" s="2072"/>
      <c r="F48" s="2073"/>
      <c r="G48" s="2074"/>
      <c r="I48" s="3096" t="s">
        <v>2344</v>
      </c>
      <c r="J48" s="2344"/>
      <c r="K48" s="3103" t="s">
        <v>2349</v>
      </c>
      <c r="L48" s="3107">
        <f ca="1">INDIRECT("'数据-取费表'!d"&amp;$G$1)</f>
        <v>0</v>
      </c>
      <c r="M48" s="3070"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5" t="s">
        <v>2345</v>
      </c>
      <c r="J49" s="2345"/>
      <c r="K49" s="3104"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5" t="s">
        <v>2346</v>
      </c>
      <c r="J50" s="2346"/>
      <c r="K50" s="3105"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5" t="s">
        <v>2347</v>
      </c>
      <c r="J51" s="3100">
        <f>SUMPRODUCT((I64:I66=J48)*(J63:L63=J49)*(J64:L66))</f>
        <v>0</v>
      </c>
      <c r="K51" s="3105" t="s">
        <v>2353</v>
      </c>
      <c r="L51" s="2347"/>
      <c r="O51" s="2364" t="s">
        <v>2383</v>
      </c>
      <c r="P51" s="2362" t="s">
        <v>2407</v>
      </c>
      <c r="Q51" s="2363">
        <f ca="1">C31</f>
        <v>0</v>
      </c>
      <c r="R51" s="2362" t="s">
        <v>2380</v>
      </c>
    </row>
    <row r="52" spans="1:18" s="2043" customFormat="1" ht="18" customHeight="1" thickBot="1">
      <c r="A52" s="2080"/>
      <c r="F52" s="2069"/>
      <c r="I52" s="3097" t="s">
        <v>2348</v>
      </c>
      <c r="J52" s="3101">
        <f>IF(J50="",J51,J50+J51-YEAR('数据-取费表'!B3))</f>
        <v>0</v>
      </c>
      <c r="K52" s="3075" t="s">
        <v>2354</v>
      </c>
      <c r="L52" s="3108">
        <f ca="1">ROUND(-PV(INDIRECT("'数据-取费表'!h"&amp;$G$1),L49,(C40-C14*J36),0),0)</f>
        <v>0</v>
      </c>
      <c r="O52" s="2364" t="s">
        <v>2384</v>
      </c>
      <c r="P52" s="2362" t="s">
        <v>2385</v>
      </c>
      <c r="Q52" s="2365" t="e">
        <f ca="1">J59</f>
        <v>#VALUE!</v>
      </c>
      <c r="R52" s="2366"/>
    </row>
    <row r="53" spans="1:18" s="2043" customFormat="1" ht="18" customHeight="1" thickBot="1">
      <c r="A53" s="2080"/>
      <c r="F53" s="2069"/>
      <c r="I53" s="3098" t="s">
        <v>2421</v>
      </c>
      <c r="J53" s="2348"/>
      <c r="K53" s="3098" t="s">
        <v>2420</v>
      </c>
      <c r="L53" s="2348"/>
      <c r="O53" s="2364" t="s">
        <v>2386</v>
      </c>
      <c r="P53" s="2362" t="s">
        <v>2387</v>
      </c>
      <c r="Q53" s="2365">
        <f>J53</f>
        <v>0</v>
      </c>
      <c r="R53" s="2366"/>
    </row>
    <row r="54" spans="1:18" s="2043" customFormat="1" ht="29.25" thickBot="1">
      <c r="A54" s="2080"/>
      <c r="I54" s="3099" t="s">
        <v>2978</v>
      </c>
      <c r="J54" s="3102">
        <f ca="1">IF(M48="住宅",MAX(J52,L49-'数据-取费表'!B20),MIN(J52,L49-'数据-取费表'!B20))</f>
        <v>0</v>
      </c>
      <c r="K54" s="3512"/>
      <c r="L54" s="3513"/>
      <c r="O54" s="2364" t="s">
        <v>2388</v>
      </c>
      <c r="P54" s="2362" t="s">
        <v>2389</v>
      </c>
      <c r="Q54" s="2363">
        <f ca="1">J54</f>
        <v>0</v>
      </c>
      <c r="R54" s="2362" t="s">
        <v>2390</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2391</v>
      </c>
      <c r="P55" s="2362" t="s">
        <v>2408</v>
      </c>
      <c r="Q55" s="2363">
        <f ca="1">Q49+Q50</f>
        <v>0</v>
      </c>
      <c r="R55" s="2366" t="s">
        <v>2392</v>
      </c>
    </row>
    <row r="56" spans="1:18" s="2043" customFormat="1" ht="16.5" thickBot="1">
      <c r="A56" s="2080"/>
      <c r="B56" s="2081"/>
      <c r="C56" s="2081"/>
      <c r="I56" s="3111" t="s">
        <v>2355</v>
      </c>
      <c r="J56" s="3050" t="e">
        <f ca="1">ROUND(IF(J48="钢混",J58/J51,1-(1-2%)*(J51-J58)/J51),3)</f>
        <v>#VALUE!</v>
      </c>
      <c r="K56" s="3112" t="s">
        <v>2356</v>
      </c>
      <c r="L56" s="2349"/>
      <c r="O56" s="2367" t="s">
        <v>2411</v>
      </c>
      <c r="P56" s="1577"/>
      <c r="Q56" s="1588"/>
      <c r="R56" s="1577"/>
    </row>
    <row r="57" spans="1:18" s="2043" customFormat="1" ht="43.5" thickBot="1">
      <c r="A57" s="2080"/>
      <c r="B57" s="2081"/>
      <c r="C57" s="2081"/>
      <c r="I57" s="3113" t="s">
        <v>2357</v>
      </c>
      <c r="J57" s="3123" t="s">
        <v>1678</v>
      </c>
      <c r="K57" s="3075" t="s">
        <v>2362</v>
      </c>
      <c r="L57" s="1892">
        <f ca="1">IF(L49&lt;J52,"——",L49-J52)</f>
        <v>0</v>
      </c>
      <c r="O57" s="2358" t="s">
        <v>2375</v>
      </c>
      <c r="P57" s="2359" t="s">
        <v>2376</v>
      </c>
      <c r="Q57" s="2360" t="s">
        <v>2377</v>
      </c>
      <c r="R57" s="2359" t="s">
        <v>2378</v>
      </c>
    </row>
    <row r="58" spans="1:18" s="2043" customFormat="1" ht="29.25" thickBot="1">
      <c r="A58" s="2080"/>
      <c r="B58" s="2081"/>
      <c r="C58" s="2081"/>
      <c r="I58" s="3114" t="s">
        <v>2358</v>
      </c>
      <c r="J58" s="3115" t="str">
        <f ca="1">IF(OR(M48="住宅",J52&lt;L49,J57="是"),"——",J52-L49)</f>
        <v>——</v>
      </c>
      <c r="K58" s="3075"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4" t="s">
        <v>2359</v>
      </c>
      <c r="J59" s="3051" t="e">
        <f ca="1">IF(J56&lt;0.4,0.4,J56)</f>
        <v>#VALUE!</v>
      </c>
      <c r="K59" s="3075"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4" t="s">
        <v>2360</v>
      </c>
      <c r="J60" s="3115" t="str">
        <f ca="1">IF(OR(M48="住宅",J52&lt;L49,J57="是"),"——",ROUND(C30*J59,0))</f>
        <v>——</v>
      </c>
      <c r="K60" s="3075"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6" t="s">
        <v>2361</v>
      </c>
      <c r="J61" s="3117" t="str">
        <f ca="1">IF(OR(M48="住宅",J52&lt;L49,J57="是"),"0",ROUND(J60/(1+J53)^J54,0))</f>
        <v>0</v>
      </c>
      <c r="K61" s="3118" t="s">
        <v>2366</v>
      </c>
      <c r="L61" s="3117"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9" t="s">
        <v>2367</v>
      </c>
      <c r="J63" s="3120" t="s">
        <v>2368</v>
      </c>
      <c r="K63" s="3120" t="s">
        <v>2369</v>
      </c>
      <c r="L63" s="3120" t="s">
        <v>2350</v>
      </c>
      <c r="M63" s="3121" t="s">
        <v>2943</v>
      </c>
      <c r="O63" s="2364" t="s">
        <v>2388</v>
      </c>
      <c r="P63" s="2362" t="s">
        <v>2396</v>
      </c>
      <c r="Q63" s="2363">
        <f ca="1">L60</f>
        <v>0</v>
      </c>
      <c r="R63" s="2366" t="s">
        <v>2397</v>
      </c>
    </row>
    <row r="64" spans="1:18" s="2043" customFormat="1" ht="15.75" thickBot="1">
      <c r="A64" s="2080"/>
      <c r="B64" s="2081"/>
      <c r="C64" s="2081"/>
      <c r="I64" s="3119" t="s">
        <v>2370</v>
      </c>
      <c r="J64" s="3120">
        <v>70</v>
      </c>
      <c r="K64" s="3120">
        <v>50</v>
      </c>
      <c r="L64" s="3120">
        <v>80</v>
      </c>
      <c r="M64" s="3122">
        <v>0.02</v>
      </c>
      <c r="O64" s="2361" t="s">
        <v>2391</v>
      </c>
      <c r="P64" s="2362" t="s">
        <v>2408</v>
      </c>
      <c r="Q64" s="2363" t="e">
        <f ca="1">Q58+Q59</f>
        <v>#DIV/0!</v>
      </c>
      <c r="R64" s="2366" t="s">
        <v>2392</v>
      </c>
    </row>
    <row r="65" spans="1:18" s="2043" customFormat="1" ht="16.5" thickBot="1">
      <c r="A65" s="2080"/>
      <c r="B65" s="2081"/>
      <c r="C65" s="2081"/>
      <c r="I65" s="3119" t="s">
        <v>2371</v>
      </c>
      <c r="J65" s="3120">
        <v>50</v>
      </c>
      <c r="K65" s="3120">
        <v>35</v>
      </c>
      <c r="L65" s="3120">
        <v>60</v>
      </c>
      <c r="M65" s="845">
        <v>0</v>
      </c>
      <c r="O65" s="2367" t="s">
        <v>2415</v>
      </c>
      <c r="P65" s="1577"/>
      <c r="Q65" s="1588"/>
      <c r="R65" s="1577"/>
    </row>
    <row r="66" spans="1:18" s="2043" customFormat="1" ht="15.75" thickBot="1">
      <c r="A66" s="2080"/>
      <c r="B66" s="2081"/>
      <c r="C66" s="2081"/>
      <c r="I66" s="3119" t="s">
        <v>2372</v>
      </c>
      <c r="J66" s="3120">
        <v>40</v>
      </c>
      <c r="K66" s="3120">
        <v>30</v>
      </c>
      <c r="L66" s="3120">
        <v>50</v>
      </c>
      <c r="M66" s="3122">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受贵公司委托，我公司对北京市储备国有建设用地使用权市场价格进行了预评估。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77720.2平方米。根据《建设工程规划许可证》[]、《出让合同》[]，估价对象规划建筑面积为77720.2平方米。</v>
      </c>
    </row>
    <row r="7" spans="1:4" ht="56.25">
      <c r="A7" s="1779" t="s">
        <v>2747</v>
      </c>
    </row>
    <row r="8" spans="1:4" ht="18.75">
      <c r="A8" s="1778" t="s">
        <v>1906</v>
      </c>
    </row>
    <row r="9" spans="1:4" ht="37.5">
      <c r="A9" s="1780"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1" t="s">
        <v>2026</v>
      </c>
    </row>
    <row r="11" spans="1:4" ht="18.75">
      <c r="A11" s="1764" t="str">
        <f>TEXT(项目基本情况!D3,"yyyy年m月d日;;")&amp;IF(项目基本情况!B3=项目基本情况!D3,"（评估专业人员勘察现场之日）","")</f>
        <v>2019年6月30日</v>
      </c>
    </row>
    <row r="12" spans="1:4" ht="18.75">
      <c r="A12" s="1781" t="s">
        <v>2025</v>
      </c>
    </row>
    <row r="13" spans="1:4" ht="18.75">
      <c r="A13" s="1775" t="s">
        <v>2942</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根据《国有土地使用证》[]，估价对象（分摊）出让国有建设用地使用权面积为77720.2平方米。根据《建设工程规划许可证》[]、《出让合同》[]，估价对象规划建筑面积为77720.2平方米。</v>
      </c>
    </row>
    <row r="21" spans="1:1" ht="18.75">
      <c r="A21" s="1775" t="s">
        <v>2074</v>
      </c>
    </row>
    <row r="22" spans="1:1" ht="18.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5" t="str">
        <f>IF(项目基本情况!B16="出让","本次评估设定估价对象剩余土地使用年限为"&amp;项目基本情况!D20&amp;"。","")</f>
        <v/>
      </c>
    </row>
    <row r="24" spans="1:1" ht="18.75">
      <c r="A24" s="1775" t="s">
        <v>2075</v>
      </c>
    </row>
    <row r="25" spans="1:1" ht="150">
      <c r="A25" s="177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c r="D1" s="3074" t="s">
        <v>952</v>
      </c>
      <c r="E1" s="2350" t="s">
        <v>2374</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t="e">
        <f ca="1">C40+J29+L46</f>
        <v>#DIV/0!</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0</v>
      </c>
      <c r="D5" s="2457" t="s">
        <v>2461</v>
      </c>
      <c r="E5" s="2451"/>
      <c r="F5" s="2452"/>
      <c r="G5" s="1577"/>
      <c r="H5" s="780">
        <v>1</v>
      </c>
      <c r="I5" s="781" t="s">
        <v>2458</v>
      </c>
      <c r="J5" s="55">
        <f ca="1">J6+J10+J12</f>
        <v>0</v>
      </c>
      <c r="K5" s="2457" t="s">
        <v>2461</v>
      </c>
      <c r="L5" s="2451"/>
      <c r="M5" s="2452"/>
    </row>
    <row r="6" spans="1:33" ht="18" customHeight="1">
      <c r="A6" s="1814" t="s">
        <v>1824</v>
      </c>
      <c r="B6" s="3508" t="s">
        <v>2463</v>
      </c>
      <c r="C6" s="782">
        <f ca="1">ROUND(F6*F8*F7*(1-F9)/10000,0)</f>
        <v>0</v>
      </c>
      <c r="D6" s="2458" t="s">
        <v>2462</v>
      </c>
      <c r="E6" s="783" t="s">
        <v>1738</v>
      </c>
      <c r="F6" s="784">
        <f ca="1">INDIRECT("'数据-取费表'!u"&amp;$G$1)</f>
        <v>0</v>
      </c>
      <c r="G6" s="1577"/>
      <c r="H6" s="2465" t="s">
        <v>2468</v>
      </c>
      <c r="I6" s="3508" t="s">
        <v>2463</v>
      </c>
      <c r="J6" s="782">
        <f ca="1">ROUND(M6*M8*M7*(1-M9)/10000,0)</f>
        <v>0</v>
      </c>
      <c r="K6" s="340" t="s">
        <v>1737</v>
      </c>
      <c r="L6" s="783" t="s">
        <v>1738</v>
      </c>
      <c r="M6" s="784">
        <f ca="1">INDIRECT("'数据-取费表'!z"&amp;$G$1)</f>
        <v>0</v>
      </c>
    </row>
    <row r="7" spans="1:33" ht="18" customHeight="1">
      <c r="A7" s="2461"/>
      <c r="B7" s="3509"/>
      <c r="C7" s="787"/>
      <c r="D7" s="788"/>
      <c r="E7" s="783" t="s">
        <v>1739</v>
      </c>
      <c r="F7" s="784">
        <f ca="1">IF(INDIRECT("'数据-取费表'!ah"&amp;$G$1)="",INDIRECT("'数据-取费表'!k"&amp;$G$1),INDIRECT("'数据-取费表'!ah"&amp;$G$1))</f>
        <v>0</v>
      </c>
      <c r="G7" s="1577"/>
      <c r="H7" s="2450"/>
      <c r="I7" s="3509"/>
      <c r="J7" s="787"/>
      <c r="K7" s="788"/>
      <c r="L7" s="783" t="s">
        <v>1739</v>
      </c>
      <c r="M7" s="784">
        <f ca="1">F7</f>
        <v>0</v>
      </c>
    </row>
    <row r="8" spans="1:33" ht="18" customHeight="1">
      <c r="A8" s="2454"/>
      <c r="B8" s="3510"/>
      <c r="C8" s="787"/>
      <c r="D8" s="788"/>
      <c r="E8" s="783" t="s">
        <v>1740</v>
      </c>
      <c r="F8" s="784">
        <f ca="1">INDIRECT("'数据-取费表'!ai"&amp;$G$1)</f>
        <v>0</v>
      </c>
      <c r="G8" s="1577"/>
      <c r="H8" s="2450"/>
      <c r="I8" s="3510"/>
      <c r="J8" s="787"/>
      <c r="K8" s="788"/>
      <c r="L8" s="783" t="s">
        <v>1740</v>
      </c>
      <c r="M8" s="784">
        <f ca="1">INDIRECT("'数据-取费表'!ai"&amp;$G$1)</f>
        <v>0</v>
      </c>
    </row>
    <row r="9" spans="1:33" ht="18" customHeight="1">
      <c r="A9" s="785"/>
      <c r="B9" s="3511"/>
      <c r="C9" s="787"/>
      <c r="D9" s="788"/>
      <c r="E9" s="783" t="s">
        <v>1741</v>
      </c>
      <c r="F9" s="793">
        <f ca="1">INDIRECT("'数据-取费表'!w"&amp;$G$1)</f>
        <v>0</v>
      </c>
      <c r="G9" s="1577"/>
      <c r="H9" s="2466"/>
      <c r="I9" s="3510"/>
      <c r="J9" s="787"/>
      <c r="K9" s="788"/>
      <c r="L9" s="794" t="s">
        <v>1741</v>
      </c>
      <c r="M9" s="795">
        <f ca="1">INDIRECT("'数据-取费表'!ab"&amp;$G$1)</f>
        <v>0</v>
      </c>
    </row>
    <row r="10" spans="1:33" ht="18" customHeight="1">
      <c r="A10" s="1814" t="s">
        <v>2466</v>
      </c>
      <c r="B10" s="2455" t="s">
        <v>2459</v>
      </c>
      <c r="C10" s="798">
        <f ca="1">ROUND(IF(F10="押一",C6/12*F11,IF(F10="押二",C6/12*2*F11,IF(F10="押三",C6/12*3*F11,C11*F11))),0)</f>
        <v>0</v>
      </c>
      <c r="D10" s="2462" t="s">
        <v>2974</v>
      </c>
      <c r="E10" s="2459" t="s">
        <v>2464</v>
      </c>
      <c r="F10" s="2582"/>
      <c r="G10" s="1577"/>
      <c r="H10" s="2522" t="s">
        <v>2469</v>
      </c>
      <c r="I10" s="2527" t="s">
        <v>2459</v>
      </c>
      <c r="J10" s="782">
        <f ca="1">ROUND(IF(M10="押一",J6/12*M11,IF(M10="押二",J6/12*2*M11,IF(M10="押三",J6/12*3*M11,J11*M11))),0)</f>
        <v>0</v>
      </c>
      <c r="K10" s="2462" t="s">
        <v>2974</v>
      </c>
      <c r="L10" s="2459" t="s">
        <v>2464</v>
      </c>
      <c r="M10" s="2582"/>
    </row>
    <row r="11" spans="1:33" ht="18" customHeight="1">
      <c r="A11" s="789"/>
      <c r="B11" s="2456" t="s">
        <v>2573</v>
      </c>
      <c r="C11" s="2460"/>
      <c r="D11" s="788"/>
      <c r="E11" s="2459" t="s">
        <v>2465</v>
      </c>
      <c r="F11" s="795">
        <f ca="1">'数据-取费表'!B39</f>
        <v>1.4999999999999999E-2</v>
      </c>
      <c r="G11" s="1577"/>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7"/>
      <c r="H12" s="2512" t="s">
        <v>2470</v>
      </c>
      <c r="I12" s="2525" t="s">
        <v>2460</v>
      </c>
      <c r="J12" s="2526"/>
      <c r="K12" s="2501"/>
      <c r="L12" s="2502"/>
      <c r="M12" s="2515"/>
    </row>
    <row r="13" spans="1:33" ht="18" customHeight="1" thickTop="1">
      <c r="A13" s="1813">
        <v>2</v>
      </c>
      <c r="B13" s="1811" t="s">
        <v>1742</v>
      </c>
      <c r="C13" s="791">
        <f ca="1">ROUND(C29*F13,0)</f>
        <v>0</v>
      </c>
      <c r="D13" s="1818" t="s">
        <v>2297</v>
      </c>
      <c r="E13" s="1818" t="s">
        <v>1744</v>
      </c>
      <c r="F13" s="2497">
        <f ca="1">INDIRECT("'数据-取费表'!y"&amp;$G$1)</f>
        <v>0</v>
      </c>
      <c r="G13" s="1577"/>
      <c r="H13" s="1813">
        <v>2</v>
      </c>
      <c r="I13" s="1811" t="s">
        <v>1742</v>
      </c>
      <c r="J13" s="1803">
        <f ca="1">ROUND(J14*J15,0)</f>
        <v>0</v>
      </c>
      <c r="K13" s="1805" t="s">
        <v>1743</v>
      </c>
      <c r="L13" s="2513"/>
      <c r="M13" s="2514"/>
    </row>
    <row r="14" spans="1:33" ht="18" customHeight="1">
      <c r="A14" s="1632" t="s">
        <v>1884</v>
      </c>
      <c r="B14" s="783" t="s">
        <v>645</v>
      </c>
      <c r="C14" s="803">
        <f ca="1">INDIRECT("'数据-取费表'!m"&amp;$G$1)+INDIRECT("'数据-取费表'!t"&amp;$G$1)</f>
        <v>0</v>
      </c>
      <c r="D14" s="1963" t="s">
        <v>1745</v>
      </c>
      <c r="E14" s="1964"/>
      <c r="F14" s="804"/>
      <c r="G14" s="1577"/>
      <c r="H14" s="1633" t="s">
        <v>1830</v>
      </c>
      <c r="I14" s="2215" t="s">
        <v>2825</v>
      </c>
      <c r="J14" s="53">
        <f ca="1">C29</f>
        <v>0</v>
      </c>
      <c r="K14" s="26"/>
      <c r="L14" s="800"/>
      <c r="M14" s="801"/>
    </row>
    <row r="15" spans="1:33" s="2048" customFormat="1" ht="18" customHeight="1" thickBot="1">
      <c r="A15" s="1632" t="s">
        <v>1885</v>
      </c>
      <c r="B15" s="783" t="s">
        <v>647</v>
      </c>
      <c r="C15" s="53">
        <f ca="1">ROUND(C14*F15,0)</f>
        <v>0</v>
      </c>
      <c r="D15" s="805" t="s">
        <v>1746</v>
      </c>
      <c r="E15" s="805" t="s">
        <v>1747</v>
      </c>
      <c r="F15" s="806">
        <f>'数据-取费表'!B33</f>
        <v>0.03</v>
      </c>
      <c r="G15" s="1578"/>
      <c r="H15" s="2512" t="s">
        <v>1889</v>
      </c>
      <c r="I15" s="2507" t="s">
        <v>1744</v>
      </c>
      <c r="J15" s="2516">
        <f ca="1">INDIRECT("'数据-取费表'!ad"&amp;$G$1)</f>
        <v>0</v>
      </c>
      <c r="K15" s="2517"/>
      <c r="L15" s="2518"/>
      <c r="M15" s="2519"/>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0</v>
      </c>
      <c r="K16" s="1805" t="s">
        <v>1750</v>
      </c>
      <c r="L16" s="2447"/>
      <c r="M16" s="2452"/>
    </row>
    <row r="17" spans="1:33" s="2048" customFormat="1" ht="18" customHeight="1">
      <c r="A17" s="1632" t="s">
        <v>1887</v>
      </c>
      <c r="B17" s="783" t="s">
        <v>653</v>
      </c>
      <c r="C17" s="53">
        <f ca="1">ROUND(F17*(F43+INDIRECT("'数据-取费表'!S"&amp;$G$1))/10000,0)</f>
        <v>0</v>
      </c>
      <c r="D17" s="783" t="s">
        <v>1751</v>
      </c>
      <c r="E17" s="783" t="s">
        <v>1752</v>
      </c>
      <c r="F17" s="56">
        <f>'数据-取费表'!B35</f>
        <v>200</v>
      </c>
      <c r="G17" s="1578"/>
      <c r="H17" s="1633" t="s">
        <v>1830</v>
      </c>
      <c r="I17" s="783" t="s">
        <v>656</v>
      </c>
      <c r="J17" s="53">
        <f ca="1">ROUND(IF(项目基本情况!B11="自然人",J5*M17,J18+J19+J20),0)</f>
        <v>0</v>
      </c>
      <c r="K17" s="2446" t="s">
        <v>1753</v>
      </c>
      <c r="L17" s="2445"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0</v>
      </c>
      <c r="D18" s="783" t="s">
        <v>1746</v>
      </c>
      <c r="E18" s="783" t="s">
        <v>1747</v>
      </c>
      <c r="F18" s="808">
        <f>'数据-取费表'!B36</f>
        <v>1.4999999999999999E-2</v>
      </c>
      <c r="G18" s="1578"/>
      <c r="H18" s="1632" t="s">
        <v>1884</v>
      </c>
      <c r="I18" s="783" t="s">
        <v>1755</v>
      </c>
      <c r="J18" s="53">
        <f ca="1">ROUND(J5*M18/1.05,1)</f>
        <v>0</v>
      </c>
      <c r="K18" s="2445"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0</v>
      </c>
      <c r="D19" s="261" t="s">
        <v>1757</v>
      </c>
      <c r="E19" s="1966"/>
      <c r="F19" s="56"/>
      <c r="G19" s="1577"/>
      <c r="H19" s="1632" t="s">
        <v>1885</v>
      </c>
      <c r="I19" s="783" t="s">
        <v>1758</v>
      </c>
      <c r="J19" s="53">
        <f ca="1">IF(K19="按租金收入计税",ROUND(J5*M19,1),ROUND(C29*F33*0.7,1))</f>
        <v>0</v>
      </c>
      <c r="K19" s="810" t="s">
        <v>665</v>
      </c>
      <c r="L19" s="783" t="s">
        <v>1747</v>
      </c>
      <c r="M19" s="808">
        <f>IF(K19="按租金收入计税",'数据-取费表'!B51,'数据-取费表'!B50)</f>
        <v>1.2E-2</v>
      </c>
    </row>
    <row r="20" spans="1:33" s="2048" customFormat="1" ht="18" customHeight="1">
      <c r="A20" s="1633" t="s">
        <v>1889</v>
      </c>
      <c r="B20" s="783" t="s">
        <v>666</v>
      </c>
      <c r="C20" s="53">
        <f ca="1">ROUND(C19*F20,0)</f>
        <v>0</v>
      </c>
      <c r="D20" s="811" t="s">
        <v>1759</v>
      </c>
      <c r="E20" s="783" t="s">
        <v>1747</v>
      </c>
      <c r="F20" s="808">
        <f>'数据-取费表'!B37</f>
        <v>0.02</v>
      </c>
      <c r="G20" s="1578"/>
      <c r="H20" s="1635" t="s">
        <v>1880</v>
      </c>
      <c r="I20" s="340" t="s">
        <v>1760</v>
      </c>
      <c r="J20" s="54">
        <f ca="1">ROUND(M20*M21/10000,0)</f>
        <v>0</v>
      </c>
      <c r="K20" s="813" t="s">
        <v>1761</v>
      </c>
      <c r="L20" s="783" t="s">
        <v>1762</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0.02</v>
      </c>
      <c r="G21" s="1578"/>
      <c r="H21" s="2467"/>
      <c r="I21" s="792"/>
      <c r="J21" s="69"/>
      <c r="K21" s="815"/>
      <c r="L21" s="783" t="s">
        <v>1766</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3" t="str">
        <f>IF(F23&lt;=1,"单利计息。","复利计息。")&amp;"建造成本、管理费用、销售费用产生的利息。"</f>
        <v>单利计息。建造成本、管理费用、销售费用产生的利息。</v>
      </c>
      <c r="E22" s="1966"/>
      <c r="F22" s="56"/>
      <c r="G22" s="1577"/>
      <c r="H22" s="1633" t="s">
        <v>1889</v>
      </c>
      <c r="I22" s="783" t="s">
        <v>1768</v>
      </c>
      <c r="J22" s="53">
        <f ca="1">ROUND(J14*M22,0)</f>
        <v>0</v>
      </c>
      <c r="K22" s="2445" t="s">
        <v>1769</v>
      </c>
      <c r="L22" s="783" t="s">
        <v>1747</v>
      </c>
      <c r="M22" s="816">
        <f ca="1">INDIRECT("'数据-取费表'!Ak"&amp;$G$1)</f>
        <v>0</v>
      </c>
    </row>
    <row r="23" spans="1:33" s="2048" customFormat="1" ht="18" customHeight="1">
      <c r="A23" s="1632" t="s">
        <v>1831</v>
      </c>
      <c r="B23" s="783" t="s">
        <v>2535</v>
      </c>
      <c r="C23" s="53">
        <f ca="1">ROUND(IF('数据-取费表'!B22&lt;=1,(C19+C20)*F24*F23/2,(C19+C20)*(POWER((1+F24),F23/2)-1)),0)</f>
        <v>0</v>
      </c>
      <c r="D23" s="2532" t="str">
        <f>IF(F23&lt;=1,"(建造成本+管理费用)×利率×(建设周期÷2)","(建造成本+管理费用)×((1+利率)^(建设周期÷2)-1)")</f>
        <v>(建造成本+管理费用)×利率×(建设周期÷2)</v>
      </c>
      <c r="E23" s="783" t="s">
        <v>1770</v>
      </c>
      <c r="F23" s="639">
        <f>'数据-取费表'!B20</f>
        <v>0</v>
      </c>
      <c r="G23" s="1578"/>
      <c r="H23" s="1633" t="s">
        <v>1890</v>
      </c>
      <c r="I23" s="783" t="s">
        <v>679</v>
      </c>
      <c r="J23" s="53">
        <f ca="1">ROUND(J13*M23,0)</f>
        <v>0</v>
      </c>
      <c r="K23" s="2445" t="s">
        <v>1771</v>
      </c>
      <c r="L23" s="783" t="s">
        <v>1747</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0</v>
      </c>
      <c r="D24" s="2532" t="str">
        <f>IF(F23&lt;=1,"销售费用×利率×(建设周期÷2)","销售费用×((1+利率)^(建设周期÷2)-1)")</f>
        <v>销售费用×利率×(建设周期÷2)</v>
      </c>
      <c r="E24" s="783" t="s">
        <v>1773</v>
      </c>
      <c r="F24" s="818">
        <f ca="1">'数据-取费表'!B40</f>
        <v>4.7500000000000001E-2</v>
      </c>
      <c r="G24" s="1578"/>
      <c r="H24" s="2512" t="s">
        <v>1891</v>
      </c>
      <c r="I24" s="2507" t="s">
        <v>666</v>
      </c>
      <c r="J24" s="2505">
        <f ca="1">ROUND(J5*M24,0)</f>
        <v>0</v>
      </c>
      <c r="K24" s="2506" t="s">
        <v>1774</v>
      </c>
      <c r="L24" s="2507" t="s">
        <v>1747</v>
      </c>
      <c r="M24" s="2503">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1" t="s">
        <v>1775</v>
      </c>
      <c r="E25" s="1966"/>
      <c r="F25" s="56"/>
      <c r="G25" s="1577"/>
      <c r="H25" s="1813" t="s">
        <v>1776</v>
      </c>
      <c r="I25" s="2959" t="s">
        <v>2821</v>
      </c>
      <c r="J25" s="791">
        <f ca="1">J5-J16</f>
        <v>0</v>
      </c>
      <c r="K25" s="2509" t="s">
        <v>1777</v>
      </c>
      <c r="L25" s="2510"/>
      <c r="M25" s="2511"/>
    </row>
    <row r="26" spans="1:33" ht="18" customHeight="1">
      <c r="A26" s="1632" t="s">
        <v>1831</v>
      </c>
      <c r="B26" s="783" t="s">
        <v>2438</v>
      </c>
      <c r="C26" s="53">
        <f ca="1">ROUND((C19+C20)*F26,0)</f>
        <v>0</v>
      </c>
      <c r="D26" s="811" t="s">
        <v>1778</v>
      </c>
      <c r="E26" s="794" t="s">
        <v>1779</v>
      </c>
      <c r="F26" s="793">
        <f ca="1">INDIRECT("'数据-取费表'!q"&amp;$G$1)</f>
        <v>0</v>
      </c>
      <c r="G26" s="1577"/>
      <c r="H26" s="2463" t="s">
        <v>1780</v>
      </c>
      <c r="I26" s="2216" t="s">
        <v>2826</v>
      </c>
      <c r="J26" s="782">
        <f ca="1">IF(J5&lt;&gt;0,ROUND(J25*(1-((1+M28)/(1+M26))^M27)/(M26-M28),0),0)</f>
        <v>0</v>
      </c>
      <c r="K26" s="813" t="s">
        <v>1781</v>
      </c>
      <c r="L26" s="783" t="s">
        <v>2419</v>
      </c>
      <c r="M26" s="793">
        <f ca="1">INDIRECT("'数据-取费表'!I"&amp;$G$1)</f>
        <v>0</v>
      </c>
    </row>
    <row r="27" spans="1:33" ht="18" customHeight="1">
      <c r="A27" s="1632" t="s">
        <v>1832</v>
      </c>
      <c r="B27" s="783" t="s">
        <v>686</v>
      </c>
      <c r="C27" s="53">
        <f ca="1">ROUND(F21*F26,4)</f>
        <v>0</v>
      </c>
      <c r="D27" s="811" t="s">
        <v>1782</v>
      </c>
      <c r="E27" s="805"/>
      <c r="F27" s="806"/>
      <c r="G27" s="1577"/>
      <c r="H27" s="2464"/>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4" t="s">
        <v>1892</v>
      </c>
      <c r="B29" s="2502" t="s">
        <v>2300</v>
      </c>
      <c r="C29" s="2505">
        <f ca="1">ROUND((C19+C20+C23+C26)/(1-F21-C24-C27-C28),0)</f>
        <v>0</v>
      </c>
      <c r="D29" s="2506"/>
      <c r="E29" s="2507"/>
      <c r="F29" s="2508"/>
      <c r="G29" s="1578"/>
      <c r="H29" s="822" t="s">
        <v>1787</v>
      </c>
      <c r="I29" s="823" t="s">
        <v>1788</v>
      </c>
      <c r="J29" s="824">
        <f ca="1">ROUND(J26/(1+F40)^F41,0)</f>
        <v>0</v>
      </c>
      <c r="K29" s="825" t="s">
        <v>1789</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0</v>
      </c>
      <c r="D30" s="1805" t="s">
        <v>1791</v>
      </c>
      <c r="E30" s="2447"/>
      <c r="F30" s="2452"/>
      <c r="G30" s="2046"/>
      <c r="H30" s="2049"/>
      <c r="I30" s="2050"/>
      <c r="J30" s="2051"/>
      <c r="K30" s="2052"/>
      <c r="L30" s="2053"/>
      <c r="M30" s="2054"/>
    </row>
    <row r="31" spans="1:33" ht="18" customHeight="1">
      <c r="A31" s="1633" t="s">
        <v>1830</v>
      </c>
      <c r="B31" s="783" t="s">
        <v>656</v>
      </c>
      <c r="C31" s="53">
        <f ca="1">ROUND(IF(项目基本情况!B11="自然人",C5*F31,C32+C33+C34),1)</f>
        <v>0</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1680</v>
      </c>
      <c r="E33" s="783" t="s">
        <v>1796</v>
      </c>
      <c r="F33" s="808">
        <f>IF(D33="按租金收入计税",'数据-取费表'!B51,'数据-取费表'!B50)</f>
        <v>1.2E-2</v>
      </c>
      <c r="G33" s="2046"/>
      <c r="H33" s="2061"/>
      <c r="I33" s="2061"/>
      <c r="J33" s="2061"/>
      <c r="K33" s="2062"/>
      <c r="L33" s="2061"/>
      <c r="M33" s="2061"/>
    </row>
    <row r="34" spans="1:18" ht="18" customHeight="1">
      <c r="A34" s="1635" t="s">
        <v>1833</v>
      </c>
      <c r="B34" s="340" t="s">
        <v>1798</v>
      </c>
      <c r="C34" s="54">
        <f ca="1">ROUND(F34*F35/10000,1)</f>
        <v>0</v>
      </c>
      <c r="D34" s="813" t="s">
        <v>1799</v>
      </c>
      <c r="E34" s="783" t="s">
        <v>1800</v>
      </c>
      <c r="F34" s="639">
        <f>'数据-取费表'!B52</f>
        <v>0</v>
      </c>
      <c r="G34" s="2046"/>
      <c r="H34" s="2049"/>
      <c r="I34" s="834" t="s">
        <v>1813</v>
      </c>
      <c r="J34" s="835"/>
      <c r="K34" s="2064"/>
      <c r="L34" s="2063"/>
      <c r="M34" s="2063"/>
    </row>
    <row r="35" spans="1:18" ht="18" customHeight="1">
      <c r="A35" s="814"/>
      <c r="B35" s="792"/>
      <c r="C35" s="69"/>
      <c r="D35" s="815"/>
      <c r="E35" s="783" t="s">
        <v>1801</v>
      </c>
      <c r="F35" s="784">
        <f ca="1">INDIRECT("'数据-取费表'!r"&amp;$G$1)</f>
        <v>0</v>
      </c>
      <c r="G35" s="2046"/>
      <c r="H35" s="2049"/>
      <c r="I35" s="836" t="s">
        <v>1814</v>
      </c>
      <c r="J35" s="837">
        <f ca="1">ROUND(C13*J36,0)</f>
        <v>0</v>
      </c>
      <c r="K35" s="2062"/>
      <c r="L35" s="2061"/>
      <c r="M35" s="2061"/>
    </row>
    <row r="36" spans="1:18" ht="18" customHeight="1">
      <c r="A36" s="1633" t="s">
        <v>1889</v>
      </c>
      <c r="B36" s="783" t="s">
        <v>1802</v>
      </c>
      <c r="C36" s="53">
        <f ca="1">ROUND(C29*F36,1)</f>
        <v>0</v>
      </c>
      <c r="D36" s="1961" t="s">
        <v>1803</v>
      </c>
      <c r="E36" s="783" t="s">
        <v>1796</v>
      </c>
      <c r="F36" s="816">
        <f ca="1">INDIRECT("'数据-取费表'!Ak"&amp;$G$1)</f>
        <v>0</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0</v>
      </c>
      <c r="G37" s="2046"/>
      <c r="H37" s="2061"/>
      <c r="I37" s="840" t="s">
        <v>1816</v>
      </c>
      <c r="J37" s="841"/>
      <c r="K37" s="2066"/>
      <c r="L37" s="2061"/>
      <c r="M37" s="2061"/>
    </row>
    <row r="38" spans="1:18" ht="18" customHeight="1" thickBot="1">
      <c r="A38" s="2512" t="s">
        <v>1891</v>
      </c>
      <c r="B38" s="2507" t="s">
        <v>666</v>
      </c>
      <c r="C38" s="2505">
        <f ca="1">ROUND(C5*F38,1)</f>
        <v>0</v>
      </c>
      <c r="D38" s="2506" t="s">
        <v>1805</v>
      </c>
      <c r="E38" s="2507" t="s">
        <v>1796</v>
      </c>
      <c r="F38" s="2503">
        <f ca="1">INDIRECT("'数据-取费表'!Am"&amp;$G$1)</f>
        <v>0</v>
      </c>
      <c r="G38" s="2046"/>
      <c r="H38" s="2061"/>
      <c r="I38" s="842" t="s">
        <v>1817</v>
      </c>
      <c r="J38" s="843"/>
      <c r="K38" s="2067"/>
      <c r="L38" s="2061"/>
      <c r="M38" s="2061"/>
    </row>
    <row r="39" spans="1:18" ht="24.6" customHeight="1" thickTop="1">
      <c r="A39" s="1813" t="s">
        <v>1894</v>
      </c>
      <c r="B39" s="2959" t="s">
        <v>2821</v>
      </c>
      <c r="C39" s="791">
        <f ca="1">C5-C30</f>
        <v>0</v>
      </c>
      <c r="D39" s="2509" t="s">
        <v>1806</v>
      </c>
      <c r="E39" s="2510"/>
      <c r="F39" s="2511"/>
      <c r="G39" s="2046"/>
      <c r="H39" s="2061"/>
      <c r="I39" s="836" t="s">
        <v>1818</v>
      </c>
      <c r="J39" s="844" t="e">
        <f ca="1">ROUND(J35/C39,3)</f>
        <v>#DIV/0!</v>
      </c>
      <c r="K39" s="2067"/>
      <c r="L39" s="2061"/>
      <c r="M39" s="2061"/>
    </row>
    <row r="40" spans="1:18" ht="18" customHeight="1">
      <c r="A40" s="780" t="s">
        <v>1895</v>
      </c>
      <c r="B40" s="2216" t="s">
        <v>2301</v>
      </c>
      <c r="C40" s="782" t="e">
        <f ca="1">ROUND(C39*(1-((1+F42)/(1+F40))^F41)/(F40-F42),0)</f>
        <v>#DIV/0!</v>
      </c>
      <c r="D40" s="813" t="s">
        <v>1807</v>
      </c>
      <c r="E40" s="783" t="s">
        <v>2419</v>
      </c>
      <c r="F40" s="793">
        <f ca="1">INDIRECT("'数据-取费表'!I"&amp;$G$1)</f>
        <v>0</v>
      </c>
      <c r="G40" s="2046"/>
      <c r="H40" s="2046"/>
      <c r="I40" s="836" t="s">
        <v>1819</v>
      </c>
      <c r="J40" s="844" t="e">
        <f ca="1">1-J39</f>
        <v>#DIV/0!</v>
      </c>
      <c r="K40" s="2067"/>
      <c r="L40" s="2046"/>
      <c r="M40" s="2046"/>
    </row>
    <row r="41" spans="1:18" ht="18" customHeight="1">
      <c r="A41" s="785"/>
      <c r="B41" s="786"/>
      <c r="C41" s="787"/>
      <c r="D41" s="820" t="s">
        <v>1808</v>
      </c>
      <c r="E41" s="783" t="s">
        <v>2964</v>
      </c>
      <c r="F41" s="821">
        <f ca="1">IF(INDIRECT("'数据-取费表'!af"&amp;$G$1)=0,INDIRECT("'数据-取费表'!ae"&amp;$G$1),INDIRECT("'数据-取费表'!af"&amp;$G$1))</f>
        <v>0</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t="e">
        <f ca="1">ROUND(C13/C40,3)</f>
        <v>#DIV/0!</v>
      </c>
      <c r="K42" s="2066"/>
      <c r="L42" s="1972"/>
      <c r="M42" s="1972"/>
    </row>
    <row r="43" spans="1:18" ht="18" customHeight="1" thickBot="1">
      <c r="A43" s="822" t="s">
        <v>1787</v>
      </c>
      <c r="B43" s="823" t="s">
        <v>1810</v>
      </c>
      <c r="C43" s="824" t="e">
        <f ca="1">ROUND(C40*10000/F43,0)</f>
        <v>#DIV/0!</v>
      </c>
      <c r="D43" s="825" t="s">
        <v>1811</v>
      </c>
      <c r="E43" s="826" t="s">
        <v>1812</v>
      </c>
      <c r="F43" s="827">
        <f ca="1">INDIRECT("'数据-取费表'!k"&amp;$G$1)</f>
        <v>0</v>
      </c>
      <c r="G43" s="2046"/>
      <c r="H43" s="1972"/>
      <c r="I43" s="846" t="s">
        <v>1822</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5" t="e">
        <f ca="1">C67-C40</f>
        <v>#DIV/0!</v>
      </c>
      <c r="D46" s="2069"/>
      <c r="E46" s="2069"/>
      <c r="F46" s="2069"/>
      <c r="I46" s="2341" t="s">
        <v>2343</v>
      </c>
      <c r="J46" s="2342"/>
      <c r="K46" s="2343"/>
      <c r="L46" s="3106" t="e">
        <f ca="1">IF(OR(M47="住宅",D1="土地（套用方法）"),0,IF(L48&gt;J51,L60,J60))</f>
        <v>#DIV/0!</v>
      </c>
      <c r="O46" s="2357" t="s">
        <v>2410</v>
      </c>
      <c r="P46" s="1577"/>
      <c r="Q46" s="1588"/>
      <c r="R46" s="1577"/>
    </row>
    <row r="47" spans="1:18" s="2043" customFormat="1" ht="18" customHeight="1" thickBot="1">
      <c r="A47" s="2335">
        <v>1</v>
      </c>
      <c r="B47" s="2336" t="s">
        <v>635</v>
      </c>
      <c r="C47" s="2535">
        <f ca="1">C48+C52+C54</f>
        <v>0</v>
      </c>
      <c r="D47" s="2069"/>
      <c r="E47" s="2069"/>
      <c r="F47" s="2069"/>
      <c r="I47" s="3096" t="s">
        <v>2344</v>
      </c>
      <c r="J47" s="2344"/>
      <c r="K47" s="3103" t="s">
        <v>2349</v>
      </c>
      <c r="L47" s="3107">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3" t="s">
        <v>2537</v>
      </c>
      <c r="B48" s="2604" t="s">
        <v>2538</v>
      </c>
      <c r="C48" s="2337">
        <f ca="1">ROUND(F48*F50*F49*(1-F51)/10000,0)</f>
        <v>0</v>
      </c>
      <c r="D48" s="2338" t="s">
        <v>636</v>
      </c>
      <c r="E48" s="2339" t="s">
        <v>2296</v>
      </c>
      <c r="F48" s="2340"/>
      <c r="G48" s="2074"/>
      <c r="I48" s="3075" t="s">
        <v>2345</v>
      </c>
      <c r="J48" s="2345"/>
      <c r="K48" s="3104" t="s">
        <v>2351</v>
      </c>
      <c r="L48" s="1892">
        <f ca="1">INDIRECT("'数据-取费表'!f"&amp;$G$1)</f>
        <v>0</v>
      </c>
      <c r="O48" s="2361" t="s">
        <v>2379</v>
      </c>
      <c r="P48" s="2362" t="s">
        <v>2405</v>
      </c>
      <c r="Q48" s="2363" t="e">
        <f ca="1">C40+J29</f>
        <v>#DIV/0!</v>
      </c>
      <c r="R48" s="2362" t="s">
        <v>2380</v>
      </c>
    </row>
    <row r="49" spans="1:18" s="2043" customFormat="1" ht="18" customHeight="1" thickBot="1">
      <c r="A49" s="785"/>
      <c r="B49" s="786"/>
      <c r="C49" s="787"/>
      <c r="D49" s="788"/>
      <c r="E49" s="783" t="s">
        <v>1739</v>
      </c>
      <c r="F49" s="784">
        <f ca="1">F7</f>
        <v>0</v>
      </c>
      <c r="G49" s="2074"/>
      <c r="H49" s="2077"/>
      <c r="I49" s="3075" t="s">
        <v>2346</v>
      </c>
      <c r="J49" s="2346"/>
      <c r="K49" s="3105" t="s">
        <v>2352</v>
      </c>
      <c r="L49" s="2347"/>
      <c r="O49" s="2361" t="s">
        <v>2381</v>
      </c>
      <c r="P49" s="2362" t="s">
        <v>2406</v>
      </c>
      <c r="Q49" s="2363" t="e">
        <f ca="1">J60</f>
        <v>#DIV/0!</v>
      </c>
      <c r="R49" s="2362" t="s">
        <v>2382</v>
      </c>
    </row>
    <row r="50" spans="1:18" s="2043" customFormat="1" ht="18" customHeight="1" thickBot="1">
      <c r="A50" s="785"/>
      <c r="B50" s="786"/>
      <c r="C50" s="787"/>
      <c r="D50" s="788"/>
      <c r="E50" s="783" t="s">
        <v>1740</v>
      </c>
      <c r="F50" s="784">
        <f ca="1">F8</f>
        <v>0</v>
      </c>
      <c r="G50" s="2079"/>
      <c r="H50" s="2077"/>
      <c r="I50" s="3075" t="s">
        <v>2347</v>
      </c>
      <c r="J50" s="3100">
        <f>SUMPRODUCT((I63:I65=J47)*(J62:L62=J48)*(J63:L65))</f>
        <v>0</v>
      </c>
      <c r="K50" s="3105" t="s">
        <v>2353</v>
      </c>
      <c r="L50" s="2347"/>
      <c r="O50" s="2364" t="s">
        <v>2383</v>
      </c>
      <c r="P50" s="2362" t="s">
        <v>2407</v>
      </c>
      <c r="Q50" s="2363">
        <f ca="1">C29</f>
        <v>0</v>
      </c>
      <c r="R50" s="2362" t="s">
        <v>2380</v>
      </c>
    </row>
    <row r="51" spans="1:18" s="2043" customFormat="1" ht="18" customHeight="1" thickBot="1">
      <c r="A51" s="785"/>
      <c r="B51" s="786"/>
      <c r="C51" s="787"/>
      <c r="D51" s="788"/>
      <c r="E51" s="783" t="s">
        <v>640</v>
      </c>
      <c r="F51" s="2334"/>
      <c r="H51" s="2077"/>
      <c r="I51" s="3097" t="s">
        <v>2348</v>
      </c>
      <c r="J51" s="3101">
        <f>IF(J49="",J50,J49+J50-YEAR('数据-取费表'!B2))</f>
        <v>0</v>
      </c>
      <c r="K51" s="3075" t="s">
        <v>2354</v>
      </c>
      <c r="L51" s="3108">
        <f ca="1">ROUND(-PV(INDIRECT("'数据-取费表'!h"&amp;$G$1),L48,(C39-C13*J36),0),0)</f>
        <v>0</v>
      </c>
      <c r="O51" s="2364" t="s">
        <v>2384</v>
      </c>
      <c r="P51" s="2362" t="s">
        <v>2385</v>
      </c>
      <c r="Q51" s="2365" t="e">
        <f ca="1">J58</f>
        <v>#DIV/0!</v>
      </c>
      <c r="R51" s="2366"/>
    </row>
    <row r="52" spans="1:18" s="2043" customFormat="1" ht="18" customHeight="1" thickBot="1">
      <c r="A52" s="780" t="s">
        <v>2536</v>
      </c>
      <c r="B52" s="2455" t="s">
        <v>2459</v>
      </c>
      <c r="C52" s="798">
        <f ca="1">ROUND(IF(F52="押一",C48/12*F11,IF(F52="押二",C48/12*2*F11,IF(F52="押三",C48/12*3*F11,C53*F11))),0)</f>
        <v>0</v>
      </c>
      <c r="D52" s="2462" t="s">
        <v>2975</v>
      </c>
      <c r="E52" s="2459" t="s">
        <v>2464</v>
      </c>
      <c r="F52" s="2582"/>
      <c r="I52" s="3098" t="s">
        <v>2421</v>
      </c>
      <c r="J52" s="2348"/>
      <c r="K52" s="3098" t="s">
        <v>2420</v>
      </c>
      <c r="L52" s="2348"/>
      <c r="O52" s="2364" t="s">
        <v>2386</v>
      </c>
      <c r="P52" s="2362" t="s">
        <v>2387</v>
      </c>
      <c r="Q52" s="2365">
        <f>J52</f>
        <v>0</v>
      </c>
      <c r="R52" s="2366"/>
    </row>
    <row r="53" spans="1:18" s="2043" customFormat="1" ht="39.75" customHeight="1" thickBot="1">
      <c r="A53" s="785"/>
      <c r="B53" s="2456" t="s">
        <v>2573</v>
      </c>
      <c r="C53" s="2460"/>
      <c r="D53" s="2462"/>
      <c r="E53" s="2459"/>
      <c r="F53" s="799"/>
      <c r="I53" s="3099" t="s">
        <v>2978</v>
      </c>
      <c r="J53" s="3102">
        <f ca="1">IF(M47="住宅",IF(D1="——",MAX(J51,L48),MAX(J51,L48-'数据-取费表'!B20)),IF(D1="——",MIN(J51,L48),MIN(J51,L48-'数据-取费表'!B20)))</f>
        <v>0</v>
      </c>
      <c r="K53" s="3514" t="s">
        <v>2966</v>
      </c>
      <c r="L53" s="3515"/>
      <c r="O53" s="2364" t="s">
        <v>2388</v>
      </c>
      <c r="P53" s="2362" t="s">
        <v>2389</v>
      </c>
      <c r="Q53" s="2363">
        <f ca="1">J53</f>
        <v>0</v>
      </c>
      <c r="R53" s="2362" t="s">
        <v>2390</v>
      </c>
    </row>
    <row r="54" spans="1:18" s="2043" customFormat="1" ht="18" customHeight="1" thickBot="1">
      <c r="A54" s="2498" t="s">
        <v>2467</v>
      </c>
      <c r="B54" s="2499" t="s">
        <v>2460</v>
      </c>
      <c r="C54" s="2500"/>
      <c r="D54" s="2462"/>
      <c r="E54" s="2459"/>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2391</v>
      </c>
      <c r="P54" s="2362" t="s">
        <v>2408</v>
      </c>
      <c r="Q54" s="2363" t="e">
        <f ca="1">Q48+Q49</f>
        <v>#DIV/0!</v>
      </c>
      <c r="R54" s="2366" t="s">
        <v>2392</v>
      </c>
    </row>
    <row r="55" spans="1:18" s="2043" customFormat="1" ht="18" customHeight="1" thickTop="1" thickBot="1">
      <c r="A55" s="796">
        <v>2</v>
      </c>
      <c r="B55" s="797" t="s">
        <v>644</v>
      </c>
      <c r="C55" s="798">
        <f ca="1">C13</f>
        <v>0</v>
      </c>
      <c r="D55" s="794"/>
      <c r="E55" s="794"/>
      <c r="F55" s="799"/>
      <c r="I55" s="3111" t="s">
        <v>2355</v>
      </c>
      <c r="J55" s="3050" t="e">
        <f ca="1">ROUND(IF(J47="钢混",J57/J50,1-(1-2%)*(J50-J57)/J50),3)</f>
        <v>#DIV/0!</v>
      </c>
      <c r="K55" s="3112" t="s">
        <v>2356</v>
      </c>
      <c r="L55" s="2349"/>
      <c r="O55" s="2367" t="s">
        <v>2411</v>
      </c>
      <c r="P55" s="1577"/>
      <c r="Q55" s="1588"/>
      <c r="R55" s="1577"/>
    </row>
    <row r="56" spans="1:18" s="2043" customFormat="1" ht="42.75" customHeight="1" thickBot="1">
      <c r="A56" s="1634"/>
      <c r="B56" s="2215" t="s">
        <v>2302</v>
      </c>
      <c r="C56" s="53">
        <f ca="1">C29</f>
        <v>0</v>
      </c>
      <c r="D56" s="2600"/>
      <c r="E56" s="783"/>
      <c r="F56" s="808"/>
      <c r="I56" s="3113" t="s">
        <v>2357</v>
      </c>
      <c r="J56" s="3123"/>
      <c r="K56" s="3075" t="s">
        <v>2362</v>
      </c>
      <c r="L56" s="1892">
        <f ca="1">IF(L48&lt;J51,"——",L48-J51)</f>
        <v>0</v>
      </c>
      <c r="O56" s="2358" t="s">
        <v>2375</v>
      </c>
      <c r="P56" s="2359" t="s">
        <v>2376</v>
      </c>
      <c r="Q56" s="2360" t="s">
        <v>2377</v>
      </c>
      <c r="R56" s="2359" t="s">
        <v>2378</v>
      </c>
    </row>
    <row r="57" spans="1:18" s="2043" customFormat="1" ht="28.5" customHeight="1" thickBot="1">
      <c r="A57" s="796" t="s">
        <v>1748</v>
      </c>
      <c r="B57" s="797" t="s">
        <v>651</v>
      </c>
      <c r="C57" s="798">
        <f ca="1">ROUND(C58+C63+C64+C65,0)</f>
        <v>0</v>
      </c>
      <c r="D57" s="26" t="s">
        <v>1750</v>
      </c>
      <c r="E57" s="2601"/>
      <c r="F57" s="56"/>
      <c r="I57" s="3114" t="s">
        <v>2358</v>
      </c>
      <c r="J57" s="3115">
        <f ca="1">IF(OR(M47="住宅",J51&lt;L48,J56="是"),"——",J51-L48)</f>
        <v>0</v>
      </c>
      <c r="K57" s="3075" t="s">
        <v>2363</v>
      </c>
      <c r="L57" s="1892">
        <f ca="1">IF(L48&lt;J51,"——",IF(L55="比较法",L49,IF(L55="基准地价",L50,L51)))</f>
        <v>0</v>
      </c>
      <c r="O57" s="2361" t="s">
        <v>2379</v>
      </c>
      <c r="P57" s="2362" t="s">
        <v>2409</v>
      </c>
      <c r="Q57" s="2363" t="e">
        <f ca="1">C40+J29</f>
        <v>#DIV/0!</v>
      </c>
      <c r="R57" s="2362" t="s">
        <v>2380</v>
      </c>
    </row>
    <row r="58" spans="1:18" s="2043" customFormat="1" ht="28.5" customHeight="1" thickBot="1">
      <c r="A58" s="1633" t="s">
        <v>1824</v>
      </c>
      <c r="B58" s="783" t="s">
        <v>656</v>
      </c>
      <c r="C58" s="53">
        <f ca="1">ROUND(IF(项目基本情况!B11="自然人",C47*F58,C59+C60+C61),1)</f>
        <v>0</v>
      </c>
      <c r="D58" s="2599" t="s">
        <v>657</v>
      </c>
      <c r="E58" s="2600" t="s">
        <v>690</v>
      </c>
      <c r="F58" s="809" t="str">
        <f ca="1">IF(项目基本情况!B11="企业","",IF(INDIRECT("'数据-取费表'!c"&amp;$G$1)="住宅",5%,IF(F48*F49*F50/12/(1+'数据-取费表'!C42)&gt;20000,12%,7%)))</f>
        <v/>
      </c>
      <c r="I58" s="3114" t="s">
        <v>2359</v>
      </c>
      <c r="J58" s="3051" t="e">
        <f ca="1">IF(J55&lt;0.4,0.4,J55)</f>
        <v>#DIV/0!</v>
      </c>
      <c r="K58" s="3075" t="s">
        <v>2364</v>
      </c>
      <c r="L58" s="1892" t="e">
        <f ca="1">ROUND(POWER(1+L52,L47-L48)*(POWER(1+L52,L48)-1)/(POWER(1+L52,L47)-1),4)</f>
        <v>#DIV/0!</v>
      </c>
      <c r="O58" s="2361" t="s">
        <v>2381</v>
      </c>
      <c r="P58" s="2362" t="s">
        <v>2412</v>
      </c>
      <c r="Q58" s="2363" t="e">
        <f ca="1">L60</f>
        <v>#DIV/0!</v>
      </c>
      <c r="R58" s="2366" t="s">
        <v>2414</v>
      </c>
    </row>
    <row r="59" spans="1:18" s="2043" customFormat="1" ht="28.5" customHeight="1" thickBot="1">
      <c r="A59" s="1632" t="s">
        <v>1831</v>
      </c>
      <c r="B59" s="783" t="s">
        <v>660</v>
      </c>
      <c r="C59" s="53">
        <f ca="1">ROUND(C47*F59/1.05,1)</f>
        <v>0</v>
      </c>
      <c r="D59" s="2600" t="s">
        <v>1756</v>
      </c>
      <c r="E59" s="783" t="s">
        <v>1747</v>
      </c>
      <c r="F59" s="808">
        <f t="shared" ref="F59:F65" si="0">F32</f>
        <v>5.6000000000000001E-2</v>
      </c>
      <c r="I59" s="3114" t="s">
        <v>2360</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0" t="str">
        <f>D33</f>
        <v>按房产原值计税</v>
      </c>
      <c r="E60" s="783" t="s">
        <v>1747</v>
      </c>
      <c r="F60" s="808">
        <f t="shared" si="0"/>
        <v>1.2E-2</v>
      </c>
      <c r="I60" s="3116" t="s">
        <v>2361</v>
      </c>
      <c r="J60" s="3117" t="e">
        <f ca="1">IF(OR(M47="住宅",J51&lt;L48,J56="是"),"0",ROUND(J59/(1+J52)^J53,0))</f>
        <v>#DIV/0!</v>
      </c>
      <c r="K60" s="3118" t="s">
        <v>2366</v>
      </c>
      <c r="L60" s="3117" t="e">
        <f ca="1">IF(OR(M47="住宅",L48&lt;J51),0,ROUND(L57*(L58/L59-1),0))</f>
        <v>#DIV/0!</v>
      </c>
      <c r="O60" s="2364" t="s">
        <v>2384</v>
      </c>
      <c r="P60" s="2362" t="s">
        <v>2393</v>
      </c>
      <c r="Q60" s="2365">
        <f>L52</f>
        <v>0</v>
      </c>
      <c r="R60" s="2366"/>
    </row>
    <row r="61" spans="1:18" s="2043" customFormat="1" ht="18" customHeight="1" thickBot="1">
      <c r="A61" s="1635" t="s">
        <v>1833</v>
      </c>
      <c r="B61" s="340" t="s">
        <v>668</v>
      </c>
      <c r="C61" s="54">
        <f ca="1">ROUND(F61*F62/10000,1)</f>
        <v>0</v>
      </c>
      <c r="D61" s="813" t="s">
        <v>669</v>
      </c>
      <c r="E61" s="783" t="s">
        <v>670</v>
      </c>
      <c r="F61" s="639">
        <f t="shared" si="0"/>
        <v>0</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0</v>
      </c>
      <c r="I62" s="3119" t="s">
        <v>2367</v>
      </c>
      <c r="J62" s="3120" t="s">
        <v>2368</v>
      </c>
      <c r="K62" s="3120" t="s">
        <v>2369</v>
      </c>
      <c r="L62" s="3120" t="s">
        <v>2350</v>
      </c>
      <c r="M62" s="3121" t="s">
        <v>2943</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0</v>
      </c>
      <c r="D63" s="2600" t="s">
        <v>1803</v>
      </c>
      <c r="E63" s="783" t="s">
        <v>1747</v>
      </c>
      <c r="F63" s="816">
        <f t="shared" ca="1" si="0"/>
        <v>0</v>
      </c>
      <c r="I63" s="3119" t="s">
        <v>2370</v>
      </c>
      <c r="J63" s="3120">
        <v>70</v>
      </c>
      <c r="K63" s="3120">
        <v>50</v>
      </c>
      <c r="L63" s="3120">
        <v>80</v>
      </c>
      <c r="M63" s="3122">
        <v>0.02</v>
      </c>
      <c r="O63" s="2361" t="s">
        <v>2391</v>
      </c>
      <c r="P63" s="2362" t="s">
        <v>2408</v>
      </c>
      <c r="Q63" s="2363" t="e">
        <f ca="1">Q57+Q58</f>
        <v>#DIV/0!</v>
      </c>
      <c r="R63" s="2366" t="s">
        <v>2392</v>
      </c>
    </row>
    <row r="64" spans="1:18" s="2043" customFormat="1" ht="16.5" thickBot="1">
      <c r="A64" s="1633" t="s">
        <v>1890</v>
      </c>
      <c r="B64" s="783" t="s">
        <v>679</v>
      </c>
      <c r="C64" s="53">
        <f ca="1">ROUND(C55*F64,1)</f>
        <v>0</v>
      </c>
      <c r="D64" s="2600" t="s">
        <v>680</v>
      </c>
      <c r="E64" s="783" t="s">
        <v>1747</v>
      </c>
      <c r="F64" s="817">
        <f t="shared" ca="1" si="0"/>
        <v>0</v>
      </c>
      <c r="I64" s="3119" t="s">
        <v>2371</v>
      </c>
      <c r="J64" s="3120">
        <v>50</v>
      </c>
      <c r="K64" s="3120">
        <v>35</v>
      </c>
      <c r="L64" s="3120">
        <v>60</v>
      </c>
      <c r="M64" s="845">
        <v>0</v>
      </c>
      <c r="O64" s="2367" t="s">
        <v>2415</v>
      </c>
      <c r="P64" s="1577"/>
      <c r="Q64" s="1588"/>
      <c r="R64" s="1577"/>
    </row>
    <row r="65" spans="1:18" s="2043" customFormat="1" ht="15.75" thickBot="1">
      <c r="A65" s="1633" t="s">
        <v>1891</v>
      </c>
      <c r="B65" s="783" t="s">
        <v>666</v>
      </c>
      <c r="C65" s="53">
        <f ca="1">ROUND(C47*F65,1)</f>
        <v>0</v>
      </c>
      <c r="D65" s="2600" t="s">
        <v>683</v>
      </c>
      <c r="E65" s="783" t="s">
        <v>1747</v>
      </c>
      <c r="F65" s="793">
        <f t="shared" ca="1" si="0"/>
        <v>0</v>
      </c>
      <c r="I65" s="3119" t="s">
        <v>2372</v>
      </c>
      <c r="J65" s="3120">
        <v>40</v>
      </c>
      <c r="K65" s="3120">
        <v>30</v>
      </c>
      <c r="L65" s="3120">
        <v>50</v>
      </c>
      <c r="M65" s="3122">
        <v>0.02</v>
      </c>
      <c r="O65" s="2358" t="s">
        <v>2375</v>
      </c>
      <c r="P65" s="2359" t="s">
        <v>2376</v>
      </c>
      <c r="Q65" s="2360" t="s">
        <v>2377</v>
      </c>
      <c r="R65" s="2359" t="s">
        <v>2378</v>
      </c>
    </row>
    <row r="66" spans="1:18" s="2043" customFormat="1" ht="24.75" thickBot="1">
      <c r="A66" s="796" t="s">
        <v>1776</v>
      </c>
      <c r="B66" s="2960" t="s">
        <v>2821</v>
      </c>
      <c r="C66" s="798">
        <f ca="1">C47-C57</f>
        <v>0</v>
      </c>
      <c r="D66" s="2599" t="s">
        <v>700</v>
      </c>
      <c r="E66" s="2598"/>
      <c r="F66" s="819"/>
      <c r="K66" s="2070"/>
      <c r="O66" s="2361" t="s">
        <v>2379</v>
      </c>
      <c r="P66" s="2362" t="s">
        <v>2409</v>
      </c>
      <c r="Q66" s="2363" t="e">
        <f ca="1">C40+J29</f>
        <v>#DIV/0!</v>
      </c>
      <c r="R66" s="2362" t="s">
        <v>2380</v>
      </c>
    </row>
    <row r="67" spans="1:18" s="2043" customFormat="1" ht="20.25" thickBot="1">
      <c r="A67" s="780" t="s">
        <v>1780</v>
      </c>
      <c r="B67" s="2216" t="s">
        <v>2301</v>
      </c>
      <c r="C67" s="782" t="e">
        <f ca="1">ROUND(C66*(1-((1+F69)/(1+F67))^F68)/(F67-F69),0)</f>
        <v>#DIV/0!</v>
      </c>
      <c r="D67" s="813" t="s">
        <v>704</v>
      </c>
      <c r="E67" s="783" t="s">
        <v>705</v>
      </c>
      <c r="F67" s="793">
        <f ca="1">F40</f>
        <v>0</v>
      </c>
      <c r="K67" s="2070"/>
      <c r="O67" s="2361" t="s">
        <v>2381</v>
      </c>
      <c r="P67" s="2362" t="s">
        <v>2412</v>
      </c>
      <c r="Q67" s="2363" t="e">
        <f ca="1">L60</f>
        <v>#DIV/0!</v>
      </c>
      <c r="R67" s="2366" t="s">
        <v>2414</v>
      </c>
    </row>
    <row r="68" spans="1:18" ht="21.75" thickBot="1">
      <c r="A68" s="785"/>
      <c r="B68" s="786"/>
      <c r="C68" s="787"/>
      <c r="D68" s="820" t="s">
        <v>1808</v>
      </c>
      <c r="E68" s="783" t="s">
        <v>1784</v>
      </c>
      <c r="F68" s="821">
        <f ca="1">F41</f>
        <v>0</v>
      </c>
      <c r="O68" s="2364" t="s">
        <v>2383</v>
      </c>
      <c r="P68" s="2362" t="s">
        <v>2413</v>
      </c>
      <c r="Q68" s="2368">
        <f ca="1">L51</f>
        <v>0</v>
      </c>
      <c r="R68" s="2369" t="s">
        <v>2416</v>
      </c>
    </row>
    <row r="69" spans="1:18" ht="20.25" thickBot="1">
      <c r="A69" s="789"/>
      <c r="B69" s="790"/>
      <c r="C69" s="791"/>
      <c r="D69" s="815"/>
      <c r="E69" s="783" t="s">
        <v>710</v>
      </c>
      <c r="F69" s="2334"/>
      <c r="O69" s="2364" t="s">
        <v>2384</v>
      </c>
      <c r="P69" s="2370" t="s">
        <v>2398</v>
      </c>
      <c r="Q69" s="2363">
        <f ca="1">ROUND(Q70-Q71*Q72,0)</f>
        <v>0</v>
      </c>
      <c r="R69" s="2366"/>
    </row>
    <row r="70" spans="1:18" ht="15.75" thickBot="1">
      <c r="A70" s="822" t="s">
        <v>1787</v>
      </c>
      <c r="B70" s="823" t="s">
        <v>1810</v>
      </c>
      <c r="C70" s="824" t="e">
        <f ca="1">ROUND(C67*10000/F70,0)</f>
        <v>#DIV/0!</v>
      </c>
      <c r="D70" s="825" t="s">
        <v>1811</v>
      </c>
      <c r="E70" s="826" t="s">
        <v>1812</v>
      </c>
      <c r="F70" s="827">
        <f ca="1">F43</f>
        <v>0</v>
      </c>
      <c r="O70" s="2364" t="s">
        <v>2399</v>
      </c>
      <c r="P70" s="2370" t="s">
        <v>2400</v>
      </c>
      <c r="Q70" s="2363">
        <f ca="1">C39</f>
        <v>0</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t="e">
        <f ca="1">Q66+Q67</f>
        <v>#DIV/0!</v>
      </c>
      <c r="R76" s="2366"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2471</v>
      </c>
      <c r="B1" s="3517"/>
      <c r="C1" s="3518"/>
      <c r="D1" s="3519">
        <f>SUM(I10,I15,I20,I21,I23)</f>
        <v>0</v>
      </c>
      <c r="E1" s="3519"/>
      <c r="F1" s="3519"/>
      <c r="G1" s="3519"/>
      <c r="H1" s="3519"/>
      <c r="I1" s="3520"/>
    </row>
    <row r="2" spans="1:9">
      <c r="A2" s="3521" t="s">
        <v>2472</v>
      </c>
      <c r="B2" s="3522" t="s">
        <v>2473</v>
      </c>
      <c r="C2" s="3522"/>
      <c r="D2" s="2468" t="s">
        <v>2474</v>
      </c>
      <c r="E2" s="2468" t="s">
        <v>2475</v>
      </c>
      <c r="F2" s="2468" t="s">
        <v>2476</v>
      </c>
      <c r="G2" s="2468" t="s">
        <v>2477</v>
      </c>
      <c r="H2" s="2468" t="s">
        <v>2478</v>
      </c>
      <c r="I2" s="2469" t="s">
        <v>2479</v>
      </c>
    </row>
    <row r="3" spans="1:9">
      <c r="A3" s="3521"/>
      <c r="B3" s="3522" t="s">
        <v>2480</v>
      </c>
      <c r="C3" s="3522"/>
      <c r="D3" s="2470"/>
      <c r="E3" s="2468"/>
      <c r="F3" s="2471"/>
      <c r="G3" s="2471"/>
      <c r="H3" s="2472"/>
      <c r="I3" s="2473">
        <f>ROUND(D3*E3*F3*G3*H3/10000,0)</f>
        <v>0</v>
      </c>
    </row>
    <row r="4" spans="1:9">
      <c r="A4" s="3521"/>
      <c r="B4" s="3522" t="s">
        <v>2481</v>
      </c>
      <c r="C4" s="3522"/>
      <c r="D4" s="2470"/>
      <c r="E4" s="2468"/>
      <c r="F4" s="2471"/>
      <c r="G4" s="2471"/>
      <c r="H4" s="2472"/>
      <c r="I4" s="2473">
        <f t="shared" ref="I4:I9" si="0">ROUND(D4*E4*F4*G4*H4/10000,0)</f>
        <v>0</v>
      </c>
    </row>
    <row r="5" spans="1:9">
      <c r="A5" s="3521"/>
      <c r="B5" s="3522" t="s">
        <v>2482</v>
      </c>
      <c r="C5" s="3522"/>
      <c r="D5" s="2470"/>
      <c r="E5" s="2468"/>
      <c r="F5" s="2471"/>
      <c r="G5" s="2471"/>
      <c r="H5" s="2472"/>
      <c r="I5" s="2473">
        <f t="shared" si="0"/>
        <v>0</v>
      </c>
    </row>
    <row r="6" spans="1:9">
      <c r="A6" s="3521"/>
      <c r="B6" s="3522" t="s">
        <v>2483</v>
      </c>
      <c r="C6" s="3522"/>
      <c r="D6" s="2470"/>
      <c r="E6" s="2468"/>
      <c r="F6" s="2471"/>
      <c r="G6" s="2471"/>
      <c r="H6" s="2472"/>
      <c r="I6" s="2473">
        <f t="shared" si="0"/>
        <v>0</v>
      </c>
    </row>
    <row r="7" spans="1:9">
      <c r="A7" s="3521"/>
      <c r="B7" s="3522" t="s">
        <v>2484</v>
      </c>
      <c r="C7" s="3522"/>
      <c r="D7" s="2470"/>
      <c r="E7" s="2468"/>
      <c r="F7" s="2471"/>
      <c r="G7" s="2471"/>
      <c r="H7" s="2472"/>
      <c r="I7" s="2473">
        <f t="shared" si="0"/>
        <v>0</v>
      </c>
    </row>
    <row r="8" spans="1:9">
      <c r="A8" s="3521"/>
      <c r="B8" s="3522" t="s">
        <v>2485</v>
      </c>
      <c r="C8" s="3522"/>
      <c r="D8" s="2470"/>
      <c r="E8" s="2468"/>
      <c r="F8" s="2471"/>
      <c r="G8" s="2471"/>
      <c r="H8" s="2472"/>
      <c r="I8" s="2473">
        <f t="shared" si="0"/>
        <v>0</v>
      </c>
    </row>
    <row r="9" spans="1:9">
      <c r="A9" s="3521"/>
      <c r="B9" s="3522" t="s">
        <v>2486</v>
      </c>
      <c r="C9" s="3522"/>
      <c r="D9" s="2470"/>
      <c r="E9" s="2468"/>
      <c r="F9" s="2471"/>
      <c r="G9" s="2471"/>
      <c r="H9" s="2472"/>
      <c r="I9" s="2473">
        <f t="shared" si="0"/>
        <v>0</v>
      </c>
    </row>
    <row r="10" spans="1:9">
      <c r="A10" s="3521"/>
      <c r="B10" s="3523" t="s">
        <v>2487</v>
      </c>
      <c r="C10" s="3523"/>
      <c r="D10" s="2474">
        <v>527</v>
      </c>
      <c r="E10" s="2474" t="e">
        <f>ROUND(D1*10000/D10/H9,0)</f>
        <v>#DIV/0!</v>
      </c>
      <c r="F10" s="2475"/>
      <c r="G10" s="2475"/>
      <c r="H10" s="2476"/>
      <c r="I10" s="2477">
        <f>SUM(I3:I9)</f>
        <v>0</v>
      </c>
    </row>
    <row r="11" spans="1:9" ht="14.25">
      <c r="A11" s="3521" t="s">
        <v>2488</v>
      </c>
      <c r="B11" s="3522" t="s">
        <v>2489</v>
      </c>
      <c r="C11" s="3522"/>
      <c r="D11" s="2470" t="s">
        <v>2490</v>
      </c>
      <c r="E11" s="2470" t="s">
        <v>2491</v>
      </c>
      <c r="F11" s="2471" t="s">
        <v>2492</v>
      </c>
      <c r="G11" s="2471" t="s">
        <v>2493</v>
      </c>
      <c r="H11" s="2478" t="s">
        <v>2494</v>
      </c>
      <c r="I11" s="2469" t="s">
        <v>2495</v>
      </c>
    </row>
    <row r="12" spans="1:9">
      <c r="A12" s="3521"/>
      <c r="B12" s="3522" t="s">
        <v>2496</v>
      </c>
      <c r="C12" s="3522"/>
      <c r="D12" s="2470"/>
      <c r="E12" s="2470"/>
      <c r="F12" s="2471"/>
      <c r="G12" s="2472"/>
      <c r="H12" s="2479"/>
      <c r="I12" s="2469">
        <f>ROUND(D12*E12*F12*G12/10000,0)</f>
        <v>0</v>
      </c>
    </row>
    <row r="13" spans="1:9">
      <c r="A13" s="3521"/>
      <c r="B13" s="3522" t="s">
        <v>2497</v>
      </c>
      <c r="C13" s="3522"/>
      <c r="D13" s="2470"/>
      <c r="E13" s="2470"/>
      <c r="F13" s="2471"/>
      <c r="G13" s="2472"/>
      <c r="H13" s="2479"/>
      <c r="I13" s="2469">
        <f>ROUND(D13*E13*F13*G13/10000,0)</f>
        <v>0</v>
      </c>
    </row>
    <row r="14" spans="1:9">
      <c r="A14" s="3521"/>
      <c r="B14" s="3522" t="s">
        <v>2498</v>
      </c>
      <c r="C14" s="3522"/>
      <c r="D14" s="2470"/>
      <c r="E14" s="2470"/>
      <c r="F14" s="2471"/>
      <c r="G14" s="2472"/>
      <c r="H14" s="2479"/>
      <c r="I14" s="2469">
        <f>ROUND(D14*E14*F14*G14/10000,0)</f>
        <v>0</v>
      </c>
    </row>
    <row r="15" spans="1:9">
      <c r="A15" s="3521"/>
      <c r="B15" s="3523" t="s">
        <v>2487</v>
      </c>
      <c r="C15" s="3523"/>
      <c r="D15" s="2474"/>
      <c r="E15" s="2474">
        <f>SUM(E12:E14)</f>
        <v>0</v>
      </c>
      <c r="F15" s="2475"/>
      <c r="G15" s="2472"/>
      <c r="H15" s="2479"/>
      <c r="I15" s="2480">
        <f>SUM(I12:I14)</f>
        <v>0</v>
      </c>
    </row>
    <row r="16" spans="1:9" ht="24">
      <c r="A16" s="3521" t="s">
        <v>2499</v>
      </c>
      <c r="B16" s="3522" t="s">
        <v>2500</v>
      </c>
      <c r="C16" s="3522"/>
      <c r="D16" s="2470" t="s">
        <v>2501</v>
      </c>
      <c r="E16" s="2481" t="s">
        <v>2502</v>
      </c>
      <c r="F16" s="2471" t="s">
        <v>2503</v>
      </c>
      <c r="G16" s="2472" t="s">
        <v>2493</v>
      </c>
      <c r="H16" s="2478" t="s">
        <v>2494</v>
      </c>
      <c r="I16" s="2469" t="s">
        <v>2495</v>
      </c>
    </row>
    <row r="17" spans="1:9" ht="14.25">
      <c r="A17" s="3521"/>
      <c r="B17" s="3522" t="s">
        <v>2504</v>
      </c>
      <c r="C17" s="3522"/>
      <c r="D17" s="2470"/>
      <c r="E17" s="2470"/>
      <c r="F17" s="2471"/>
      <c r="G17" s="2472"/>
      <c r="H17" s="2482"/>
      <c r="I17" s="2483">
        <f>ROUND(D17*E17*F17*G17/10000,0)</f>
        <v>0</v>
      </c>
    </row>
    <row r="18" spans="1:9" ht="14.25">
      <c r="A18" s="3521"/>
      <c r="B18" s="3522" t="s">
        <v>2505</v>
      </c>
      <c r="C18" s="3522"/>
      <c r="D18" s="2470"/>
      <c r="E18" s="2470"/>
      <c r="F18" s="2471"/>
      <c r="G18" s="2472"/>
      <c r="H18" s="2482"/>
      <c r="I18" s="2483">
        <f>ROUND(D18*E18*F18*G18/10000,0)</f>
        <v>0</v>
      </c>
    </row>
    <row r="19" spans="1:9" ht="14.25">
      <c r="A19" s="3521"/>
      <c r="B19" s="3522" t="s">
        <v>2506</v>
      </c>
      <c r="C19" s="3522"/>
      <c r="D19" s="2470"/>
      <c r="E19" s="2470"/>
      <c r="F19" s="2471"/>
      <c r="G19" s="2472"/>
      <c r="H19" s="2482"/>
      <c r="I19" s="2483">
        <f>ROUND(D19*E19*F19*G19/10000,0)</f>
        <v>0</v>
      </c>
    </row>
    <row r="20" spans="1:9">
      <c r="A20" s="3521"/>
      <c r="B20" s="3523" t="s">
        <v>2487</v>
      </c>
      <c r="C20" s="3523"/>
      <c r="D20" s="2474">
        <f>SUM(D17:D19)</f>
        <v>0</v>
      </c>
      <c r="E20" s="2474"/>
      <c r="F20" s="2475"/>
      <c r="G20" s="2472"/>
      <c r="H20" s="2479"/>
      <c r="I20" s="2480">
        <f>SUM(I17:I19)</f>
        <v>0</v>
      </c>
    </row>
    <row r="21" spans="1:9">
      <c r="A21" s="3521" t="s">
        <v>2507</v>
      </c>
      <c r="B21" s="3525"/>
      <c r="C21" s="3525"/>
      <c r="D21" s="3525"/>
      <c r="E21" s="3525"/>
      <c r="F21" s="3525"/>
      <c r="G21" s="3525"/>
      <c r="H21" s="2484">
        <v>0.1</v>
      </c>
      <c r="I21" s="2477">
        <f>ROUND(I10*H21,0)</f>
        <v>0</v>
      </c>
    </row>
    <row r="22" spans="1:9" ht="14.25">
      <c r="A22" s="3526" t="s">
        <v>2508</v>
      </c>
      <c r="B22" s="3527"/>
      <c r="C22" s="3528"/>
      <c r="D22" s="2485" t="s">
        <v>2509</v>
      </c>
      <c r="E22" s="2485" t="s">
        <v>2510</v>
      </c>
      <c r="F22" s="2486" t="s">
        <v>2511</v>
      </c>
      <c r="G22" s="2486" t="s">
        <v>2512</v>
      </c>
      <c r="H22" s="2478" t="s">
        <v>2513</v>
      </c>
      <c r="I22" s="2469" t="s">
        <v>2514</v>
      </c>
    </row>
    <row r="23" spans="1:9" ht="14.25" thickBot="1">
      <c r="A23" s="3529"/>
      <c r="B23" s="3530"/>
      <c r="C23" s="3531"/>
      <c r="D23" s="2487"/>
      <c r="E23" s="2487"/>
      <c r="F23" s="2487"/>
      <c r="G23" s="2488"/>
      <c r="H23" s="2489"/>
      <c r="I23" s="2490">
        <f>ROUND(E23*D23*F23*(1-G23)/10000,0)</f>
        <v>0</v>
      </c>
    </row>
    <row r="26" spans="1:9">
      <c r="A26" s="2491" t="s">
        <v>2515</v>
      </c>
      <c r="B26" s="2491"/>
      <c r="C26" s="2491"/>
      <c r="D26" s="2491"/>
      <c r="E26" s="3532">
        <f>C27-C30-C31-C32</f>
        <v>0</v>
      </c>
      <c r="F26" s="3532"/>
      <c r="G26" s="3532"/>
      <c r="H26" s="2992" t="s">
        <v>2842</v>
      </c>
    </row>
    <row r="27" spans="1:9">
      <c r="A27" s="2492">
        <v>1</v>
      </c>
      <c r="B27" s="2493" t="s">
        <v>2516</v>
      </c>
      <c r="C27" s="2493"/>
      <c r="D27" s="2493"/>
      <c r="E27" s="3533"/>
      <c r="F27" s="3533"/>
      <c r="G27" s="3533"/>
    </row>
    <row r="28" spans="1:9">
      <c r="A28" s="2494" t="s">
        <v>2517</v>
      </c>
      <c r="B28" s="2493" t="s">
        <v>2518</v>
      </c>
      <c r="C28" s="2493"/>
      <c r="D28" s="2493"/>
      <c r="E28" s="3533"/>
      <c r="F28" s="3533"/>
      <c r="G28" s="3533"/>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524"/>
      <c r="F32" s="3524"/>
      <c r="G32" s="3524"/>
    </row>
    <row r="33" spans="1:7" hidden="1">
      <c r="A33" s="3534" t="s">
        <v>2526</v>
      </c>
      <c r="B33" s="3535"/>
      <c r="C33" s="3535"/>
      <c r="D33" s="3536"/>
      <c r="E33" s="3532"/>
      <c r="F33" s="3532"/>
      <c r="G33" s="3532"/>
    </row>
    <row r="34" spans="1:7" hidden="1">
      <c r="A34" s="2496">
        <v>1</v>
      </c>
      <c r="B34" s="2493" t="s">
        <v>2527</v>
      </c>
      <c r="C34" s="2493"/>
      <c r="D34" s="2493"/>
      <c r="E34" s="3533"/>
      <c r="F34" s="3533"/>
      <c r="G34" s="3533"/>
    </row>
    <row r="35" spans="1:7" hidden="1">
      <c r="A35" s="2496">
        <v>2</v>
      </c>
      <c r="B35" s="2493" t="s">
        <v>2528</v>
      </c>
      <c r="C35" s="2493"/>
      <c r="D35" s="2493"/>
      <c r="E35" s="3533"/>
      <c r="F35" s="3533"/>
      <c r="G35" s="3533"/>
    </row>
    <row r="36" spans="1:7" hidden="1">
      <c r="A36" s="2496">
        <v>3</v>
      </c>
      <c r="B36" s="2493" t="s">
        <v>2529</v>
      </c>
      <c r="C36" s="2493"/>
      <c r="D36" s="2493"/>
      <c r="E36" s="3533"/>
      <c r="F36" s="3533"/>
      <c r="G36" s="3533"/>
    </row>
    <row r="37" spans="1:7" hidden="1">
      <c r="A37" s="2496">
        <v>4</v>
      </c>
      <c r="B37" s="2493" t="s">
        <v>2530</v>
      </c>
      <c r="C37" s="2493"/>
      <c r="D37" s="2493"/>
      <c r="E37" s="3533"/>
      <c r="F37" s="3533"/>
      <c r="G37" s="3533"/>
    </row>
    <row r="38" spans="1:7" hidden="1">
      <c r="A38" s="3534" t="s">
        <v>2531</v>
      </c>
      <c r="B38" s="3535"/>
      <c r="C38" s="3535"/>
      <c r="D38" s="3536"/>
      <c r="E38" s="3532"/>
      <c r="F38" s="3532"/>
      <c r="G38" s="35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abSelected="1" topLeftCell="A7" workbookViewId="0">
      <selection activeCell="C15" sqref="C15"/>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39376</v>
      </c>
      <c r="C2" s="2092"/>
      <c r="D2" s="2092"/>
      <c r="E2" s="2092"/>
      <c r="F2" s="2092"/>
      <c r="G2" s="2092"/>
    </row>
    <row r="3" spans="1:25" s="2043" customFormat="1" ht="18" customHeight="1">
      <c r="A3" s="1374" t="s">
        <v>1685</v>
      </c>
      <c r="B3" s="424">
        <f ca="1">ROUND(B2*10000/'数据-汇总表'!E3,0)</f>
        <v>5066</v>
      </c>
      <c r="C3" s="2092"/>
      <c r="D3" s="2092"/>
      <c r="E3" s="2092"/>
      <c r="F3" s="2092"/>
      <c r="G3" s="2092"/>
    </row>
    <row r="4" spans="1:25" s="2043" customFormat="1" ht="18" customHeight="1">
      <c r="A4" s="425" t="s">
        <v>468</v>
      </c>
      <c r="B4" s="426">
        <f ca="1">ROUND(B2*10000/'数据-汇总表'!D3,0)</f>
        <v>5066</v>
      </c>
      <c r="C4" s="2045"/>
      <c r="D4" s="2092"/>
      <c r="E4" s="2092"/>
      <c r="F4" s="2092"/>
      <c r="G4" s="2092"/>
    </row>
    <row r="5" spans="1:25" s="2043" customFormat="1" ht="18" customHeight="1" thickBot="1">
      <c r="A5" s="428"/>
      <c r="B5" s="429">
        <f ca="1">ROUND(B2/('数据-汇总表'!D3/666.67),0)</f>
        <v>338</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1">
        <v>1</v>
      </c>
      <c r="B7" s="747" t="s">
        <v>609</v>
      </c>
      <c r="C7" s="748">
        <f>C8+C9</f>
        <v>31733.157659999997</v>
      </c>
      <c r="D7" s="748"/>
      <c r="E7" s="749"/>
      <c r="F7" s="749"/>
      <c r="G7" s="3184" t="s">
        <v>3005</v>
      </c>
      <c r="I7" s="2167">
        <f>土地案例!O16</f>
        <v>4286.0101265822786</v>
      </c>
      <c r="J7" s="2167">
        <f>土地案例!O18</f>
        <v>4110.0685521885516</v>
      </c>
      <c r="K7" s="2167">
        <f>土地案例!O22</f>
        <v>3852.7470937526136</v>
      </c>
    </row>
    <row r="8" spans="1:25" s="2167" customFormat="1" ht="13.5" customHeight="1">
      <c r="A8" s="2431" t="s">
        <v>2440</v>
      </c>
      <c r="B8" s="2434" t="s">
        <v>2442</v>
      </c>
      <c r="C8" s="3183">
        <f>J9*'数据-汇总表'!D3/10000</f>
        <v>31733.157659999997</v>
      </c>
      <c r="D8" s="748"/>
      <c r="E8" s="749"/>
      <c r="F8" s="749"/>
      <c r="G8" s="750"/>
    </row>
    <row r="9" spans="1:25" s="2167" customFormat="1" ht="13.5" customHeight="1">
      <c r="A9" s="2431" t="s">
        <v>2441</v>
      </c>
      <c r="B9" s="2434" t="s">
        <v>2443</v>
      </c>
      <c r="C9" s="2435"/>
      <c r="D9" s="748"/>
      <c r="E9" s="749"/>
      <c r="F9" s="749"/>
      <c r="G9" s="750"/>
      <c r="J9" s="2167">
        <f>ROUND((I7+J7+K7)/3,0)</f>
        <v>4083</v>
      </c>
    </row>
    <row r="10" spans="1:25" s="2167" customFormat="1" ht="36">
      <c r="A10" s="2431">
        <v>2</v>
      </c>
      <c r="B10" s="747" t="s">
        <v>613</v>
      </c>
      <c r="C10" s="748">
        <f>C11+C14+C15</f>
        <v>777.202</v>
      </c>
      <c r="D10" s="759">
        <f>'数据-汇总表'!E3</f>
        <v>77720.2</v>
      </c>
      <c r="E10" s="748">
        <f>'数据-取费表'!B31</f>
        <v>100</v>
      </c>
      <c r="F10" s="760"/>
      <c r="G10" s="758" t="s">
        <v>614</v>
      </c>
    </row>
    <row r="11" spans="1:25" s="2167" customFormat="1" ht="13.5" customHeight="1">
      <c r="A11" s="2431" t="s">
        <v>2440</v>
      </c>
      <c r="B11" s="751" t="s">
        <v>610</v>
      </c>
      <c r="C11" s="752">
        <f>'数据-取费表'!B29</f>
        <v>0</v>
      </c>
      <c r="D11" s="753"/>
      <c r="E11" s="752"/>
      <c r="F11" s="754"/>
      <c r="G11" s="2440" t="s">
        <v>2451</v>
      </c>
    </row>
    <row r="12" spans="1:25" s="2167" customFormat="1" ht="13.5" customHeight="1">
      <c r="A12" s="2438" t="s">
        <v>2448</v>
      </c>
      <c r="B12" s="755" t="s">
        <v>611</v>
      </c>
      <c r="C12" s="756">
        <f>ROUND(D12*E12/10000,0)</f>
        <v>1244</v>
      </c>
      <c r="D12" s="757">
        <f>'数据-汇总表'!E5</f>
        <v>77720.2</v>
      </c>
      <c r="E12" s="756">
        <f>'数据-取费表'!B27</f>
        <v>160</v>
      </c>
      <c r="F12" s="754"/>
      <c r="G12" s="758"/>
    </row>
    <row r="13" spans="1:25" s="2167" customFormat="1" ht="13.5" customHeight="1">
      <c r="A13" s="2438" t="s">
        <v>2447</v>
      </c>
      <c r="B13" s="755" t="s">
        <v>612</v>
      </c>
      <c r="C13" s="756">
        <f>ROUND(D13*E13/10000,0)</f>
        <v>0</v>
      </c>
      <c r="D13" s="757">
        <f>'数据-汇总表'!E6</f>
        <v>0</v>
      </c>
      <c r="E13" s="756">
        <f>'数据-取费表'!B28</f>
        <v>200</v>
      </c>
      <c r="F13" s="754"/>
      <c r="G13" s="758"/>
    </row>
    <row r="14" spans="1:25" s="2167" customFormat="1" ht="13.5" customHeight="1">
      <c r="A14" s="2431" t="s">
        <v>2441</v>
      </c>
      <c r="B14" s="2437" t="s">
        <v>2444</v>
      </c>
      <c r="C14" s="2435"/>
      <c r="D14" s="757"/>
      <c r="E14" s="756"/>
      <c r="F14" s="2436"/>
      <c r="G14" s="2439" t="s">
        <v>2449</v>
      </c>
    </row>
    <row r="15" spans="1:25" s="2167" customFormat="1" ht="13.5" customHeight="1">
      <c r="A15" s="2431" t="s">
        <v>2446</v>
      </c>
      <c r="B15" s="2437" t="s">
        <v>2445</v>
      </c>
      <c r="C15" s="2435">
        <f>'数据-汇总表'!D3*成本逼近法!E10/10000</f>
        <v>777.202</v>
      </c>
      <c r="D15" s="757"/>
      <c r="E15" s="756"/>
      <c r="F15" s="2436"/>
      <c r="G15" s="2439" t="s">
        <v>2450</v>
      </c>
    </row>
    <row r="16" spans="1:25" s="2168" customFormat="1" ht="48">
      <c r="A16" s="2431">
        <v>3</v>
      </c>
      <c r="B16" s="747" t="s">
        <v>615</v>
      </c>
      <c r="C16" s="2435"/>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2">
        <v>4</v>
      </c>
      <c r="B17" s="747" t="s">
        <v>616</v>
      </c>
      <c r="C17" s="2534">
        <f ca="1">ROUND(IF('数据-取费表'!B19&lt;=1,((C7+C16)*'数据-取费表'!B19+C10*'数据-取费表'!B19/2)*F17,((C7+C16)*(POWER((1+F17),'数据-取费表'!B19)-1)+C10*(POWER((1+F17),'数据-取费表'!B19/2)-1))),0)</f>
        <v>2315</v>
      </c>
      <c r="D17" s="761"/>
      <c r="E17" s="762"/>
      <c r="F17" s="763">
        <f ca="1">存贷款利率!E3</f>
        <v>4.7500000000000001E-2</v>
      </c>
      <c r="G17" s="764" t="str">
        <f>IF('数据-取费表'!B19&lt;=1,"((１＋３)×土地开发期+２×(土地开发期÷２))×利率","((１＋３)×((1+利率)^土地开发期-1)+２×((1+利率)^(土地开发期÷２)-1)")</f>
        <v>((１＋３)×((1+利率)^土地开发期-1)+２×((1+利率)^(土地开发期÷２)-1)</v>
      </c>
      <c r="H17" s="2442"/>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2">
        <v>5</v>
      </c>
      <c r="B18" s="747" t="s">
        <v>617</v>
      </c>
      <c r="C18" s="748">
        <f>ROUND((C7+C10+C16)*F18,0)</f>
        <v>4551</v>
      </c>
      <c r="D18" s="761"/>
      <c r="E18" s="762"/>
      <c r="F18" s="760">
        <f>'数据-取费表'!Q16</f>
        <v>0.14000000000000001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1">
        <v>6</v>
      </c>
      <c r="B19" s="747" t="s">
        <v>619</v>
      </c>
      <c r="C19" s="748">
        <f ca="1">C7+C10+C16+C17+C18</f>
        <v>39376.359660000002</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1">
        <v>7</v>
      </c>
      <c r="B20" s="747" t="s">
        <v>621</v>
      </c>
      <c r="C20" s="748">
        <f ca="1">ROUND(C19*F20,0)</f>
        <v>0</v>
      </c>
      <c r="D20" s="759"/>
      <c r="E20" s="748"/>
      <c r="F20" s="1344">
        <v>0</v>
      </c>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1">
        <v>8</v>
      </c>
      <c r="B21" s="747" t="s">
        <v>623</v>
      </c>
      <c r="C21" s="748">
        <f ca="1">C19+C20</f>
        <v>39376.359660000002</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1">
        <v>9</v>
      </c>
      <c r="B22" s="747" t="s">
        <v>625</v>
      </c>
      <c r="C22" s="748">
        <f ca="1">ROUND(C21*F22,0)</f>
        <v>39376</v>
      </c>
      <c r="D22" s="759"/>
      <c r="E22" s="748"/>
      <c r="F22" s="765">
        <f>'数据-取费表'!AP16</f>
        <v>1</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3">
        <v>10</v>
      </c>
      <c r="B23" s="766" t="s">
        <v>627</v>
      </c>
      <c r="C23" s="767">
        <f ca="1">C22</f>
        <v>39376</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3"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27" t="s">
        <v>522</v>
      </c>
      <c r="D4" s="3428"/>
      <c r="E4" s="3461" t="s">
        <v>523</v>
      </c>
      <c r="F4" s="3462"/>
      <c r="G4" s="3427" t="s">
        <v>524</v>
      </c>
      <c r="H4" s="3428"/>
      <c r="I4" s="3427" t="s">
        <v>525</v>
      </c>
      <c r="J4" s="3428"/>
      <c r="K4" s="852" t="s">
        <v>526</v>
      </c>
      <c r="L4" s="2117"/>
      <c r="M4" s="2118"/>
      <c r="N4" s="2118"/>
      <c r="O4" s="2118"/>
      <c r="P4" s="3429" t="s">
        <v>527</v>
      </c>
      <c r="Q4" s="3430"/>
      <c r="R4" s="3435" t="s">
        <v>523</v>
      </c>
      <c r="S4" s="3436"/>
      <c r="T4" s="3435" t="s">
        <v>524</v>
      </c>
      <c r="U4" s="3436"/>
      <c r="V4" s="3422" t="s">
        <v>525</v>
      </c>
      <c r="W4" s="3422"/>
      <c r="X4" s="1552"/>
      <c r="Y4" s="3435" t="s">
        <v>527</v>
      </c>
      <c r="Z4" s="3436"/>
      <c r="AA4" s="3424" t="s">
        <v>523</v>
      </c>
      <c r="AB4" s="3424" t="s">
        <v>524</v>
      </c>
      <c r="AC4" s="3424" t="s">
        <v>525</v>
      </c>
    </row>
    <row r="5" spans="1:29" ht="15">
      <c r="A5" s="514"/>
      <c r="B5" s="515"/>
      <c r="C5" s="3443" t="s">
        <v>2930</v>
      </c>
      <c r="D5" s="3444"/>
      <c r="E5" s="3463" t="s">
        <v>2931</v>
      </c>
      <c r="F5" s="3464"/>
      <c r="G5" s="3443" t="s">
        <v>2932</v>
      </c>
      <c r="H5" s="3444"/>
      <c r="I5" s="3443" t="s">
        <v>2933</v>
      </c>
      <c r="J5" s="3444"/>
      <c r="K5" s="853"/>
      <c r="L5" s="2117"/>
      <c r="M5" s="2118"/>
      <c r="N5" s="2118"/>
      <c r="O5" s="2118"/>
      <c r="P5" s="3431"/>
      <c r="Q5" s="3432"/>
      <c r="R5" s="3437"/>
      <c r="S5" s="3438"/>
      <c r="T5" s="3437"/>
      <c r="U5" s="3438"/>
      <c r="V5" s="3422"/>
      <c r="W5" s="3422"/>
      <c r="X5" s="1552"/>
      <c r="Y5" s="3437"/>
      <c r="Z5" s="3438"/>
      <c r="AA5" s="3425"/>
      <c r="AB5" s="3425"/>
      <c r="AC5" s="3425"/>
    </row>
    <row r="6" spans="1:29" ht="15.75" thickBot="1">
      <c r="A6" s="516"/>
      <c r="B6" s="517"/>
      <c r="C6" s="3441" t="s">
        <v>2934</v>
      </c>
      <c r="D6" s="3442"/>
      <c r="E6" s="3459" t="s">
        <v>2934</v>
      </c>
      <c r="F6" s="3460"/>
      <c r="G6" s="3441" t="s">
        <v>2934</v>
      </c>
      <c r="H6" s="3442"/>
      <c r="I6" s="3441" t="s">
        <v>2934</v>
      </c>
      <c r="J6" s="3442"/>
      <c r="K6" s="853" t="s">
        <v>528</v>
      </c>
      <c r="L6" s="2117"/>
      <c r="M6" s="2118"/>
      <c r="N6" s="2118"/>
      <c r="O6" s="2118"/>
      <c r="P6" s="3433"/>
      <c r="Q6" s="3434"/>
      <c r="R6" s="3437"/>
      <c r="S6" s="3438"/>
      <c r="T6" s="3439"/>
      <c r="U6" s="3440"/>
      <c r="V6" s="3422"/>
      <c r="W6" s="3422"/>
      <c r="X6" s="1552"/>
      <c r="Y6" s="3439"/>
      <c r="Z6" s="3440"/>
      <c r="AA6" s="3426"/>
      <c r="AB6" s="3426"/>
      <c r="AC6" s="3426"/>
    </row>
    <row r="7" spans="1:29" s="1215" customFormat="1" ht="15.75" thickBot="1">
      <c r="A7" s="2864"/>
      <c r="B7" s="2871" t="s">
        <v>529</v>
      </c>
      <c r="C7" s="518">
        <f>'数据-取费表'!B2</f>
        <v>43646</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52" t="s">
        <v>530</v>
      </c>
      <c r="Q7" s="3454"/>
      <c r="R7" s="1553" t="s">
        <v>13</v>
      </c>
      <c r="S7" s="1554">
        <f t="shared" ref="S7:S15" si="0">F7</f>
        <v>0</v>
      </c>
      <c r="T7" s="1553" t="s">
        <v>13</v>
      </c>
      <c r="U7" s="1554">
        <f t="shared" ref="U7:U15" si="1">H7</f>
        <v>0</v>
      </c>
      <c r="V7" s="1553" t="s">
        <v>13</v>
      </c>
      <c r="W7" s="1554">
        <f t="shared" ref="W7:W15"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52" t="s">
        <v>533</v>
      </c>
      <c r="Q8" s="3453"/>
      <c r="R8" s="1553" t="s">
        <v>13</v>
      </c>
      <c r="S8" s="1554">
        <f t="shared" si="0"/>
        <v>0</v>
      </c>
      <c r="T8" s="1553" t="s">
        <v>13</v>
      </c>
      <c r="U8" s="1554">
        <f t="shared" si="1"/>
        <v>0</v>
      </c>
      <c r="V8" s="1553" t="s">
        <v>13</v>
      </c>
      <c r="W8" s="1554">
        <f t="shared" si="2"/>
        <v>0</v>
      </c>
      <c r="X8" s="1555"/>
      <c r="Y8" s="3452" t="s">
        <v>533</v>
      </c>
      <c r="Z8" s="3453"/>
      <c r="AA8" s="1556" t="e">
        <f t="shared" ref="AA8:AA46" si="3">D8/F8</f>
        <v>#DIV/0!</v>
      </c>
      <c r="AB8" s="1556" t="e">
        <f t="shared" ref="AB8:AB46" si="4">D8/H8</f>
        <v>#DIV/0!</v>
      </c>
      <c r="AC8" s="1556" t="e">
        <f t="shared" ref="AC8:AC46" si="5">D8/J8</f>
        <v>#DIV/0!</v>
      </c>
    </row>
    <row r="9" spans="1:29" s="1215" customFormat="1" ht="15">
      <c r="A9" s="2866"/>
      <c r="B9" s="2873" t="s">
        <v>2756</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21" t="s">
        <v>535</v>
      </c>
      <c r="Q9" s="1146" t="str">
        <f t="shared" ref="Q9:Q15" si="6">B9</f>
        <v>用途</v>
      </c>
      <c r="R9" s="1553" t="s">
        <v>8</v>
      </c>
      <c r="S9" s="1554">
        <f t="shared" si="0"/>
        <v>100</v>
      </c>
      <c r="T9" s="1553" t="s">
        <v>8</v>
      </c>
      <c r="U9" s="1554">
        <f t="shared" si="1"/>
        <v>100</v>
      </c>
      <c r="V9" s="1553" t="s">
        <v>8</v>
      </c>
      <c r="W9" s="1554">
        <f t="shared" si="2"/>
        <v>100</v>
      </c>
      <c r="X9" s="1555"/>
      <c r="Y9" s="3367" t="s">
        <v>536</v>
      </c>
      <c r="Z9" s="1145" t="str">
        <f t="shared" ref="Z9:Z15" si="7">Q9</f>
        <v>用途</v>
      </c>
      <c r="AA9" s="1556">
        <f t="shared" si="3"/>
        <v>1</v>
      </c>
      <c r="AB9" s="1556">
        <f t="shared" si="4"/>
        <v>1</v>
      </c>
      <c r="AC9" s="1556">
        <f t="shared" si="5"/>
        <v>1</v>
      </c>
    </row>
    <row r="10" spans="1:29" s="1333" customFormat="1" ht="27">
      <c r="A10" s="2867"/>
      <c r="B10" s="2872" t="s">
        <v>2757</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8"/>
      <c r="B11" s="2872" t="s">
        <v>2758</v>
      </c>
      <c r="C11" s="532"/>
      <c r="D11" s="255">
        <v>100</v>
      </c>
      <c r="E11" s="533"/>
      <c r="F11" s="862" t="e">
        <f>LOOKUP(E11,68:68,69:69)-LOOKUP(C11,68:68,69:69)+100</f>
        <v>#N/A</v>
      </c>
      <c r="G11" s="532"/>
      <c r="H11" s="255" t="e">
        <f>LOOKUP(G11,68:68,69:69)-LOOKUP(C11,68:68,69:69)+100</f>
        <v>#N/A</v>
      </c>
      <c r="I11" s="532"/>
      <c r="J11" s="255" t="e">
        <f>LOOKUP(I11,68:68,69:69)-LOOKUP(C11,68:68,69:69)+100</f>
        <v>#N/A</v>
      </c>
      <c r="K11" s="863"/>
      <c r="L11" s="2124"/>
      <c r="M11" s="2118"/>
      <c r="N11" s="2118"/>
      <c r="O11" s="2125"/>
      <c r="P11" s="3421"/>
      <c r="Q11" s="1146" t="str">
        <f t="shared" si="6"/>
        <v>容积率</v>
      </c>
      <c r="R11" s="1553" t="s">
        <v>11</v>
      </c>
      <c r="S11" s="1554" t="e">
        <f t="shared" si="0"/>
        <v>#N/A</v>
      </c>
      <c r="T11" s="1553" t="s">
        <v>11</v>
      </c>
      <c r="U11" s="1554" t="e">
        <f t="shared" si="1"/>
        <v>#N/A</v>
      </c>
      <c r="V11" s="1553" t="s">
        <v>11</v>
      </c>
      <c r="W11" s="1554" t="e">
        <f t="shared" si="2"/>
        <v>#N/A</v>
      </c>
      <c r="X11" s="1555"/>
      <c r="Y11" s="3367"/>
      <c r="Z11" s="1145" t="str">
        <f t="shared" si="7"/>
        <v>容积率</v>
      </c>
      <c r="AA11" s="1556" t="e">
        <f t="shared" si="3"/>
        <v>#N/A</v>
      </c>
      <c r="AB11" s="1556" t="e">
        <f t="shared" si="4"/>
        <v>#N/A</v>
      </c>
      <c r="AC11" s="1556" t="e">
        <f t="shared" si="5"/>
        <v>#N/A</v>
      </c>
    </row>
    <row r="12" spans="1:29" s="1215" customFormat="1" ht="15">
      <c r="A12" s="2869"/>
      <c r="B12" s="2875">
        <v>111</v>
      </c>
      <c r="C12" s="527"/>
      <c r="D12" s="537">
        <v>100</v>
      </c>
      <c r="E12" s="527"/>
      <c r="F12" s="862">
        <f>SUMIF(70:70,E12,71:71)-SUMIF(70:70,C12,71:71)+100</f>
        <v>100</v>
      </c>
      <c r="G12" s="527"/>
      <c r="H12" s="255">
        <f>SUMIF(70:70,G12,71:71)-SUMIF(70:70,C12,71:71)+100</f>
        <v>100</v>
      </c>
      <c r="I12" s="527"/>
      <c r="J12" s="255">
        <f>SUMIF(70:70,I12,71:71)-SUMIF(70:70,C12,71:71)+100</f>
        <v>100</v>
      </c>
      <c r="K12" s="864"/>
      <c r="L12" s="2119"/>
      <c r="M12" s="2120"/>
      <c r="N12" s="2120"/>
      <c r="O12" s="2121"/>
      <c r="P12" s="3421"/>
      <c r="Q12" s="1146">
        <f t="shared" si="6"/>
        <v>111</v>
      </c>
      <c r="R12" s="1553" t="s">
        <v>11</v>
      </c>
      <c r="S12" s="1554">
        <f t="shared" si="0"/>
        <v>100</v>
      </c>
      <c r="T12" s="1553" t="s">
        <v>11</v>
      </c>
      <c r="U12" s="1554">
        <f t="shared" si="1"/>
        <v>100</v>
      </c>
      <c r="V12" s="1553" t="s">
        <v>11</v>
      </c>
      <c r="W12" s="1554">
        <f t="shared" si="2"/>
        <v>100</v>
      </c>
      <c r="X12" s="1555"/>
      <c r="Y12" s="3367"/>
      <c r="Z12" s="1145">
        <f t="shared" si="7"/>
        <v>111</v>
      </c>
      <c r="AA12" s="1556">
        <f>D12/F12</f>
        <v>1</v>
      </c>
      <c r="AB12" s="1556">
        <f>D12/H12</f>
        <v>1</v>
      </c>
      <c r="AC12" s="1556">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21"/>
      <c r="Q13" s="1146">
        <f t="shared" si="6"/>
        <v>111</v>
      </c>
      <c r="R13" s="1553" t="s">
        <v>11</v>
      </c>
      <c r="S13" s="1554">
        <f t="shared" si="0"/>
        <v>100</v>
      </c>
      <c r="T13" s="1553" t="s">
        <v>11</v>
      </c>
      <c r="U13" s="1554">
        <f t="shared" si="1"/>
        <v>100</v>
      </c>
      <c r="V13" s="1553" t="s">
        <v>11</v>
      </c>
      <c r="W13" s="1554">
        <f t="shared" si="2"/>
        <v>100</v>
      </c>
      <c r="X13" s="1555"/>
      <c r="Y13" s="3367"/>
      <c r="Z13" s="1145">
        <f t="shared" si="7"/>
        <v>111</v>
      </c>
      <c r="AA13" s="1556">
        <f t="shared" si="3"/>
        <v>1</v>
      </c>
      <c r="AB13" s="1556">
        <f t="shared" si="4"/>
        <v>1</v>
      </c>
      <c r="AC13" s="1556">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21"/>
      <c r="Q14" s="1146">
        <f t="shared" si="6"/>
        <v>111</v>
      </c>
      <c r="R14" s="1553" t="s">
        <v>11</v>
      </c>
      <c r="S14" s="1554">
        <f t="shared" si="0"/>
        <v>100</v>
      </c>
      <c r="T14" s="1553" t="s">
        <v>11</v>
      </c>
      <c r="U14" s="1554">
        <f t="shared" si="1"/>
        <v>100</v>
      </c>
      <c r="V14" s="1553" t="s">
        <v>11</v>
      </c>
      <c r="W14" s="1554">
        <f t="shared" si="2"/>
        <v>100</v>
      </c>
      <c r="X14" s="1555"/>
      <c r="Y14" s="3367"/>
      <c r="Z14" s="1145">
        <f t="shared" si="7"/>
        <v>111</v>
      </c>
      <c r="AA14" s="1556">
        <f t="shared" si="3"/>
        <v>1</v>
      </c>
      <c r="AB14" s="1556">
        <f t="shared" si="4"/>
        <v>1</v>
      </c>
      <c r="AC14" s="1556">
        <f t="shared" si="5"/>
        <v>1</v>
      </c>
    </row>
    <row r="15" spans="1:29" ht="99.75">
      <c r="A15" s="2862"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55" t="s">
        <v>540</v>
      </c>
      <c r="Q15" s="1557" t="str">
        <f t="shared" si="6"/>
        <v>居住社区成熟度</v>
      </c>
      <c r="R15" s="1558" t="s">
        <v>11</v>
      </c>
      <c r="S15" s="1559">
        <f t="shared" si="0"/>
        <v>100</v>
      </c>
      <c r="T15" s="1558" t="s">
        <v>11</v>
      </c>
      <c r="U15" s="1559">
        <f t="shared" si="1"/>
        <v>100</v>
      </c>
      <c r="V15" s="1558" t="s">
        <v>11</v>
      </c>
      <c r="W15" s="1559">
        <f t="shared" si="2"/>
        <v>100</v>
      </c>
      <c r="X15" s="1552"/>
      <c r="Y15" s="3455"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456"/>
      <c r="Q16" s="1557"/>
      <c r="R16" s="1558"/>
      <c r="S16" s="1559"/>
      <c r="T16" s="1558"/>
      <c r="U16" s="1559"/>
      <c r="V16" s="1558"/>
      <c r="W16" s="1559"/>
      <c r="X16" s="1552"/>
      <c r="Y16" s="345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56"/>
      <c r="Q17" s="1557" t="str">
        <f>B17</f>
        <v>交通便捷度</v>
      </c>
      <c r="R17" s="1558" t="s">
        <v>11</v>
      </c>
      <c r="S17" s="1559">
        <f>F17</f>
        <v>100</v>
      </c>
      <c r="T17" s="1558" t="s">
        <v>11</v>
      </c>
      <c r="U17" s="1559">
        <f>H17</f>
        <v>100</v>
      </c>
      <c r="V17" s="1558" t="s">
        <v>11</v>
      </c>
      <c r="W17" s="1559">
        <f>J17</f>
        <v>100</v>
      </c>
      <c r="X17" s="1552"/>
      <c r="Y17" s="345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456"/>
      <c r="Q18" s="1557"/>
      <c r="R18" s="1558"/>
      <c r="S18" s="1559"/>
      <c r="T18" s="1558"/>
      <c r="U18" s="1559"/>
      <c r="V18" s="1558"/>
      <c r="W18" s="1559"/>
      <c r="X18" s="1552"/>
      <c r="Y18" s="3456"/>
      <c r="Z18" s="1560"/>
      <c r="AA18" s="1561">
        <v>1</v>
      </c>
      <c r="AB18" s="1561">
        <v>1</v>
      </c>
      <c r="AC18" s="1561">
        <v>1</v>
      </c>
    </row>
    <row r="19" spans="1:29" ht="42.75">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56"/>
      <c r="Q19" s="1557" t="str">
        <f>B19</f>
        <v>公共配套设施</v>
      </c>
      <c r="R19" s="1558" t="s">
        <v>11</v>
      </c>
      <c r="S19" s="1559">
        <f>F19</f>
        <v>100</v>
      </c>
      <c r="T19" s="1558" t="s">
        <v>11</v>
      </c>
      <c r="U19" s="1559">
        <f>H19</f>
        <v>100</v>
      </c>
      <c r="V19" s="1558" t="s">
        <v>11</v>
      </c>
      <c r="W19" s="1559">
        <f>J19</f>
        <v>100</v>
      </c>
      <c r="X19" s="1552"/>
      <c r="Y19" s="345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456"/>
      <c r="Q20" s="1557"/>
      <c r="R20" s="1558"/>
      <c r="S20" s="1559"/>
      <c r="T20" s="1558"/>
      <c r="U20" s="1559"/>
      <c r="V20" s="1558"/>
      <c r="W20" s="1559"/>
      <c r="X20" s="1552"/>
      <c r="Y20" s="3456"/>
      <c r="Z20" s="1560"/>
      <c r="AA20" s="1561">
        <v>1</v>
      </c>
      <c r="AB20" s="1561">
        <v>1</v>
      </c>
      <c r="AC20" s="1561">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56"/>
      <c r="Q21" s="2540" t="str">
        <f>B21</f>
        <v>基础设施水平</v>
      </c>
      <c r="R21" s="1558" t="s">
        <v>11</v>
      </c>
      <c r="S21" s="1559">
        <f>F21</f>
        <v>100</v>
      </c>
      <c r="T21" s="1558" t="s">
        <v>11</v>
      </c>
      <c r="U21" s="1559">
        <f>H21</f>
        <v>100</v>
      </c>
      <c r="V21" s="1558" t="s">
        <v>11</v>
      </c>
      <c r="W21" s="1559">
        <f>J21</f>
        <v>100</v>
      </c>
      <c r="X21" s="2542"/>
      <c r="Y21" s="3456"/>
      <c r="Z21" s="2541"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0"/>
      <c r="L22" s="2126"/>
      <c r="M22" s="2118"/>
      <c r="N22" s="2118"/>
      <c r="O22" s="2125"/>
      <c r="P22" s="3456"/>
      <c r="Q22" s="2540"/>
      <c r="R22" s="1558"/>
      <c r="S22" s="1559"/>
      <c r="T22" s="1558"/>
      <c r="U22" s="1559"/>
      <c r="V22" s="1558"/>
      <c r="W22" s="1559"/>
      <c r="X22" s="2542"/>
      <c r="Y22" s="3456"/>
      <c r="Z22" s="2541"/>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56"/>
      <c r="Q23" s="1557" t="str">
        <f>B23</f>
        <v>自然及人文环境</v>
      </c>
      <c r="R23" s="1558" t="s">
        <v>11</v>
      </c>
      <c r="S23" s="1559">
        <f>F23</f>
        <v>100</v>
      </c>
      <c r="T23" s="1558" t="s">
        <v>11</v>
      </c>
      <c r="U23" s="1559">
        <f>H23</f>
        <v>100</v>
      </c>
      <c r="V23" s="1558" t="s">
        <v>11</v>
      </c>
      <c r="W23" s="1559">
        <f>J23</f>
        <v>100</v>
      </c>
      <c r="X23" s="1552"/>
      <c r="Y23" s="345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456"/>
      <c r="Q24" s="1557"/>
      <c r="R24" s="1558"/>
      <c r="S24" s="1559"/>
      <c r="T24" s="1558"/>
      <c r="U24" s="1559"/>
      <c r="V24" s="1558"/>
      <c r="W24" s="1559"/>
      <c r="X24" s="1552"/>
      <c r="Y24" s="3456"/>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56"/>
      <c r="Q25" s="1557" t="str">
        <f t="shared" ref="Q25:Q46" si="11">B25</f>
        <v>楼层-1</v>
      </c>
      <c r="R25" s="1558" t="s">
        <v>11</v>
      </c>
      <c r="S25" s="1559">
        <f>F25</f>
        <v>100</v>
      </c>
      <c r="T25" s="1558" t="s">
        <v>11</v>
      </c>
      <c r="U25" s="1559">
        <f>H25</f>
        <v>100</v>
      </c>
      <c r="V25" s="1558" t="s">
        <v>11</v>
      </c>
      <c r="W25" s="1559">
        <f>J25</f>
        <v>100</v>
      </c>
      <c r="X25" s="1552"/>
      <c r="Y25" s="3456"/>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56"/>
      <c r="Q26" s="1557" t="str">
        <f t="shared" si="11"/>
        <v>朝向</v>
      </c>
      <c r="R26" s="1558" t="s">
        <v>11</v>
      </c>
      <c r="S26" s="1559">
        <f>F26</f>
        <v>100</v>
      </c>
      <c r="T26" s="1558" t="s">
        <v>11</v>
      </c>
      <c r="U26" s="1559">
        <f>H26</f>
        <v>100</v>
      </c>
      <c r="V26" s="1558" t="s">
        <v>11</v>
      </c>
      <c r="W26" s="1559">
        <f>J26</f>
        <v>100</v>
      </c>
      <c r="X26" s="1552"/>
      <c r="Y26" s="3456"/>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56"/>
      <c r="Q27" s="1146" t="str">
        <f t="shared" si="11"/>
        <v>道路级别</v>
      </c>
      <c r="R27" s="1553" t="s">
        <v>11</v>
      </c>
      <c r="S27" s="1554">
        <f>F27</f>
        <v>100</v>
      </c>
      <c r="T27" s="1553" t="s">
        <v>11</v>
      </c>
      <c r="U27" s="1554">
        <f>H27</f>
        <v>100</v>
      </c>
      <c r="V27" s="1553" t="s">
        <v>11</v>
      </c>
      <c r="W27" s="1554">
        <f>J27</f>
        <v>100</v>
      </c>
      <c r="X27" s="1555"/>
      <c r="Y27" s="3456"/>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5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56"/>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56"/>
      <c r="Q29" s="1557">
        <f t="shared" si="11"/>
        <v>111</v>
      </c>
      <c r="R29" s="1558" t="s">
        <v>11</v>
      </c>
      <c r="S29" s="1559">
        <f t="shared" si="12"/>
        <v>100</v>
      </c>
      <c r="T29" s="1558" t="s">
        <v>11</v>
      </c>
      <c r="U29" s="1559">
        <f t="shared" si="13"/>
        <v>100</v>
      </c>
      <c r="V29" s="1558" t="s">
        <v>11</v>
      </c>
      <c r="W29" s="1559">
        <f t="shared" si="14"/>
        <v>100</v>
      </c>
      <c r="X29" s="1552"/>
      <c r="Y29" s="345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56"/>
      <c r="Q30" s="1557">
        <f t="shared" si="11"/>
        <v>111</v>
      </c>
      <c r="R30" s="1558" t="s">
        <v>11</v>
      </c>
      <c r="S30" s="1559">
        <f t="shared" si="12"/>
        <v>100</v>
      </c>
      <c r="T30" s="1558" t="s">
        <v>11</v>
      </c>
      <c r="U30" s="1559">
        <f t="shared" si="13"/>
        <v>100</v>
      </c>
      <c r="V30" s="1558" t="s">
        <v>11</v>
      </c>
      <c r="W30" s="1559">
        <f t="shared" si="14"/>
        <v>100</v>
      </c>
      <c r="X30" s="1552"/>
      <c r="Y30" s="3456"/>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56"/>
      <c r="Q31" s="1557">
        <f t="shared" si="11"/>
        <v>111</v>
      </c>
      <c r="R31" s="1558" t="s">
        <v>11</v>
      </c>
      <c r="S31" s="1559">
        <f t="shared" si="12"/>
        <v>100</v>
      </c>
      <c r="T31" s="1558" t="s">
        <v>11</v>
      </c>
      <c r="U31" s="1559">
        <f t="shared" si="13"/>
        <v>100</v>
      </c>
      <c r="V31" s="1558" t="s">
        <v>11</v>
      </c>
      <c r="W31" s="1559">
        <f t="shared" si="14"/>
        <v>100</v>
      </c>
      <c r="X31" s="1552"/>
      <c r="Y31" s="3456"/>
      <c r="Z31" s="1560">
        <f t="shared" si="15"/>
        <v>111</v>
      </c>
      <c r="AA31" s="1561">
        <f t="shared" si="3"/>
        <v>1</v>
      </c>
      <c r="AB31" s="1561">
        <f t="shared" si="4"/>
        <v>1</v>
      </c>
      <c r="AC31" s="1561">
        <f t="shared" si="5"/>
        <v>1</v>
      </c>
    </row>
    <row r="32" spans="1:29" ht="15">
      <c r="A32" s="2859"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57" t="s">
        <v>550</v>
      </c>
      <c r="Q32" s="1557" t="str">
        <f t="shared" si="11"/>
        <v>建筑类型</v>
      </c>
      <c r="R32" s="1558" t="s">
        <v>11</v>
      </c>
      <c r="S32" s="1559">
        <f t="shared" si="12"/>
        <v>100</v>
      </c>
      <c r="T32" s="1558" t="s">
        <v>11</v>
      </c>
      <c r="U32" s="1559">
        <f t="shared" si="13"/>
        <v>100</v>
      </c>
      <c r="V32" s="1558" t="s">
        <v>11</v>
      </c>
      <c r="W32" s="1559">
        <f t="shared" si="14"/>
        <v>100</v>
      </c>
      <c r="X32" s="1552"/>
      <c r="Y32" s="3458" t="s">
        <v>550</v>
      </c>
      <c r="Z32" s="1560" t="str">
        <f t="shared" si="15"/>
        <v>建筑类型</v>
      </c>
      <c r="AA32" s="1561">
        <f t="shared" si="3"/>
        <v>1</v>
      </c>
      <c r="AB32" s="1561">
        <f t="shared" si="4"/>
        <v>1</v>
      </c>
      <c r="AC32" s="1561">
        <f t="shared" si="5"/>
        <v>1</v>
      </c>
    </row>
    <row r="33" spans="1:29" s="1334" customFormat="1" ht="15">
      <c r="A33" s="602"/>
      <c r="B33" s="526" t="s">
        <v>726</v>
      </c>
      <c r="C33" s="879"/>
      <c r="D33" s="255">
        <v>100</v>
      </c>
      <c r="E33" s="533"/>
      <c r="F33" s="862" t="e">
        <f>LOOKUP(E33,103:103,104:104)-LOOKUP(C33,103:103,104:104)+100</f>
        <v>#N/A</v>
      </c>
      <c r="G33" s="532"/>
      <c r="H33" s="255" t="e">
        <f>LOOKUP(G33,103:103,104:104)-LOOKUP(C33,103:103,104:104)+100</f>
        <v>#N/A</v>
      </c>
      <c r="I33" s="533"/>
      <c r="J33" s="255" t="e">
        <f>LOOKUP(I33,103:103,104:104)-LOOKUP(C33,103:103,104:104)+100</f>
        <v>#N/A</v>
      </c>
      <c r="K33" s="864"/>
      <c r="L33" s="2124"/>
      <c r="M33" s="2155"/>
      <c r="N33" s="2155"/>
      <c r="O33" s="2127"/>
      <c r="P33" s="3458"/>
      <c r="Q33" s="1589" t="str">
        <f t="shared" si="11"/>
        <v>项目建筑规模</v>
      </c>
      <c r="R33" s="1562" t="s">
        <v>11</v>
      </c>
      <c r="S33" s="1563" t="e">
        <f t="shared" si="12"/>
        <v>#N/A</v>
      </c>
      <c r="T33" s="1562" t="s">
        <v>11</v>
      </c>
      <c r="U33" s="1563" t="e">
        <f t="shared" si="13"/>
        <v>#N/A</v>
      </c>
      <c r="V33" s="1562" t="s">
        <v>11</v>
      </c>
      <c r="W33" s="1563" t="e">
        <f t="shared" si="14"/>
        <v>#N/A</v>
      </c>
      <c r="X33" s="1564"/>
      <c r="Y33" s="3458"/>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58"/>
      <c r="Q34" s="1557" t="str">
        <f t="shared" si="11"/>
        <v>建筑结构</v>
      </c>
      <c r="R34" s="1558" t="s">
        <v>11</v>
      </c>
      <c r="S34" s="1559">
        <f t="shared" si="12"/>
        <v>100</v>
      </c>
      <c r="T34" s="1558" t="s">
        <v>11</v>
      </c>
      <c r="U34" s="1559">
        <f t="shared" si="13"/>
        <v>100</v>
      </c>
      <c r="V34" s="1558" t="s">
        <v>11</v>
      </c>
      <c r="W34" s="1559">
        <f t="shared" si="14"/>
        <v>100</v>
      </c>
      <c r="X34" s="1552"/>
      <c r="Y34" s="3458"/>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58"/>
      <c r="Q35" s="1557" t="str">
        <f t="shared" si="11"/>
        <v>建筑品质</v>
      </c>
      <c r="R35" s="1558" t="s">
        <v>11</v>
      </c>
      <c r="S35" s="1559">
        <f t="shared" si="12"/>
        <v>100</v>
      </c>
      <c r="T35" s="1558" t="s">
        <v>11</v>
      </c>
      <c r="U35" s="1559">
        <f t="shared" si="13"/>
        <v>100</v>
      </c>
      <c r="V35" s="1558" t="s">
        <v>11</v>
      </c>
      <c r="W35" s="1559">
        <f t="shared" si="14"/>
        <v>100</v>
      </c>
      <c r="X35" s="1552"/>
      <c r="Y35" s="3458"/>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58"/>
      <c r="Q36" s="1557" t="str">
        <f t="shared" si="11"/>
        <v>公共部分装修</v>
      </c>
      <c r="R36" s="1558" t="s">
        <v>11</v>
      </c>
      <c r="S36" s="1559">
        <f t="shared" si="12"/>
        <v>100</v>
      </c>
      <c r="T36" s="1558" t="s">
        <v>11</v>
      </c>
      <c r="U36" s="1559">
        <f t="shared" si="13"/>
        <v>100</v>
      </c>
      <c r="V36" s="1558" t="s">
        <v>11</v>
      </c>
      <c r="W36" s="1559">
        <f t="shared" si="14"/>
        <v>100</v>
      </c>
      <c r="X36" s="1552"/>
      <c r="Y36" s="3458"/>
      <c r="Z36" s="1560" t="str">
        <f t="shared" si="15"/>
        <v>公共部分装修</v>
      </c>
      <c r="AA36" s="1561">
        <f t="shared" si="3"/>
        <v>1</v>
      </c>
      <c r="AB36" s="1561">
        <f t="shared" si="4"/>
        <v>1</v>
      </c>
      <c r="AC36" s="1561">
        <f t="shared" si="5"/>
        <v>1</v>
      </c>
    </row>
    <row r="37" spans="1:29" s="1215" customFormat="1" ht="15">
      <c r="A37" s="599"/>
      <c r="B37" s="526"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58"/>
      <c r="Q37" s="1146" t="str">
        <f t="shared" si="11"/>
        <v>成新度</v>
      </c>
      <c r="R37" s="1553" t="s">
        <v>11</v>
      </c>
      <c r="S37" s="1554" t="e">
        <f t="shared" si="12"/>
        <v>#N/A</v>
      </c>
      <c r="T37" s="1553" t="s">
        <v>11</v>
      </c>
      <c r="U37" s="1554" t="e">
        <f t="shared" si="13"/>
        <v>#N/A</v>
      </c>
      <c r="V37" s="1553" t="s">
        <v>11</v>
      </c>
      <c r="W37" s="1554" t="e">
        <f t="shared" si="14"/>
        <v>#N/A</v>
      </c>
      <c r="X37" s="1555"/>
      <c r="Y37" s="3458"/>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58" t="s">
        <v>550</v>
      </c>
      <c r="Q38" s="1557" t="str">
        <f t="shared" si="11"/>
        <v>物业管理</v>
      </c>
      <c r="R38" s="1558" t="s">
        <v>11</v>
      </c>
      <c r="S38" s="1559">
        <f t="shared" si="12"/>
        <v>100</v>
      </c>
      <c r="T38" s="1558" t="s">
        <v>11</v>
      </c>
      <c r="U38" s="1559">
        <f t="shared" si="13"/>
        <v>100</v>
      </c>
      <c r="V38" s="1558" t="s">
        <v>11</v>
      </c>
      <c r="W38" s="1559">
        <f t="shared" si="14"/>
        <v>100</v>
      </c>
      <c r="X38" s="1552"/>
      <c r="Y38" s="3458"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58"/>
      <c r="Q39" s="1557" t="str">
        <f t="shared" si="11"/>
        <v>市政基础设施</v>
      </c>
      <c r="R39" s="1558" t="s">
        <v>11</v>
      </c>
      <c r="S39" s="1559">
        <f t="shared" si="12"/>
        <v>100</v>
      </c>
      <c r="T39" s="1558" t="s">
        <v>11</v>
      </c>
      <c r="U39" s="1559">
        <f t="shared" si="13"/>
        <v>100</v>
      </c>
      <c r="V39" s="1558" t="s">
        <v>11</v>
      </c>
      <c r="W39" s="1559">
        <f t="shared" si="14"/>
        <v>100</v>
      </c>
      <c r="X39" s="1552"/>
      <c r="Y39" s="3458"/>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58"/>
      <c r="Q40" s="1557" t="str">
        <f t="shared" si="11"/>
        <v>房型</v>
      </c>
      <c r="R40" s="1558" t="s">
        <v>11</v>
      </c>
      <c r="S40" s="1559">
        <f t="shared" si="12"/>
        <v>100</v>
      </c>
      <c r="T40" s="1558" t="s">
        <v>11</v>
      </c>
      <c r="U40" s="1559">
        <f t="shared" si="13"/>
        <v>100</v>
      </c>
      <c r="V40" s="1558" t="s">
        <v>11</v>
      </c>
      <c r="W40" s="1559">
        <f t="shared" si="14"/>
        <v>100</v>
      </c>
      <c r="X40" s="1552"/>
      <c r="Y40" s="3458"/>
      <c r="Z40" s="1560" t="str">
        <f t="shared" si="15"/>
        <v>房型</v>
      </c>
      <c r="AA40" s="1561">
        <f t="shared" si="3"/>
        <v>1</v>
      </c>
      <c r="AB40" s="1561">
        <f t="shared" si="4"/>
        <v>1</v>
      </c>
      <c r="AC40" s="1561">
        <f t="shared" si="5"/>
        <v>1</v>
      </c>
    </row>
    <row r="41" spans="1:29" s="1334" customFormat="1" ht="28.5">
      <c r="A41" s="602"/>
      <c r="B41" s="526" t="s">
        <v>733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24"/>
      <c r="M41" s="2155"/>
      <c r="N41" s="2155"/>
      <c r="O41" s="2127"/>
      <c r="P41" s="3458"/>
      <c r="Q41" s="1589" t="str">
        <f t="shared" si="11"/>
        <v>单套/主力户型建筑面积</v>
      </c>
      <c r="R41" s="1562" t="s">
        <v>11</v>
      </c>
      <c r="S41" s="1563">
        <f t="shared" si="12"/>
        <v>100</v>
      </c>
      <c r="T41" s="1562" t="s">
        <v>11</v>
      </c>
      <c r="U41" s="1563">
        <f t="shared" si="13"/>
        <v>100</v>
      </c>
      <c r="V41" s="1562" t="s">
        <v>11</v>
      </c>
      <c r="W41" s="1563">
        <f t="shared" si="14"/>
        <v>100</v>
      </c>
      <c r="X41" s="1564"/>
      <c r="Y41" s="3458"/>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58"/>
      <c r="Q42" s="1557" t="str">
        <f t="shared" si="11"/>
        <v>内部装修</v>
      </c>
      <c r="R42" s="1558" t="s">
        <v>11</v>
      </c>
      <c r="S42" s="1559">
        <f t="shared" si="12"/>
        <v>100</v>
      </c>
      <c r="T42" s="1558" t="s">
        <v>11</v>
      </c>
      <c r="U42" s="1559">
        <f t="shared" si="13"/>
        <v>100</v>
      </c>
      <c r="V42" s="1558" t="s">
        <v>11</v>
      </c>
      <c r="W42" s="1559">
        <f t="shared" si="14"/>
        <v>100</v>
      </c>
      <c r="X42" s="1552"/>
      <c r="Y42" s="3458"/>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58"/>
      <c r="Q43" s="1557" t="str">
        <f t="shared" si="11"/>
        <v>内部装修维护情况</v>
      </c>
      <c r="R43" s="1558" t="s">
        <v>11</v>
      </c>
      <c r="S43" s="1559">
        <f t="shared" si="12"/>
        <v>100</v>
      </c>
      <c r="T43" s="1558" t="s">
        <v>11</v>
      </c>
      <c r="U43" s="1559">
        <f t="shared" si="13"/>
        <v>100</v>
      </c>
      <c r="V43" s="1558" t="s">
        <v>11</v>
      </c>
      <c r="W43" s="1559">
        <f t="shared" si="14"/>
        <v>100</v>
      </c>
      <c r="X43" s="1552"/>
      <c r="Y43" s="3458"/>
      <c r="Z43" s="1560" t="str">
        <f t="shared" si="15"/>
        <v>内部装修维护情况</v>
      </c>
      <c r="AA43" s="1561">
        <f t="shared" si="3"/>
        <v>1</v>
      </c>
      <c r="AB43" s="1561">
        <f t="shared" si="4"/>
        <v>1</v>
      </c>
      <c r="AC43" s="1561">
        <f t="shared" si="5"/>
        <v>1</v>
      </c>
    </row>
    <row r="44" spans="1:29" s="1215"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58"/>
      <c r="Q44" s="1146">
        <f t="shared" si="11"/>
        <v>111</v>
      </c>
      <c r="R44" s="1553" t="s">
        <v>11</v>
      </c>
      <c r="S44" s="1554">
        <f t="shared" si="12"/>
        <v>100</v>
      </c>
      <c r="T44" s="1553" t="s">
        <v>11</v>
      </c>
      <c r="U44" s="1554">
        <f t="shared" si="13"/>
        <v>100</v>
      </c>
      <c r="V44" s="1553" t="s">
        <v>11</v>
      </c>
      <c r="W44" s="1554">
        <f t="shared" si="14"/>
        <v>100</v>
      </c>
      <c r="X44" s="1555"/>
      <c r="Y44" s="345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58"/>
      <c r="Q45" s="1557">
        <f t="shared" si="11"/>
        <v>111</v>
      </c>
      <c r="R45" s="1558" t="s">
        <v>11</v>
      </c>
      <c r="S45" s="1559">
        <f t="shared" si="12"/>
        <v>100</v>
      </c>
      <c r="T45" s="1558" t="s">
        <v>11</v>
      </c>
      <c r="U45" s="1559">
        <f t="shared" si="13"/>
        <v>100</v>
      </c>
      <c r="V45" s="1558" t="s">
        <v>11</v>
      </c>
      <c r="W45" s="1559">
        <f t="shared" si="14"/>
        <v>100</v>
      </c>
      <c r="X45" s="1552"/>
      <c r="Y45" s="3458"/>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39"/>
      <c r="Q46" s="1557">
        <f t="shared" si="11"/>
        <v>111</v>
      </c>
      <c r="R46" s="1558" t="s">
        <v>10</v>
      </c>
      <c r="S46" s="1559">
        <f t="shared" si="12"/>
        <v>100</v>
      </c>
      <c r="T46" s="1558" t="s">
        <v>10</v>
      </c>
      <c r="U46" s="1559">
        <f t="shared" si="13"/>
        <v>100</v>
      </c>
      <c r="V46" s="1558" t="s">
        <v>10</v>
      </c>
      <c r="W46" s="1559">
        <f t="shared" si="14"/>
        <v>100</v>
      </c>
      <c r="X46" s="1552"/>
      <c r="Y46" s="3539"/>
      <c r="Z46" s="1560">
        <f t="shared" si="15"/>
        <v>111</v>
      </c>
      <c r="AA46" s="1561">
        <f t="shared" si="3"/>
        <v>1</v>
      </c>
      <c r="AB46" s="1561">
        <f t="shared" si="4"/>
        <v>1</v>
      </c>
      <c r="AC46" s="1561">
        <f t="shared" si="5"/>
        <v>1</v>
      </c>
    </row>
    <row r="47" spans="1:29" ht="15">
      <c r="A47" s="606" t="s">
        <v>736</v>
      </c>
      <c r="B47" s="886"/>
      <c r="C47" s="2588" t="s">
        <v>9</v>
      </c>
      <c r="D47" s="2589"/>
      <c r="E47" s="2590"/>
      <c r="F47" s="2591"/>
      <c r="G47" s="2592"/>
      <c r="H47" s="2593"/>
      <c r="I47" s="2590"/>
      <c r="J47" s="2593"/>
      <c r="K47" s="1590"/>
      <c r="L47" s="2128"/>
      <c r="M47" s="2129"/>
      <c r="N47" s="2118"/>
      <c r="O47" s="2129"/>
      <c r="P47" s="3421" t="str">
        <f>A47</f>
        <v>成交单价（元/平方米）</v>
      </c>
      <c r="Q47" s="3421"/>
      <c r="R47" s="3538">
        <f>E47</f>
        <v>0</v>
      </c>
      <c r="S47" s="3538"/>
      <c r="T47" s="3538">
        <f>G47</f>
        <v>0</v>
      </c>
      <c r="U47" s="3538"/>
      <c r="V47" s="3538">
        <f>I47</f>
        <v>0</v>
      </c>
      <c r="W47" s="3538"/>
      <c r="X47" s="1544"/>
      <c r="Y47" s="1566"/>
      <c r="Z47" s="1544"/>
      <c r="AA47" s="1544"/>
      <c r="AB47" s="1544"/>
      <c r="AC47" s="1544"/>
    </row>
    <row r="48" spans="1:29" ht="15.75" thickBot="1">
      <c r="A48" s="614" t="s">
        <v>2760</v>
      </c>
      <c r="B48" s="887"/>
      <c r="C48" s="2594" t="e">
        <f>R49</f>
        <v>#DIV/0!</v>
      </c>
      <c r="D48" s="2595"/>
      <c r="E48" s="2596" t="e">
        <f>R48</f>
        <v>#DIV/0!</v>
      </c>
      <c r="F48" s="2596"/>
      <c r="G48" s="2594" t="e">
        <f>T48</f>
        <v>#DIV/0!</v>
      </c>
      <c r="H48" s="2595"/>
      <c r="I48" s="2596" t="e">
        <f>V48</f>
        <v>#DIV/0!</v>
      </c>
      <c r="J48" s="2595"/>
      <c r="K48" s="1591"/>
      <c r="L48" s="2128"/>
      <c r="M48" s="2129"/>
      <c r="N48" s="2129"/>
      <c r="O48" s="2129"/>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4"/>
      <c r="Y48" s="1544"/>
      <c r="Z48" s="1544"/>
      <c r="AA48" s="1544"/>
      <c r="AB48" s="1544"/>
      <c r="AC48" s="1544"/>
    </row>
    <row r="49" spans="1:29" ht="15.75" thickBot="1">
      <c r="A49" s="620" t="s">
        <v>2936</v>
      </c>
      <c r="B49" s="621"/>
      <c r="C49" s="2597" t="e">
        <f>R49</f>
        <v>#DIV/0!</v>
      </c>
      <c r="D49" s="2597"/>
      <c r="E49" s="2597"/>
      <c r="F49" s="2597"/>
      <c r="G49" s="2597"/>
      <c r="H49" s="2597"/>
      <c r="I49" s="2597"/>
      <c r="J49" s="2597"/>
      <c r="K49" s="1592"/>
      <c r="L49" s="2128"/>
      <c r="M49" s="2129"/>
      <c r="N49" s="2129"/>
      <c r="O49" s="2129"/>
      <c r="P49" s="3418" t="str">
        <f>A49</f>
        <v>估价对象XX用房的比较价格（楼面单价，元/平方米）</v>
      </c>
      <c r="Q49" s="3419"/>
      <c r="R49" s="3537" t="e">
        <f>IF(F1="售价",ROUND(AVERAGE(R48:V48),0),ROUND(AVERAGE(R48:V48),1))</f>
        <v>#DIV/0!</v>
      </c>
      <c r="S49" s="3537"/>
      <c r="T49" s="3537"/>
      <c r="U49" s="3537"/>
      <c r="V49" s="3537"/>
      <c r="W49" s="353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59"/>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27" t="s">
        <v>522</v>
      </c>
      <c r="D4" s="3428"/>
      <c r="E4" s="3461" t="s">
        <v>523</v>
      </c>
      <c r="F4" s="3462"/>
      <c r="G4" s="3427" t="s">
        <v>524</v>
      </c>
      <c r="H4" s="3428"/>
      <c r="I4" s="3427" t="s">
        <v>525</v>
      </c>
      <c r="J4" s="3428"/>
      <c r="K4" s="513" t="s">
        <v>526</v>
      </c>
      <c r="L4" s="2117"/>
      <c r="M4" s="2118"/>
      <c r="N4" s="2118"/>
      <c r="O4" s="2118"/>
      <c r="P4" s="3429" t="s">
        <v>527</v>
      </c>
      <c r="Q4" s="3430"/>
      <c r="R4" s="3435" t="s">
        <v>523</v>
      </c>
      <c r="S4" s="3436"/>
      <c r="T4" s="3435" t="s">
        <v>524</v>
      </c>
      <c r="U4" s="3436"/>
      <c r="V4" s="3422" t="s">
        <v>525</v>
      </c>
      <c r="W4" s="3422"/>
      <c r="X4" s="1552"/>
      <c r="Y4" s="3435" t="s">
        <v>527</v>
      </c>
      <c r="Z4" s="3436"/>
      <c r="AA4" s="3424" t="s">
        <v>523</v>
      </c>
      <c r="AB4" s="3422" t="s">
        <v>524</v>
      </c>
      <c r="AC4" s="3424" t="s">
        <v>525</v>
      </c>
    </row>
    <row r="5" spans="1:29" ht="15">
      <c r="A5" s="514"/>
      <c r="B5" s="515"/>
      <c r="C5" s="3443" t="s">
        <v>2930</v>
      </c>
      <c r="D5" s="3444"/>
      <c r="E5" s="3463" t="s">
        <v>2931</v>
      </c>
      <c r="F5" s="3464"/>
      <c r="G5" s="3443" t="s">
        <v>2932</v>
      </c>
      <c r="H5" s="3444"/>
      <c r="I5" s="3443" t="s">
        <v>2933</v>
      </c>
      <c r="J5" s="3444"/>
      <c r="K5" s="513"/>
      <c r="L5" s="2117"/>
      <c r="M5" s="2118"/>
      <c r="N5" s="2118"/>
      <c r="O5" s="2118"/>
      <c r="P5" s="3431"/>
      <c r="Q5" s="3432"/>
      <c r="R5" s="3437"/>
      <c r="S5" s="3438"/>
      <c r="T5" s="3437"/>
      <c r="U5" s="3438"/>
      <c r="V5" s="3422"/>
      <c r="W5" s="3422"/>
      <c r="X5" s="1552"/>
      <c r="Y5" s="3437"/>
      <c r="Z5" s="3438"/>
      <c r="AA5" s="3425"/>
      <c r="AB5" s="3422"/>
      <c r="AC5" s="3425"/>
    </row>
    <row r="6" spans="1:29" ht="15.75" thickBot="1">
      <c r="A6" s="516"/>
      <c r="B6" s="517"/>
      <c r="C6" s="3441" t="s">
        <v>2934</v>
      </c>
      <c r="D6" s="3442"/>
      <c r="E6" s="3459" t="s">
        <v>2934</v>
      </c>
      <c r="F6" s="3460"/>
      <c r="G6" s="3441" t="s">
        <v>2934</v>
      </c>
      <c r="H6" s="3442"/>
      <c r="I6" s="3441" t="s">
        <v>2934</v>
      </c>
      <c r="J6" s="3442"/>
      <c r="K6" s="513" t="s">
        <v>528</v>
      </c>
      <c r="L6" s="2117"/>
      <c r="M6" s="2118"/>
      <c r="N6" s="2118"/>
      <c r="O6" s="2118"/>
      <c r="P6" s="3433"/>
      <c r="Q6" s="3434"/>
      <c r="R6" s="3437"/>
      <c r="S6" s="3438"/>
      <c r="T6" s="3439"/>
      <c r="U6" s="3440"/>
      <c r="V6" s="3422"/>
      <c r="W6" s="3422"/>
      <c r="X6" s="1552"/>
      <c r="Y6" s="3439"/>
      <c r="Z6" s="3440"/>
      <c r="AA6" s="3426"/>
      <c r="AB6" s="3422"/>
      <c r="AC6" s="3426"/>
    </row>
    <row r="7" spans="1:29" s="1215" customFormat="1" ht="15.75" thickBot="1">
      <c r="A7" s="2864"/>
      <c r="B7" s="2871" t="s">
        <v>529</v>
      </c>
      <c r="C7" s="518">
        <f>'数据-取费表'!B2</f>
        <v>43646</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52" t="s">
        <v>530</v>
      </c>
      <c r="Q7" s="3454"/>
      <c r="R7" s="1553" t="s">
        <v>8</v>
      </c>
      <c r="S7" s="1554">
        <f t="shared" ref="S7:S15" si="0">F7</f>
        <v>0</v>
      </c>
      <c r="T7" s="1553" t="s">
        <v>8</v>
      </c>
      <c r="U7" s="1554">
        <f t="shared" ref="U7:U15" si="1">H7</f>
        <v>0</v>
      </c>
      <c r="V7" s="1553" t="s">
        <v>8</v>
      </c>
      <c r="W7" s="1554">
        <f t="shared" ref="W7:W15"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52" t="s">
        <v>533</v>
      </c>
      <c r="Q8" s="3453"/>
      <c r="R8" s="1553" t="s">
        <v>8</v>
      </c>
      <c r="S8" s="1554">
        <f t="shared" si="0"/>
        <v>0</v>
      </c>
      <c r="T8" s="1553" t="s">
        <v>8</v>
      </c>
      <c r="U8" s="1554">
        <f t="shared" si="1"/>
        <v>0</v>
      </c>
      <c r="V8" s="1553" t="s">
        <v>8</v>
      </c>
      <c r="W8" s="1554">
        <f t="shared" si="2"/>
        <v>0</v>
      </c>
      <c r="X8" s="1555"/>
      <c r="Y8" s="3452" t="s">
        <v>533</v>
      </c>
      <c r="Z8" s="3453"/>
      <c r="AA8" s="1556" t="e">
        <f t="shared" ref="AA8:AA46" si="3">D8/F8</f>
        <v>#DIV/0!</v>
      </c>
      <c r="AB8" s="1556" t="e">
        <f t="shared" ref="AB8:AB46" si="4">D8/H8</f>
        <v>#DIV/0!</v>
      </c>
      <c r="AC8" s="1556" t="e">
        <f t="shared" ref="AC8:AC46" si="5">D8/J8</f>
        <v>#DIV/0!</v>
      </c>
    </row>
    <row r="9" spans="1:29" s="1215" customFormat="1" ht="15">
      <c r="A9" s="2866"/>
      <c r="B9" s="2873" t="s">
        <v>2756</v>
      </c>
      <c r="C9" s="856"/>
      <c r="D9" s="254">
        <v>100</v>
      </c>
      <c r="E9" s="859"/>
      <c r="F9" s="254">
        <f>SUMIF(63:63,E9,64:64)-SUMIF(63:63,C9,64:64)+100</f>
        <v>100</v>
      </c>
      <c r="G9" s="857"/>
      <c r="H9" s="254">
        <f>SUMIF(63:63,G9,64:64)-SUMIF(63:63,C9,64:64)+100</f>
        <v>100</v>
      </c>
      <c r="I9" s="857"/>
      <c r="J9" s="254">
        <f>SUMIF(63:63,I9,64:64)-SUMIF(63:63,C9,64:64)+100</f>
        <v>100</v>
      </c>
      <c r="K9" s="523"/>
      <c r="L9" s="2119"/>
      <c r="M9" s="2120"/>
      <c r="N9" s="2120"/>
      <c r="O9" s="2121"/>
      <c r="P9" s="3421" t="s">
        <v>535</v>
      </c>
      <c r="Q9" s="1146" t="str">
        <f t="shared" ref="Q9:Q15" si="6">B9</f>
        <v>用途</v>
      </c>
      <c r="R9" s="1553" t="s">
        <v>8</v>
      </c>
      <c r="S9" s="1554">
        <f t="shared" si="0"/>
        <v>100</v>
      </c>
      <c r="T9" s="1553" t="s">
        <v>8</v>
      </c>
      <c r="U9" s="1554">
        <f t="shared" si="1"/>
        <v>100</v>
      </c>
      <c r="V9" s="1553" t="s">
        <v>8</v>
      </c>
      <c r="W9" s="1554">
        <f t="shared" si="2"/>
        <v>100</v>
      </c>
      <c r="X9" s="1555"/>
      <c r="Y9" s="3367" t="s">
        <v>536</v>
      </c>
      <c r="Z9" s="1145" t="str">
        <f t="shared" ref="Z9:Z15" si="7">Q9</f>
        <v>用途</v>
      </c>
      <c r="AA9" s="1556">
        <f t="shared" si="3"/>
        <v>1</v>
      </c>
      <c r="AB9" s="1556">
        <f t="shared" si="4"/>
        <v>1</v>
      </c>
      <c r="AC9" s="1556">
        <f t="shared" si="5"/>
        <v>1</v>
      </c>
    </row>
    <row r="10" spans="1:29" s="1333" customFormat="1" ht="27">
      <c r="A10" s="2867"/>
      <c r="B10" s="2872" t="s">
        <v>2757</v>
      </c>
      <c r="C10" s="860"/>
      <c r="D10" s="255">
        <v>100</v>
      </c>
      <c r="E10" s="860"/>
      <c r="F10" s="255">
        <f>SUMIF(65:65,E10,66:66)-SUMIF(65:65,C10,66:66)+100</f>
        <v>100</v>
      </c>
      <c r="G10" s="861"/>
      <c r="H10" s="255">
        <f>SUMIF(65:65,G10,66:66)-SUMIF(65:65,C10,66:66)+100</f>
        <v>100</v>
      </c>
      <c r="I10" s="860"/>
      <c r="J10" s="255">
        <f>SUMIF(65:65,I10,66:66)-SUMIF(65:65,C10,66:66)+100</f>
        <v>100</v>
      </c>
      <c r="K10" s="583"/>
      <c r="L10" s="2122"/>
      <c r="M10" s="2162"/>
      <c r="N10" s="2162"/>
      <c r="O10" s="2123"/>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8"/>
      <c r="B11" s="2872" t="s">
        <v>2758</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24"/>
      <c r="M11" s="2118"/>
      <c r="N11" s="2118"/>
      <c r="O11" s="2125"/>
      <c r="P11" s="3421"/>
      <c r="Q11" s="1146" t="str">
        <f t="shared" si="6"/>
        <v>容积率</v>
      </c>
      <c r="R11" s="1553" t="s">
        <v>8</v>
      </c>
      <c r="S11" s="1554" t="e">
        <f t="shared" si="0"/>
        <v>#N/A</v>
      </c>
      <c r="T11" s="1553" t="s">
        <v>8</v>
      </c>
      <c r="U11" s="1554" t="e">
        <f t="shared" si="1"/>
        <v>#N/A</v>
      </c>
      <c r="V11" s="1553" t="s">
        <v>8</v>
      </c>
      <c r="W11" s="1554" t="e">
        <f t="shared" si="2"/>
        <v>#N/A</v>
      </c>
      <c r="X11" s="1555"/>
      <c r="Y11" s="3367"/>
      <c r="Z11" s="1145" t="str">
        <f t="shared" si="7"/>
        <v>容积率</v>
      </c>
      <c r="AA11" s="1556" t="e">
        <f t="shared" si="3"/>
        <v>#N/A</v>
      </c>
      <c r="AB11" s="1556" t="e">
        <f t="shared" si="4"/>
        <v>#N/A</v>
      </c>
      <c r="AC11" s="1556" t="e">
        <f t="shared" si="5"/>
        <v>#N/A</v>
      </c>
    </row>
    <row r="12" spans="1:29" s="1215" customFormat="1" ht="15">
      <c r="A12" s="2869"/>
      <c r="B12" s="2875">
        <v>111</v>
      </c>
      <c r="C12" s="527"/>
      <c r="D12" s="537">
        <v>100</v>
      </c>
      <c r="E12" s="538"/>
      <c r="F12" s="255">
        <f>SUMIF(70:70,E12,71:71)-SUMIF(70:70,C12,71:71)+100</f>
        <v>100</v>
      </c>
      <c r="G12" s="911"/>
      <c r="H12" s="255">
        <f>SUMIF(70:70,G12,71:71)-SUMIF(70:70,C12,71:71)+100</f>
        <v>100</v>
      </c>
      <c r="I12" s="538"/>
      <c r="J12" s="255">
        <f>SUMIF(70:70,I12,71:71)-SUMIF(70:70,C12,71:71)+100</f>
        <v>100</v>
      </c>
      <c r="K12" s="580"/>
      <c r="L12" s="2119"/>
      <c r="M12" s="2120"/>
      <c r="N12" s="2120"/>
      <c r="O12" s="2121"/>
      <c r="P12" s="3421"/>
      <c r="Q12" s="1146">
        <f t="shared" si="6"/>
        <v>111</v>
      </c>
      <c r="R12" s="1553" t="s">
        <v>8</v>
      </c>
      <c r="S12" s="1554">
        <f t="shared" si="0"/>
        <v>100</v>
      </c>
      <c r="T12" s="1553" t="s">
        <v>8</v>
      </c>
      <c r="U12" s="1554">
        <f t="shared" si="1"/>
        <v>100</v>
      </c>
      <c r="V12" s="1553" t="s">
        <v>8</v>
      </c>
      <c r="W12" s="1554">
        <f t="shared" si="2"/>
        <v>100</v>
      </c>
      <c r="X12" s="1555"/>
      <c r="Y12" s="3367"/>
      <c r="Z12" s="1145">
        <f t="shared" si="7"/>
        <v>111</v>
      </c>
      <c r="AA12" s="1556">
        <f>D12/F12</f>
        <v>1</v>
      </c>
      <c r="AB12" s="1556">
        <f>D12/H12</f>
        <v>1</v>
      </c>
      <c r="AC12" s="1556">
        <f>D12/J12</f>
        <v>1</v>
      </c>
    </row>
    <row r="13" spans="1:29" ht="15">
      <c r="A13" s="2869"/>
      <c r="B13" s="2875">
        <v>111</v>
      </c>
      <c r="C13" s="538"/>
      <c r="D13" s="539">
        <v>100</v>
      </c>
      <c r="E13" s="538"/>
      <c r="F13" s="255">
        <f>SUMIF(72:72,E13,73:73)-SUMIF(72:72,C13,73:73)+100</f>
        <v>100</v>
      </c>
      <c r="G13" s="911"/>
      <c r="H13" s="539">
        <f>SUMIF(72:72,G13,73:73)-SUMIF(72:72,C13,73:73)+100</f>
        <v>100</v>
      </c>
      <c r="I13" s="538"/>
      <c r="J13" s="539">
        <f>SUMIF(72:72,I13,73:73)-SUMIF(72:72,C13,73:73)+100</f>
        <v>100</v>
      </c>
      <c r="K13" s="580"/>
      <c r="L13" s="2126"/>
      <c r="M13" s="2118"/>
      <c r="N13" s="2118"/>
      <c r="O13" s="2125"/>
      <c r="P13" s="3421"/>
      <c r="Q13" s="1146">
        <f t="shared" si="6"/>
        <v>111</v>
      </c>
      <c r="R13" s="1553" t="s">
        <v>8</v>
      </c>
      <c r="S13" s="1554">
        <f t="shared" si="0"/>
        <v>100</v>
      </c>
      <c r="T13" s="1553" t="s">
        <v>8</v>
      </c>
      <c r="U13" s="1554">
        <f t="shared" si="1"/>
        <v>100</v>
      </c>
      <c r="V13" s="1553" t="s">
        <v>8</v>
      </c>
      <c r="W13" s="1554">
        <f t="shared" si="2"/>
        <v>100</v>
      </c>
      <c r="X13" s="1555"/>
      <c r="Y13" s="3367"/>
      <c r="Z13" s="1145">
        <f t="shared" si="7"/>
        <v>111</v>
      </c>
      <c r="AA13" s="1556">
        <f t="shared" si="3"/>
        <v>1</v>
      </c>
      <c r="AB13" s="1556">
        <f t="shared" si="4"/>
        <v>1</v>
      </c>
      <c r="AC13" s="1556">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421"/>
      <c r="Q14" s="1146">
        <f t="shared" si="6"/>
        <v>111</v>
      </c>
      <c r="R14" s="1553" t="s">
        <v>8</v>
      </c>
      <c r="S14" s="1554">
        <f t="shared" si="0"/>
        <v>100</v>
      </c>
      <c r="T14" s="1553" t="s">
        <v>8</v>
      </c>
      <c r="U14" s="1554">
        <f t="shared" si="1"/>
        <v>100</v>
      </c>
      <c r="V14" s="1553" t="s">
        <v>8</v>
      </c>
      <c r="W14" s="1554">
        <f t="shared" si="2"/>
        <v>100</v>
      </c>
      <c r="X14" s="1555"/>
      <c r="Y14" s="3367"/>
      <c r="Z14" s="1145">
        <f t="shared" si="7"/>
        <v>111</v>
      </c>
      <c r="AA14" s="1556">
        <f t="shared" si="3"/>
        <v>1</v>
      </c>
      <c r="AB14" s="1556">
        <f t="shared" si="4"/>
        <v>1</v>
      </c>
      <c r="AC14" s="1556">
        <f t="shared" si="5"/>
        <v>1</v>
      </c>
    </row>
    <row r="15" spans="1:29" ht="71.25">
      <c r="A15" s="2862"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55" t="s">
        <v>540</v>
      </c>
      <c r="Q15" s="1557" t="str">
        <f t="shared" si="6"/>
        <v>商业繁华度</v>
      </c>
      <c r="R15" s="1558" t="s">
        <v>8</v>
      </c>
      <c r="S15" s="1559">
        <f t="shared" si="0"/>
        <v>100</v>
      </c>
      <c r="T15" s="1558" t="s">
        <v>8</v>
      </c>
      <c r="U15" s="1559">
        <f t="shared" si="1"/>
        <v>100</v>
      </c>
      <c r="V15" s="1558" t="s">
        <v>8</v>
      </c>
      <c r="W15" s="1559">
        <f t="shared" si="2"/>
        <v>100</v>
      </c>
      <c r="X15" s="1552"/>
      <c r="Y15" s="3455"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56"/>
      <c r="Q16" s="1557"/>
      <c r="R16" s="1558"/>
      <c r="S16" s="1559"/>
      <c r="T16" s="1558"/>
      <c r="U16" s="1559"/>
      <c r="V16" s="1558"/>
      <c r="W16" s="1559"/>
      <c r="X16" s="1552"/>
      <c r="Y16" s="345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56"/>
      <c r="Q17" s="1557" t="str">
        <f>B17</f>
        <v>交通便捷度</v>
      </c>
      <c r="R17" s="1558" t="s">
        <v>8</v>
      </c>
      <c r="S17" s="1559">
        <f>F17</f>
        <v>100</v>
      </c>
      <c r="T17" s="1558" t="s">
        <v>8</v>
      </c>
      <c r="U17" s="1559">
        <f>H17</f>
        <v>100</v>
      </c>
      <c r="V17" s="1558" t="s">
        <v>8</v>
      </c>
      <c r="W17" s="1559">
        <f>J17</f>
        <v>100</v>
      </c>
      <c r="X17" s="1552"/>
      <c r="Y17" s="345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56"/>
      <c r="Q18" s="1557"/>
      <c r="R18" s="1558"/>
      <c r="S18" s="1559"/>
      <c r="T18" s="1558"/>
      <c r="U18" s="1559"/>
      <c r="V18" s="1558"/>
      <c r="W18" s="1559"/>
      <c r="X18" s="1552"/>
      <c r="Y18" s="3456"/>
      <c r="Z18" s="1560"/>
      <c r="AA18" s="1561">
        <v>1</v>
      </c>
      <c r="AB18" s="1561">
        <v>1</v>
      </c>
      <c r="AC18" s="1561">
        <v>1</v>
      </c>
    </row>
    <row r="19" spans="1:29" ht="42.75">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56"/>
      <c r="Q19" s="1557" t="str">
        <f>B19</f>
        <v>公共配套设施</v>
      </c>
      <c r="R19" s="1558" t="s">
        <v>8</v>
      </c>
      <c r="S19" s="1559">
        <f>F19</f>
        <v>100</v>
      </c>
      <c r="T19" s="1558" t="s">
        <v>8</v>
      </c>
      <c r="U19" s="1559">
        <f>H19</f>
        <v>100</v>
      </c>
      <c r="V19" s="1558" t="s">
        <v>8</v>
      </c>
      <c r="W19" s="1559">
        <f>J19</f>
        <v>100</v>
      </c>
      <c r="X19" s="1552"/>
      <c r="Y19" s="345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56"/>
      <c r="Q20" s="1557"/>
      <c r="R20" s="1558"/>
      <c r="S20" s="1559"/>
      <c r="T20" s="1558"/>
      <c r="U20" s="1559"/>
      <c r="V20" s="1558"/>
      <c r="W20" s="1559"/>
      <c r="X20" s="1552"/>
      <c r="Y20" s="3456"/>
      <c r="Z20" s="1560"/>
      <c r="AA20" s="1561">
        <v>1</v>
      </c>
      <c r="AB20" s="1561">
        <v>1</v>
      </c>
      <c r="AC20" s="1561">
        <v>1</v>
      </c>
    </row>
    <row r="21" spans="1:29" ht="28.5">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56"/>
      <c r="Q21" s="2540" t="str">
        <f>B21</f>
        <v>基础设施水平</v>
      </c>
      <c r="R21" s="1558" t="s">
        <v>8</v>
      </c>
      <c r="S21" s="1559">
        <f>F21</f>
        <v>100</v>
      </c>
      <c r="T21" s="1558" t="s">
        <v>8</v>
      </c>
      <c r="U21" s="1559">
        <f>H21</f>
        <v>100</v>
      </c>
      <c r="V21" s="1558" t="s">
        <v>8</v>
      </c>
      <c r="W21" s="1559">
        <f>J21</f>
        <v>100</v>
      </c>
      <c r="X21" s="2542"/>
      <c r="Y21" s="3456"/>
      <c r="Z21" s="2541"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3"/>
      <c r="L22" s="2126"/>
      <c r="M22" s="2118"/>
      <c r="N22" s="2118"/>
      <c r="O22" s="2125"/>
      <c r="P22" s="3456"/>
      <c r="Q22" s="2540"/>
      <c r="R22" s="1558"/>
      <c r="S22" s="1559"/>
      <c r="T22" s="1558"/>
      <c r="U22" s="1559"/>
      <c r="V22" s="1558"/>
      <c r="W22" s="1559"/>
      <c r="X22" s="2542"/>
      <c r="Y22" s="3456"/>
      <c r="Z22" s="2541"/>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56"/>
      <c r="Q23" s="1557" t="str">
        <f>B23</f>
        <v>自然及人文环境</v>
      </c>
      <c r="R23" s="1558" t="s">
        <v>8</v>
      </c>
      <c r="S23" s="1559">
        <f>F23</f>
        <v>100</v>
      </c>
      <c r="T23" s="1558" t="s">
        <v>8</v>
      </c>
      <c r="U23" s="1559">
        <f>H23</f>
        <v>100</v>
      </c>
      <c r="V23" s="1558" t="s">
        <v>8</v>
      </c>
      <c r="W23" s="1559">
        <f>J23</f>
        <v>100</v>
      </c>
      <c r="X23" s="1552"/>
      <c r="Y23" s="345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56"/>
      <c r="Q24" s="1557"/>
      <c r="R24" s="1558"/>
      <c r="S24" s="1559"/>
      <c r="T24" s="1558"/>
      <c r="U24" s="1559"/>
      <c r="V24" s="1558"/>
      <c r="W24" s="1559"/>
      <c r="X24" s="1552"/>
      <c r="Y24" s="3456"/>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56"/>
      <c r="Q25" s="1557" t="str">
        <f t="shared" ref="Q25:Q46" si="11">B25</f>
        <v>临街状况</v>
      </c>
      <c r="R25" s="1558" t="s">
        <v>8</v>
      </c>
      <c r="S25" s="1559">
        <f>F25</f>
        <v>100</v>
      </c>
      <c r="T25" s="1558" t="s">
        <v>8</v>
      </c>
      <c r="U25" s="1559">
        <f>H25</f>
        <v>100</v>
      </c>
      <c r="V25" s="1558" t="s">
        <v>8</v>
      </c>
      <c r="W25" s="1559">
        <f>J25</f>
        <v>100</v>
      </c>
      <c r="X25" s="1552"/>
      <c r="Y25" s="3456"/>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56"/>
      <c r="Q26" s="1557" t="str">
        <f t="shared" si="11"/>
        <v>平面位置/可视性</v>
      </c>
      <c r="R26" s="1558" t="s">
        <v>8</v>
      </c>
      <c r="S26" s="1559">
        <f>F26</f>
        <v>100</v>
      </c>
      <c r="T26" s="1558" t="s">
        <v>8</v>
      </c>
      <c r="U26" s="1559">
        <f>H26</f>
        <v>100</v>
      </c>
      <c r="V26" s="1558" t="s">
        <v>8</v>
      </c>
      <c r="W26" s="1559">
        <f>J26</f>
        <v>100</v>
      </c>
      <c r="X26" s="1552"/>
      <c r="Y26" s="3456"/>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56"/>
      <c r="Q27" s="1146" t="str">
        <f t="shared" si="11"/>
        <v>人流量</v>
      </c>
      <c r="R27" s="1553" t="s">
        <v>8</v>
      </c>
      <c r="S27" s="1554">
        <f>F27</f>
        <v>100</v>
      </c>
      <c r="T27" s="1553" t="s">
        <v>8</v>
      </c>
      <c r="U27" s="1554">
        <f>H27</f>
        <v>100</v>
      </c>
      <c r="V27" s="1553" t="s">
        <v>8</v>
      </c>
      <c r="W27" s="1554">
        <f>J27</f>
        <v>100</v>
      </c>
      <c r="X27" s="1555"/>
      <c r="Y27" s="3456"/>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5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56"/>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56"/>
      <c r="Q29" s="1557">
        <f t="shared" si="11"/>
        <v>111</v>
      </c>
      <c r="R29" s="1558" t="s">
        <v>8</v>
      </c>
      <c r="S29" s="1559">
        <f t="shared" si="12"/>
        <v>100</v>
      </c>
      <c r="T29" s="1558" t="s">
        <v>8</v>
      </c>
      <c r="U29" s="1559">
        <f t="shared" si="13"/>
        <v>100</v>
      </c>
      <c r="V29" s="1558" t="s">
        <v>8</v>
      </c>
      <c r="W29" s="1559">
        <f t="shared" si="14"/>
        <v>100</v>
      </c>
      <c r="X29" s="1552"/>
      <c r="Y29" s="345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56"/>
      <c r="Q30" s="1557">
        <f t="shared" si="11"/>
        <v>111</v>
      </c>
      <c r="R30" s="1558" t="s">
        <v>8</v>
      </c>
      <c r="S30" s="1559">
        <f t="shared" si="12"/>
        <v>100</v>
      </c>
      <c r="T30" s="1558" t="s">
        <v>8</v>
      </c>
      <c r="U30" s="1559">
        <f t="shared" si="13"/>
        <v>100</v>
      </c>
      <c r="V30" s="1558" t="s">
        <v>8</v>
      </c>
      <c r="W30" s="1559">
        <f t="shared" si="14"/>
        <v>100</v>
      </c>
      <c r="X30" s="1552"/>
      <c r="Y30" s="3456"/>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56"/>
      <c r="Q31" s="1557">
        <f t="shared" si="11"/>
        <v>111</v>
      </c>
      <c r="R31" s="1558" t="s">
        <v>8</v>
      </c>
      <c r="S31" s="1559">
        <f t="shared" si="12"/>
        <v>100</v>
      </c>
      <c r="T31" s="1558" t="s">
        <v>8</v>
      </c>
      <c r="U31" s="1559">
        <f t="shared" si="13"/>
        <v>100</v>
      </c>
      <c r="V31" s="1558" t="s">
        <v>8</v>
      </c>
      <c r="W31" s="1559">
        <f t="shared" si="14"/>
        <v>100</v>
      </c>
      <c r="X31" s="1552"/>
      <c r="Y31" s="3456"/>
      <c r="Z31" s="1560">
        <f t="shared" si="15"/>
        <v>111</v>
      </c>
      <c r="AA31" s="1561">
        <f t="shared" si="3"/>
        <v>1</v>
      </c>
      <c r="AB31" s="1561">
        <f t="shared" si="4"/>
        <v>1</v>
      </c>
      <c r="AC31" s="1561">
        <f t="shared" si="5"/>
        <v>1</v>
      </c>
    </row>
    <row r="32" spans="1:29" ht="15">
      <c r="A32" s="2859"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57" t="s">
        <v>550</v>
      </c>
      <c r="Q32" s="1557" t="str">
        <f t="shared" si="11"/>
        <v>商业类型</v>
      </c>
      <c r="R32" s="1558" t="s">
        <v>8</v>
      </c>
      <c r="S32" s="1559">
        <f t="shared" si="12"/>
        <v>100</v>
      </c>
      <c r="T32" s="1558" t="s">
        <v>8</v>
      </c>
      <c r="U32" s="1559">
        <f t="shared" si="13"/>
        <v>100</v>
      </c>
      <c r="V32" s="1558" t="s">
        <v>8</v>
      </c>
      <c r="W32" s="1559">
        <f t="shared" si="14"/>
        <v>100</v>
      </c>
      <c r="X32" s="1552"/>
      <c r="Y32" s="3458" t="s">
        <v>550</v>
      </c>
      <c r="Z32" s="1560" t="str">
        <f t="shared" si="15"/>
        <v>商业类型</v>
      </c>
      <c r="AA32" s="1561">
        <f t="shared" si="3"/>
        <v>1</v>
      </c>
      <c r="AB32" s="1561">
        <f t="shared" si="4"/>
        <v>1</v>
      </c>
      <c r="AC32" s="1561">
        <f t="shared" si="5"/>
        <v>1</v>
      </c>
    </row>
    <row r="33" spans="1:29" s="1334" customFormat="1" ht="15">
      <c r="A33" s="602"/>
      <c r="B33" s="526" t="s">
        <v>726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24"/>
      <c r="M33" s="2155"/>
      <c r="N33" s="2155"/>
      <c r="O33" s="2127"/>
      <c r="P33" s="3458"/>
      <c r="Q33" s="1589" t="str">
        <f t="shared" si="11"/>
        <v>项目建筑规模</v>
      </c>
      <c r="R33" s="1562" t="s">
        <v>8</v>
      </c>
      <c r="S33" s="1563" t="e">
        <f t="shared" si="12"/>
        <v>#N/A</v>
      </c>
      <c r="T33" s="1562" t="s">
        <v>8</v>
      </c>
      <c r="U33" s="1563" t="e">
        <f t="shared" si="13"/>
        <v>#N/A</v>
      </c>
      <c r="V33" s="1562" t="s">
        <v>8</v>
      </c>
      <c r="W33" s="1563" t="e">
        <f t="shared" si="14"/>
        <v>#N/A</v>
      </c>
      <c r="X33" s="1564"/>
      <c r="Y33" s="3458"/>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58"/>
      <c r="Q34" s="1557" t="str">
        <f t="shared" si="11"/>
        <v>建筑结构</v>
      </c>
      <c r="R34" s="1558" t="s">
        <v>8</v>
      </c>
      <c r="S34" s="1559">
        <f t="shared" si="12"/>
        <v>100</v>
      </c>
      <c r="T34" s="1558" t="s">
        <v>8</v>
      </c>
      <c r="U34" s="1559">
        <f t="shared" si="13"/>
        <v>100</v>
      </c>
      <c r="V34" s="1558" t="s">
        <v>8</v>
      </c>
      <c r="W34" s="1559">
        <f t="shared" si="14"/>
        <v>100</v>
      </c>
      <c r="X34" s="1552"/>
      <c r="Y34" s="3458"/>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58"/>
      <c r="Q35" s="1557" t="str">
        <f t="shared" si="11"/>
        <v>公共部分装修</v>
      </c>
      <c r="R35" s="1558" t="s">
        <v>8</v>
      </c>
      <c r="S35" s="1559">
        <f t="shared" si="12"/>
        <v>100</v>
      </c>
      <c r="T35" s="1558" t="s">
        <v>8</v>
      </c>
      <c r="U35" s="1559">
        <f t="shared" si="13"/>
        <v>100</v>
      </c>
      <c r="V35" s="1558" t="s">
        <v>8</v>
      </c>
      <c r="W35" s="1559">
        <f t="shared" si="14"/>
        <v>100</v>
      </c>
      <c r="X35" s="1552"/>
      <c r="Y35" s="3458"/>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58"/>
      <c r="Q36" s="1557" t="str">
        <f t="shared" si="11"/>
        <v>成新度</v>
      </c>
      <c r="R36" s="1558" t="s">
        <v>8</v>
      </c>
      <c r="S36" s="1559" t="e">
        <f t="shared" si="12"/>
        <v>#N/A</v>
      </c>
      <c r="T36" s="1558" t="s">
        <v>8</v>
      </c>
      <c r="U36" s="1559" t="e">
        <f t="shared" si="13"/>
        <v>#N/A</v>
      </c>
      <c r="V36" s="1558" t="s">
        <v>8</v>
      </c>
      <c r="W36" s="1559" t="e">
        <f t="shared" si="14"/>
        <v>#N/A</v>
      </c>
      <c r="X36" s="1552"/>
      <c r="Y36" s="3458"/>
      <c r="Z36" s="1560" t="str">
        <f t="shared" si="15"/>
        <v>成新度</v>
      </c>
      <c r="AA36" s="1561" t="e">
        <f t="shared" si="3"/>
        <v>#N/A</v>
      </c>
      <c r="AB36" s="1561" t="e">
        <f t="shared" si="4"/>
        <v>#N/A</v>
      </c>
      <c r="AC36" s="1561" t="e">
        <f t="shared" si="5"/>
        <v>#N/A</v>
      </c>
    </row>
    <row r="37" spans="1:29" s="1215" customFormat="1" ht="15">
      <c r="A37" s="599"/>
      <c r="B37" s="1879" t="s">
        <v>2565</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58"/>
      <c r="Q37" s="1146" t="str">
        <f t="shared" si="11"/>
        <v>市政基础设施</v>
      </c>
      <c r="R37" s="1553" t="s">
        <v>8</v>
      </c>
      <c r="S37" s="1554">
        <f t="shared" si="12"/>
        <v>100</v>
      </c>
      <c r="T37" s="1553" t="s">
        <v>8</v>
      </c>
      <c r="U37" s="1554">
        <f t="shared" si="13"/>
        <v>100</v>
      </c>
      <c r="V37" s="1553" t="s">
        <v>8</v>
      </c>
      <c r="W37" s="1554">
        <f t="shared" si="14"/>
        <v>100</v>
      </c>
      <c r="X37" s="1555"/>
      <c r="Y37" s="3458"/>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58" t="s">
        <v>766</v>
      </c>
      <c r="Q38" s="1557" t="str">
        <f t="shared" si="11"/>
        <v>业态</v>
      </c>
      <c r="R38" s="1558" t="s">
        <v>8</v>
      </c>
      <c r="S38" s="1559">
        <f t="shared" si="12"/>
        <v>100</v>
      </c>
      <c r="T38" s="1558" t="s">
        <v>8</v>
      </c>
      <c r="U38" s="1559">
        <f t="shared" si="13"/>
        <v>100</v>
      </c>
      <c r="V38" s="1558" t="s">
        <v>8</v>
      </c>
      <c r="W38" s="1559">
        <f t="shared" si="14"/>
        <v>100</v>
      </c>
      <c r="X38" s="1552"/>
      <c r="Y38" s="3458"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58"/>
      <c r="Q39" s="1557" t="str">
        <f t="shared" si="11"/>
        <v>层高</v>
      </c>
      <c r="R39" s="1558" t="s">
        <v>8</v>
      </c>
      <c r="S39" s="1559">
        <f t="shared" si="12"/>
        <v>100</v>
      </c>
      <c r="T39" s="1558" t="s">
        <v>8</v>
      </c>
      <c r="U39" s="1559">
        <f t="shared" si="13"/>
        <v>100</v>
      </c>
      <c r="V39" s="1558" t="s">
        <v>8</v>
      </c>
      <c r="W39" s="1559">
        <f t="shared" si="14"/>
        <v>100</v>
      </c>
      <c r="X39" s="1552"/>
      <c r="Y39" s="3458"/>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58"/>
      <c r="Q40" s="1557" t="str">
        <f t="shared" si="11"/>
        <v>单套建筑面积</v>
      </c>
      <c r="R40" s="1558" t="s">
        <v>8</v>
      </c>
      <c r="S40" s="1559">
        <f t="shared" si="12"/>
        <v>100</v>
      </c>
      <c r="T40" s="1558" t="s">
        <v>8</v>
      </c>
      <c r="U40" s="1559">
        <f t="shared" si="13"/>
        <v>100</v>
      </c>
      <c r="V40" s="1558" t="s">
        <v>8</v>
      </c>
      <c r="W40" s="1559">
        <f t="shared" si="14"/>
        <v>100</v>
      </c>
      <c r="X40" s="1552"/>
      <c r="Y40" s="3458"/>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58"/>
      <c r="Q41" s="1589" t="str">
        <f t="shared" si="11"/>
        <v>进深比</v>
      </c>
      <c r="R41" s="1562" t="s">
        <v>8</v>
      </c>
      <c r="S41" s="1563">
        <f t="shared" si="12"/>
        <v>100</v>
      </c>
      <c r="T41" s="1562" t="s">
        <v>8</v>
      </c>
      <c r="U41" s="1563">
        <f t="shared" si="13"/>
        <v>100</v>
      </c>
      <c r="V41" s="1562" t="s">
        <v>8</v>
      </c>
      <c r="W41" s="1563">
        <f t="shared" si="14"/>
        <v>100</v>
      </c>
      <c r="X41" s="1564"/>
      <c r="Y41" s="3458"/>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58"/>
      <c r="Q42" s="1557" t="str">
        <f t="shared" si="11"/>
        <v>内部装修</v>
      </c>
      <c r="R42" s="1558" t="s">
        <v>8</v>
      </c>
      <c r="S42" s="1559">
        <f t="shared" si="12"/>
        <v>100</v>
      </c>
      <c r="T42" s="1558" t="s">
        <v>8</v>
      </c>
      <c r="U42" s="1559">
        <f t="shared" si="13"/>
        <v>100</v>
      </c>
      <c r="V42" s="1558" t="s">
        <v>8</v>
      </c>
      <c r="W42" s="1559">
        <f t="shared" si="14"/>
        <v>100</v>
      </c>
      <c r="X42" s="1552"/>
      <c r="Y42" s="3458"/>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58"/>
      <c r="Q43" s="1557" t="str">
        <f t="shared" si="11"/>
        <v>内部装修维护情况</v>
      </c>
      <c r="R43" s="1558" t="s">
        <v>8</v>
      </c>
      <c r="S43" s="1559">
        <f t="shared" si="12"/>
        <v>100</v>
      </c>
      <c r="T43" s="1558" t="s">
        <v>8</v>
      </c>
      <c r="U43" s="1559">
        <f t="shared" si="13"/>
        <v>100</v>
      </c>
      <c r="V43" s="1558" t="s">
        <v>8</v>
      </c>
      <c r="W43" s="1559">
        <f t="shared" si="14"/>
        <v>100</v>
      </c>
      <c r="X43" s="1552"/>
      <c r="Y43" s="3458"/>
      <c r="Z43" s="1560" t="str">
        <f t="shared" si="15"/>
        <v>内部装修维护情况</v>
      </c>
      <c r="AA43" s="1561">
        <f t="shared" si="3"/>
        <v>1</v>
      </c>
      <c r="AB43" s="1561">
        <f t="shared" si="4"/>
        <v>1</v>
      </c>
      <c r="AC43" s="1561">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19"/>
      <c r="M44" s="2120"/>
      <c r="N44" s="2120"/>
      <c r="O44" s="2121"/>
      <c r="P44" s="3458"/>
      <c r="Q44" s="1146">
        <f t="shared" si="11"/>
        <v>111</v>
      </c>
      <c r="R44" s="1553" t="s">
        <v>8</v>
      </c>
      <c r="S44" s="1554">
        <f t="shared" si="12"/>
        <v>100</v>
      </c>
      <c r="T44" s="1553" t="s">
        <v>8</v>
      </c>
      <c r="U44" s="1554">
        <f t="shared" si="13"/>
        <v>100</v>
      </c>
      <c r="V44" s="1553" t="s">
        <v>8</v>
      </c>
      <c r="W44" s="1554">
        <f t="shared" si="14"/>
        <v>100</v>
      </c>
      <c r="X44" s="1555"/>
      <c r="Y44" s="3458"/>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58"/>
      <c r="Q45" s="1557">
        <f t="shared" si="11"/>
        <v>111</v>
      </c>
      <c r="R45" s="1558" t="s">
        <v>8</v>
      </c>
      <c r="S45" s="1559">
        <f t="shared" si="12"/>
        <v>100</v>
      </c>
      <c r="T45" s="1558" t="s">
        <v>8</v>
      </c>
      <c r="U45" s="1559">
        <f t="shared" si="13"/>
        <v>100</v>
      </c>
      <c r="V45" s="1558" t="s">
        <v>8</v>
      </c>
      <c r="W45" s="1559">
        <f t="shared" si="14"/>
        <v>100</v>
      </c>
      <c r="X45" s="1552"/>
      <c r="Y45" s="3458"/>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39"/>
      <c r="Q46" s="1557">
        <f t="shared" si="11"/>
        <v>111</v>
      </c>
      <c r="R46" s="1558" t="s">
        <v>8</v>
      </c>
      <c r="S46" s="1559">
        <f t="shared" si="12"/>
        <v>100</v>
      </c>
      <c r="T46" s="1558" t="s">
        <v>8</v>
      </c>
      <c r="U46" s="1559">
        <f t="shared" si="13"/>
        <v>100</v>
      </c>
      <c r="V46" s="1558" t="s">
        <v>8</v>
      </c>
      <c r="W46" s="1559">
        <f t="shared" si="14"/>
        <v>100</v>
      </c>
      <c r="X46" s="1552"/>
      <c r="Y46" s="3539"/>
      <c r="Z46" s="1560">
        <f t="shared" si="15"/>
        <v>111</v>
      </c>
      <c r="AA46" s="1561">
        <f t="shared" si="3"/>
        <v>1</v>
      </c>
      <c r="AB46" s="1561">
        <f t="shared" si="4"/>
        <v>1</v>
      </c>
      <c r="AC46" s="1561">
        <f t="shared" si="5"/>
        <v>1</v>
      </c>
    </row>
    <row r="47" spans="1:29" ht="15">
      <c r="A47" s="606" t="s">
        <v>736</v>
      </c>
      <c r="B47" s="886"/>
      <c r="C47" s="2588" t="s">
        <v>1</v>
      </c>
      <c r="D47" s="2589"/>
      <c r="E47" s="2590"/>
      <c r="F47" s="2591"/>
      <c r="G47" s="2592"/>
      <c r="H47" s="2593"/>
      <c r="I47" s="2590"/>
      <c r="J47" s="2593"/>
      <c r="K47" s="1595"/>
      <c r="L47" s="2128"/>
      <c r="M47" s="2129"/>
      <c r="N47" s="2118"/>
      <c r="O47" s="2129"/>
      <c r="P47" s="3421" t="str">
        <f>A47</f>
        <v>成交单价（元/平方米）</v>
      </c>
      <c r="Q47" s="3421"/>
      <c r="R47" s="3538">
        <f>E47</f>
        <v>0</v>
      </c>
      <c r="S47" s="3538"/>
      <c r="T47" s="3538">
        <f>G47</f>
        <v>0</v>
      </c>
      <c r="U47" s="3538"/>
      <c r="V47" s="3538">
        <f>I47</f>
        <v>0</v>
      </c>
      <c r="W47" s="3538"/>
      <c r="X47" s="1544"/>
      <c r="Y47" s="1566"/>
      <c r="Z47" s="1544"/>
      <c r="AA47" s="1544"/>
      <c r="AB47" s="1544"/>
      <c r="AC47" s="1544"/>
    </row>
    <row r="48" spans="1:29" ht="15.75" thickBot="1">
      <c r="A48" s="614" t="s">
        <v>2760</v>
      </c>
      <c r="B48" s="887"/>
      <c r="C48" s="2594" t="e">
        <f>R49</f>
        <v>#DIV/0!</v>
      </c>
      <c r="D48" s="2595"/>
      <c r="E48" s="2596" t="e">
        <f>R48</f>
        <v>#DIV/0!</v>
      </c>
      <c r="F48" s="2596"/>
      <c r="G48" s="2594" t="e">
        <f>T48</f>
        <v>#DIV/0!</v>
      </c>
      <c r="H48" s="2595"/>
      <c r="I48" s="2596" t="e">
        <f>V48</f>
        <v>#DIV/0!</v>
      </c>
      <c r="J48" s="2595"/>
      <c r="K48" s="1596"/>
      <c r="L48" s="2128"/>
      <c r="M48" s="2129"/>
      <c r="N48" s="2118"/>
      <c r="O48" s="2129"/>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4"/>
      <c r="Y48" s="1544"/>
      <c r="Z48" s="1544"/>
      <c r="AA48" s="1544"/>
      <c r="AB48" s="1544"/>
      <c r="AC48" s="1544"/>
    </row>
    <row r="49" spans="1:29" ht="15.75" thickBot="1">
      <c r="A49" s="620" t="s">
        <v>2936</v>
      </c>
      <c r="B49" s="621"/>
      <c r="C49" s="2597" t="e">
        <f>R49</f>
        <v>#DIV/0!</v>
      </c>
      <c r="D49" s="2597"/>
      <c r="E49" s="2597"/>
      <c r="F49" s="2597"/>
      <c r="G49" s="2597"/>
      <c r="H49" s="2597"/>
      <c r="I49" s="2597"/>
      <c r="J49" s="2597"/>
      <c r="K49" s="1597"/>
      <c r="L49" s="2128"/>
      <c r="M49" s="2129"/>
      <c r="N49" s="2118"/>
      <c r="O49" s="2129"/>
      <c r="P49" s="3418" t="str">
        <f>A49</f>
        <v>估价对象XX用房的比较价格（楼面单价，元/平方米）</v>
      </c>
      <c r="Q49" s="3419"/>
      <c r="R49" s="3537" t="e">
        <f>IF(F1="售价",ROUND(AVERAGE(R48:V48),0),ROUND(AVERAGE(R48:V48),1))</f>
        <v>#DIV/0!</v>
      </c>
      <c r="S49" s="3537"/>
      <c r="T49" s="3537"/>
      <c r="U49" s="3537"/>
      <c r="V49" s="3537"/>
      <c r="W49" s="353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4"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58" t="s">
        <v>2558</v>
      </c>
      <c r="C82" s="2559" t="s">
        <v>2559</v>
      </c>
      <c r="D82" s="2559" t="s">
        <v>2560</v>
      </c>
      <c r="E82" s="2559" t="s">
        <v>2561</v>
      </c>
      <c r="F82" s="2559" t="s">
        <v>2562</v>
      </c>
      <c r="G82" s="2559" t="s">
        <v>2563</v>
      </c>
      <c r="H82" s="673"/>
      <c r="I82" s="673"/>
      <c r="J82" s="673"/>
      <c r="K82" s="673"/>
      <c r="L82" s="673"/>
      <c r="M82" s="2562"/>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27" t="s">
        <v>522</v>
      </c>
      <c r="D4" s="3428"/>
      <c r="E4" s="3461" t="s">
        <v>523</v>
      </c>
      <c r="F4" s="3462"/>
      <c r="G4" s="3427" t="s">
        <v>524</v>
      </c>
      <c r="H4" s="3428"/>
      <c r="I4" s="3427" t="s">
        <v>525</v>
      </c>
      <c r="J4" s="3428"/>
      <c r="K4" s="513" t="s">
        <v>526</v>
      </c>
      <c r="L4" s="2117"/>
      <c r="M4" s="2118"/>
      <c r="N4" s="2118"/>
      <c r="O4" s="2118"/>
      <c r="P4" s="3541" t="s">
        <v>527</v>
      </c>
      <c r="Q4" s="3430"/>
      <c r="R4" s="3435" t="s">
        <v>523</v>
      </c>
      <c r="S4" s="3436"/>
      <c r="T4" s="3435" t="s">
        <v>524</v>
      </c>
      <c r="U4" s="3436"/>
      <c r="V4" s="3422" t="s">
        <v>525</v>
      </c>
      <c r="W4" s="3422"/>
      <c r="X4" s="1552"/>
      <c r="Y4" s="3435" t="s">
        <v>527</v>
      </c>
      <c r="Z4" s="3436"/>
      <c r="AA4" s="3424" t="s">
        <v>523</v>
      </c>
      <c r="AB4" s="3424" t="s">
        <v>524</v>
      </c>
      <c r="AC4" s="3424" t="s">
        <v>525</v>
      </c>
    </row>
    <row r="5" spans="1:29" ht="15">
      <c r="A5" s="514"/>
      <c r="B5" s="515"/>
      <c r="C5" s="3443" t="s">
        <v>2930</v>
      </c>
      <c r="D5" s="3444"/>
      <c r="E5" s="3463" t="s">
        <v>2931</v>
      </c>
      <c r="F5" s="3464"/>
      <c r="G5" s="3443" t="s">
        <v>2932</v>
      </c>
      <c r="H5" s="3444"/>
      <c r="I5" s="3443" t="s">
        <v>2933</v>
      </c>
      <c r="J5" s="3444"/>
      <c r="K5" s="513"/>
      <c r="L5" s="2117"/>
      <c r="M5" s="2118"/>
      <c r="N5" s="2118"/>
      <c r="O5" s="2118"/>
      <c r="P5" s="3542"/>
      <c r="Q5" s="3432"/>
      <c r="R5" s="3437"/>
      <c r="S5" s="3438"/>
      <c r="T5" s="3437"/>
      <c r="U5" s="3438"/>
      <c r="V5" s="3422"/>
      <c r="W5" s="3422"/>
      <c r="X5" s="1552"/>
      <c r="Y5" s="3437"/>
      <c r="Z5" s="3438"/>
      <c r="AA5" s="3425"/>
      <c r="AB5" s="3425"/>
      <c r="AC5" s="3425"/>
    </row>
    <row r="6" spans="1:29" ht="15.75" thickBot="1">
      <c r="A6" s="516"/>
      <c r="B6" s="517"/>
      <c r="C6" s="3441" t="s">
        <v>2934</v>
      </c>
      <c r="D6" s="3442"/>
      <c r="E6" s="3459" t="s">
        <v>2934</v>
      </c>
      <c r="F6" s="3460"/>
      <c r="G6" s="3441" t="s">
        <v>2934</v>
      </c>
      <c r="H6" s="3442"/>
      <c r="I6" s="3441" t="s">
        <v>2934</v>
      </c>
      <c r="J6" s="3442"/>
      <c r="K6" s="513" t="s">
        <v>528</v>
      </c>
      <c r="L6" s="2117"/>
      <c r="M6" s="2118"/>
      <c r="N6" s="2118"/>
      <c r="O6" s="2118"/>
      <c r="P6" s="3543"/>
      <c r="Q6" s="3434"/>
      <c r="R6" s="3437"/>
      <c r="S6" s="3438"/>
      <c r="T6" s="3439"/>
      <c r="U6" s="3440"/>
      <c r="V6" s="3422"/>
      <c r="W6" s="3422"/>
      <c r="X6" s="1552"/>
      <c r="Y6" s="3439"/>
      <c r="Z6" s="3440"/>
      <c r="AA6" s="3426"/>
      <c r="AB6" s="3426"/>
      <c r="AC6" s="3426"/>
    </row>
    <row r="7" spans="1:29" s="1215" customFormat="1" ht="15.75" thickBot="1">
      <c r="A7" s="2864"/>
      <c r="B7" s="2871" t="s">
        <v>529</v>
      </c>
      <c r="C7" s="518">
        <f>'数据-取费表'!B2</f>
        <v>43646</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54" t="s">
        <v>530</v>
      </c>
      <c r="Q7" s="3454"/>
      <c r="R7" s="1553" t="s">
        <v>8</v>
      </c>
      <c r="S7" s="1554">
        <f t="shared" ref="S7:S15" si="0">F7</f>
        <v>0</v>
      </c>
      <c r="T7" s="1553" t="s">
        <v>8</v>
      </c>
      <c r="U7" s="1554">
        <f t="shared" ref="U7:U15" si="1">H7</f>
        <v>0</v>
      </c>
      <c r="V7" s="1553" t="s">
        <v>8</v>
      </c>
      <c r="W7" s="1554">
        <f t="shared" ref="W7:W15"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54" t="s">
        <v>533</v>
      </c>
      <c r="Q8" s="3453"/>
      <c r="R8" s="1553" t="s">
        <v>8</v>
      </c>
      <c r="S8" s="1554">
        <f t="shared" si="0"/>
        <v>0</v>
      </c>
      <c r="T8" s="1553" t="s">
        <v>8</v>
      </c>
      <c r="U8" s="1554">
        <f t="shared" si="1"/>
        <v>0</v>
      </c>
      <c r="V8" s="1553" t="s">
        <v>8</v>
      </c>
      <c r="W8" s="1554">
        <f t="shared" si="2"/>
        <v>0</v>
      </c>
      <c r="X8" s="1555"/>
      <c r="Y8" s="3452" t="s">
        <v>533</v>
      </c>
      <c r="Z8" s="3453"/>
      <c r="AA8" s="1556" t="e">
        <f t="shared" ref="AA8:AA47" si="3">D8/F8</f>
        <v>#DIV/0!</v>
      </c>
      <c r="AB8" s="1556" t="e">
        <f t="shared" ref="AB8:AB47" si="4">D8/H8</f>
        <v>#DIV/0!</v>
      </c>
      <c r="AC8" s="1556" t="e">
        <f t="shared" ref="AC8:AC47" si="5">D8/J8</f>
        <v>#DIV/0!</v>
      </c>
    </row>
    <row r="9" spans="1:29" s="1215" customFormat="1" ht="15">
      <c r="A9" s="2866"/>
      <c r="B9" s="2873" t="s">
        <v>2756</v>
      </c>
      <c r="C9" s="856"/>
      <c r="D9" s="254">
        <v>100</v>
      </c>
      <c r="E9" s="859"/>
      <c r="F9" s="254">
        <f>SUMIF(64:64,E9,65:65)-SUMIF(64:64,C9,65:65)+100</f>
        <v>100</v>
      </c>
      <c r="G9" s="857"/>
      <c r="H9" s="254">
        <f>SUMIF(64:64,G9,65:65)-SUMIF(64:64,C9,65:65)+100</f>
        <v>100</v>
      </c>
      <c r="I9" s="857"/>
      <c r="J9" s="254">
        <f>SUMIF(64:64,I9,65:65)-SUMIF(64:64,C9,65:65)+100</f>
        <v>100</v>
      </c>
      <c r="K9" s="523"/>
      <c r="L9" s="2119"/>
      <c r="M9" s="2120"/>
      <c r="N9" s="2120"/>
      <c r="O9" s="2120"/>
      <c r="P9" s="3421" t="s">
        <v>535</v>
      </c>
      <c r="Q9" s="1146" t="str">
        <f t="shared" ref="Q9:Q15" si="6">B9</f>
        <v>用途</v>
      </c>
      <c r="R9" s="1553" t="s">
        <v>8</v>
      </c>
      <c r="S9" s="1554">
        <f t="shared" si="0"/>
        <v>100</v>
      </c>
      <c r="T9" s="1553" t="s">
        <v>8</v>
      </c>
      <c r="U9" s="1554">
        <f t="shared" si="1"/>
        <v>100</v>
      </c>
      <c r="V9" s="1553" t="s">
        <v>8</v>
      </c>
      <c r="W9" s="1554">
        <f t="shared" si="2"/>
        <v>100</v>
      </c>
      <c r="X9" s="1555"/>
      <c r="Y9" s="3367" t="s">
        <v>536</v>
      </c>
      <c r="Z9" s="1145" t="str">
        <f t="shared" ref="Z9:Z15" si="7">Q9</f>
        <v>用途</v>
      </c>
      <c r="AA9" s="1556">
        <f t="shared" si="3"/>
        <v>1</v>
      </c>
      <c r="AB9" s="1556">
        <f t="shared" si="4"/>
        <v>1</v>
      </c>
      <c r="AC9" s="1556">
        <f t="shared" si="5"/>
        <v>1</v>
      </c>
    </row>
    <row r="10" spans="1:29" s="1333" customFormat="1" ht="27">
      <c r="A10" s="2867"/>
      <c r="B10" s="2872" t="s">
        <v>2757</v>
      </c>
      <c r="C10" s="860"/>
      <c r="D10" s="255">
        <v>100</v>
      </c>
      <c r="E10" s="860"/>
      <c r="F10" s="255">
        <f>SUMIF(66:66,E10,67:67)-SUMIF(66:66,C10,67:67)+100</f>
        <v>100</v>
      </c>
      <c r="G10" s="861"/>
      <c r="H10" s="255">
        <f>SUMIF(66:66,G10,67:67)-SUMIF(66:66,C10,67:67)+100</f>
        <v>100</v>
      </c>
      <c r="I10" s="860"/>
      <c r="J10" s="255">
        <f>SUMIF(66:66,I10,67:67)-SUMIF(66:66,C10,67:67)+100</f>
        <v>100</v>
      </c>
      <c r="K10" s="583"/>
      <c r="L10" s="2122"/>
      <c r="M10" s="2162"/>
      <c r="N10" s="2162"/>
      <c r="O10" s="2162"/>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8"/>
      <c r="B11" s="2872" t="s">
        <v>2758</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24"/>
      <c r="M11" s="2118"/>
      <c r="N11" s="2118"/>
      <c r="O11" s="2118"/>
      <c r="P11" s="3421"/>
      <c r="Q11" s="1146" t="str">
        <f t="shared" si="6"/>
        <v>容积率</v>
      </c>
      <c r="R11" s="1553" t="s">
        <v>8</v>
      </c>
      <c r="S11" s="1554" t="e">
        <f t="shared" si="0"/>
        <v>#N/A</v>
      </c>
      <c r="T11" s="1553" t="s">
        <v>8</v>
      </c>
      <c r="U11" s="1554" t="e">
        <f t="shared" si="1"/>
        <v>#N/A</v>
      </c>
      <c r="V11" s="1553" t="s">
        <v>8</v>
      </c>
      <c r="W11" s="1554" t="e">
        <f t="shared" si="2"/>
        <v>#N/A</v>
      </c>
      <c r="X11" s="1555"/>
      <c r="Y11" s="3367"/>
      <c r="Z11" s="1145" t="str">
        <f t="shared" si="7"/>
        <v>容积率</v>
      </c>
      <c r="AA11" s="1556" t="e">
        <f t="shared" si="3"/>
        <v>#N/A</v>
      </c>
      <c r="AB11" s="1556" t="e">
        <f t="shared" si="4"/>
        <v>#N/A</v>
      </c>
      <c r="AC11" s="1556" t="e">
        <f t="shared" si="5"/>
        <v>#N/A</v>
      </c>
    </row>
    <row r="12" spans="1:29" s="1215" customFormat="1" ht="15">
      <c r="A12" s="2869"/>
      <c r="B12" s="2875">
        <v>111</v>
      </c>
      <c r="C12" s="527"/>
      <c r="D12" s="537">
        <v>100</v>
      </c>
      <c r="E12" s="527"/>
      <c r="F12" s="255">
        <f>SUMIF(71:71,E12,72:72)-SUMIF(71:71,C12,72:72)+100</f>
        <v>100</v>
      </c>
      <c r="G12" s="909"/>
      <c r="H12" s="255">
        <f>SUMIF(71:71,G12,72:72)-SUMIF(71:71,C12,72:72)+100</f>
        <v>100</v>
      </c>
      <c r="I12" s="527"/>
      <c r="J12" s="255">
        <f>SUMIF(71:71,I12,72:72)-SUMIF(71:71,C12,72:72)+100</f>
        <v>100</v>
      </c>
      <c r="K12" s="580"/>
      <c r="L12" s="2119"/>
      <c r="M12" s="2120"/>
      <c r="N12" s="2120"/>
      <c r="O12" s="2120"/>
      <c r="P12" s="3421"/>
      <c r="Q12" s="1146">
        <f t="shared" si="6"/>
        <v>111</v>
      </c>
      <c r="R12" s="1553" t="s">
        <v>8</v>
      </c>
      <c r="S12" s="1554">
        <f t="shared" si="0"/>
        <v>100</v>
      </c>
      <c r="T12" s="1553" t="s">
        <v>8</v>
      </c>
      <c r="U12" s="1554">
        <f t="shared" si="1"/>
        <v>100</v>
      </c>
      <c r="V12" s="1553" t="s">
        <v>8</v>
      </c>
      <c r="W12" s="1554">
        <f t="shared" si="2"/>
        <v>100</v>
      </c>
      <c r="X12" s="1555"/>
      <c r="Y12" s="3367"/>
      <c r="Z12" s="1145">
        <f t="shared" si="7"/>
        <v>111</v>
      </c>
      <c r="AA12" s="1556">
        <f>D12/F12</f>
        <v>1</v>
      </c>
      <c r="AB12" s="1556">
        <f>D12/H12</f>
        <v>1</v>
      </c>
      <c r="AC12" s="1556">
        <f>D12/J12</f>
        <v>1</v>
      </c>
    </row>
    <row r="13" spans="1:29" ht="15">
      <c r="A13" s="2869"/>
      <c r="B13" s="2875">
        <v>111</v>
      </c>
      <c r="C13" s="538"/>
      <c r="D13" s="539">
        <v>100</v>
      </c>
      <c r="E13" s="527"/>
      <c r="F13" s="255">
        <f>SUMIF(73:73,E13,74:74)-SUMIF(73:73,C13,74:74)+100</f>
        <v>100</v>
      </c>
      <c r="G13" s="909"/>
      <c r="H13" s="539">
        <f>SUMIF(73:73,G13,74:74)-SUMIF(73:73,C13,74:74)+100</f>
        <v>100</v>
      </c>
      <c r="I13" s="527"/>
      <c r="J13" s="539">
        <f>SUMIF(73:73,I13,74:74)-SUMIF(73:73,C13,74:74)+100</f>
        <v>100</v>
      </c>
      <c r="K13" s="580"/>
      <c r="L13" s="2126"/>
      <c r="M13" s="2118"/>
      <c r="N13" s="2118"/>
      <c r="O13" s="2118"/>
      <c r="P13" s="3421"/>
      <c r="Q13" s="1146">
        <f t="shared" si="6"/>
        <v>111</v>
      </c>
      <c r="R13" s="1553" t="s">
        <v>8</v>
      </c>
      <c r="S13" s="1554">
        <f t="shared" si="0"/>
        <v>100</v>
      </c>
      <c r="T13" s="1553" t="s">
        <v>8</v>
      </c>
      <c r="U13" s="1554">
        <f t="shared" si="1"/>
        <v>100</v>
      </c>
      <c r="V13" s="1553" t="s">
        <v>8</v>
      </c>
      <c r="W13" s="1554">
        <f t="shared" si="2"/>
        <v>100</v>
      </c>
      <c r="X13" s="1555"/>
      <c r="Y13" s="3367"/>
      <c r="Z13" s="1145">
        <f t="shared" si="7"/>
        <v>111</v>
      </c>
      <c r="AA13" s="1556">
        <f t="shared" si="3"/>
        <v>1</v>
      </c>
      <c r="AB13" s="1556">
        <f t="shared" si="4"/>
        <v>1</v>
      </c>
      <c r="AC13" s="1556">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421"/>
      <c r="Q14" s="1146">
        <f t="shared" si="6"/>
        <v>111</v>
      </c>
      <c r="R14" s="1553" t="s">
        <v>8</v>
      </c>
      <c r="S14" s="1554">
        <f t="shared" si="0"/>
        <v>100</v>
      </c>
      <c r="T14" s="1553" t="s">
        <v>8</v>
      </c>
      <c r="U14" s="1554">
        <f t="shared" si="1"/>
        <v>100</v>
      </c>
      <c r="V14" s="1553" t="s">
        <v>8</v>
      </c>
      <c r="W14" s="1554">
        <f t="shared" si="2"/>
        <v>100</v>
      </c>
      <c r="X14" s="1555"/>
      <c r="Y14" s="3367"/>
      <c r="Z14" s="1145">
        <f t="shared" si="7"/>
        <v>111</v>
      </c>
      <c r="AA14" s="1556">
        <f t="shared" si="3"/>
        <v>1</v>
      </c>
      <c r="AB14" s="1556">
        <f t="shared" si="4"/>
        <v>1</v>
      </c>
      <c r="AC14" s="1556">
        <f t="shared" si="5"/>
        <v>1</v>
      </c>
    </row>
    <row r="15" spans="1:29" ht="71.25">
      <c r="A15" s="2862"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55" t="s">
        <v>540</v>
      </c>
      <c r="Q15" s="1557" t="str">
        <f t="shared" si="6"/>
        <v>办公集聚程度</v>
      </c>
      <c r="R15" s="1558" t="s">
        <v>8</v>
      </c>
      <c r="S15" s="1559">
        <f t="shared" si="0"/>
        <v>100</v>
      </c>
      <c r="T15" s="1558" t="s">
        <v>8</v>
      </c>
      <c r="U15" s="1559">
        <f t="shared" si="1"/>
        <v>100</v>
      </c>
      <c r="V15" s="1558" t="s">
        <v>8</v>
      </c>
      <c r="W15" s="1559">
        <f t="shared" si="2"/>
        <v>100</v>
      </c>
      <c r="X15" s="1552"/>
      <c r="Y15" s="3455"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56"/>
      <c r="Q16" s="1557"/>
      <c r="R16" s="1558"/>
      <c r="S16" s="1559"/>
      <c r="T16" s="1558"/>
      <c r="U16" s="1559"/>
      <c r="V16" s="1558"/>
      <c r="W16" s="1559"/>
      <c r="X16" s="1552"/>
      <c r="Y16" s="3456"/>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56"/>
      <c r="Q17" s="1557" t="str">
        <f>B17</f>
        <v>交通便捷度</v>
      </c>
      <c r="R17" s="1558" t="s">
        <v>8</v>
      </c>
      <c r="S17" s="1559">
        <f>F17</f>
        <v>100</v>
      </c>
      <c r="T17" s="1558" t="s">
        <v>8</v>
      </c>
      <c r="U17" s="1559">
        <f>H17</f>
        <v>100</v>
      </c>
      <c r="V17" s="1558" t="s">
        <v>8</v>
      </c>
      <c r="W17" s="1559">
        <f>J17</f>
        <v>100</v>
      </c>
      <c r="X17" s="1552"/>
      <c r="Y17" s="3456"/>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56"/>
      <c r="Q18" s="1557"/>
      <c r="R18" s="1558"/>
      <c r="S18" s="1559"/>
      <c r="T18" s="1558"/>
      <c r="U18" s="1559"/>
      <c r="V18" s="1558"/>
      <c r="W18" s="1559"/>
      <c r="X18" s="1552"/>
      <c r="Y18" s="3456"/>
      <c r="Z18" s="1560"/>
      <c r="AA18" s="1561">
        <v>1</v>
      </c>
      <c r="AB18" s="1561">
        <v>1</v>
      </c>
      <c r="AC18" s="1561">
        <v>1</v>
      </c>
    </row>
    <row r="19" spans="1:29" ht="42.75">
      <c r="A19" s="531"/>
      <c r="B19" s="2564"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56"/>
      <c r="Q19" s="1557" t="str">
        <f>B19</f>
        <v>公共配套设施</v>
      </c>
      <c r="R19" s="1558" t="s">
        <v>8</v>
      </c>
      <c r="S19" s="1559">
        <f>F19</f>
        <v>100</v>
      </c>
      <c r="T19" s="1558" t="s">
        <v>8</v>
      </c>
      <c r="U19" s="1559">
        <f>H19</f>
        <v>100</v>
      </c>
      <c r="V19" s="1558" t="s">
        <v>8</v>
      </c>
      <c r="W19" s="1559">
        <f>J19</f>
        <v>100</v>
      </c>
      <c r="X19" s="1552"/>
      <c r="Y19" s="3456"/>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56"/>
      <c r="Q20" s="1557"/>
      <c r="R20" s="1558"/>
      <c r="S20" s="1559"/>
      <c r="T20" s="1558"/>
      <c r="U20" s="1559"/>
      <c r="V20" s="1558"/>
      <c r="W20" s="1559"/>
      <c r="X20" s="1552"/>
      <c r="Y20" s="3456"/>
      <c r="Z20" s="1560"/>
      <c r="AA20" s="1561">
        <v>1</v>
      </c>
      <c r="AB20" s="1561">
        <v>1</v>
      </c>
      <c r="AC20" s="1561">
        <v>1</v>
      </c>
    </row>
    <row r="21" spans="1:29" ht="28.5">
      <c r="A21" s="531"/>
      <c r="B21" s="2552"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56"/>
      <c r="Q21" s="2540" t="str">
        <f>B21</f>
        <v>基础设施水平</v>
      </c>
      <c r="R21" s="1558" t="s">
        <v>8</v>
      </c>
      <c r="S21" s="1559">
        <f>F21</f>
        <v>100</v>
      </c>
      <c r="T21" s="1558" t="s">
        <v>8</v>
      </c>
      <c r="U21" s="1559">
        <f>H21</f>
        <v>100</v>
      </c>
      <c r="V21" s="1558" t="s">
        <v>8</v>
      </c>
      <c r="W21" s="1559">
        <f>J21</f>
        <v>100</v>
      </c>
      <c r="X21" s="2542"/>
      <c r="Y21" s="3456"/>
      <c r="Z21" s="2541"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3"/>
      <c r="L22" s="2126"/>
      <c r="M22" s="2118"/>
      <c r="N22" s="2118"/>
      <c r="O22" s="2118"/>
      <c r="P22" s="3456"/>
      <c r="Q22" s="2540"/>
      <c r="R22" s="1558"/>
      <c r="S22" s="1559"/>
      <c r="T22" s="1558"/>
      <c r="U22" s="1559"/>
      <c r="V22" s="1558"/>
      <c r="W22" s="1559"/>
      <c r="X22" s="2542"/>
      <c r="Y22" s="3456"/>
      <c r="Z22" s="2541"/>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56"/>
      <c r="Q23" s="1557" t="str">
        <f>B23</f>
        <v>环境质量</v>
      </c>
      <c r="R23" s="1558" t="s">
        <v>8</v>
      </c>
      <c r="S23" s="1559">
        <f>F23</f>
        <v>100</v>
      </c>
      <c r="T23" s="1558" t="s">
        <v>8</v>
      </c>
      <c r="U23" s="1559">
        <f>H23</f>
        <v>100</v>
      </c>
      <c r="V23" s="1558" t="s">
        <v>8</v>
      </c>
      <c r="W23" s="1559">
        <f>J23</f>
        <v>100</v>
      </c>
      <c r="X23" s="1552"/>
      <c r="Y23" s="3456"/>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56"/>
      <c r="Q24" s="1557"/>
      <c r="R24" s="1558"/>
      <c r="S24" s="1559"/>
      <c r="T24" s="1558"/>
      <c r="U24" s="1559"/>
      <c r="V24" s="1558"/>
      <c r="W24" s="1559"/>
      <c r="X24" s="1552"/>
      <c r="Y24" s="3456"/>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56"/>
      <c r="Q25" s="1557" t="str">
        <f>B25</f>
        <v>毗邻道路的类型与等级</v>
      </c>
      <c r="R25" s="1558" t="s">
        <v>8</v>
      </c>
      <c r="S25" s="1559">
        <f>F25</f>
        <v>100</v>
      </c>
      <c r="T25" s="1558" t="s">
        <v>8</v>
      </c>
      <c r="U25" s="1559">
        <f>H25</f>
        <v>100</v>
      </c>
      <c r="V25" s="1558" t="s">
        <v>8</v>
      </c>
      <c r="W25" s="1559">
        <f>J25</f>
        <v>100</v>
      </c>
      <c r="X25" s="1552"/>
      <c r="Y25" s="3456"/>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56"/>
      <c r="Q26" s="1557"/>
      <c r="R26" s="1558"/>
      <c r="S26" s="1559"/>
      <c r="T26" s="1558"/>
      <c r="U26" s="1559"/>
      <c r="V26" s="1558"/>
      <c r="W26" s="1559"/>
      <c r="X26" s="1552"/>
      <c r="Y26" s="3456"/>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56"/>
      <c r="Q27" s="1557" t="str">
        <f t="shared" ref="Q27:Q47" si="11">B27</f>
        <v>楼层</v>
      </c>
      <c r="R27" s="1558" t="s">
        <v>8</v>
      </c>
      <c r="S27" s="1559">
        <f>F27</f>
        <v>100</v>
      </c>
      <c r="T27" s="1558" t="s">
        <v>8</v>
      </c>
      <c r="U27" s="1559">
        <f>H27</f>
        <v>100</v>
      </c>
      <c r="V27" s="1558" t="s">
        <v>8</v>
      </c>
      <c r="W27" s="1559">
        <f>J27</f>
        <v>100</v>
      </c>
      <c r="X27" s="1552"/>
      <c r="Y27" s="3456"/>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56"/>
      <c r="Q28" s="1146" t="str">
        <f t="shared" si="11"/>
        <v>朝向</v>
      </c>
      <c r="R28" s="1553" t="s">
        <v>8</v>
      </c>
      <c r="S28" s="1554">
        <f>F28</f>
        <v>100</v>
      </c>
      <c r="T28" s="1553" t="s">
        <v>8</v>
      </c>
      <c r="U28" s="1554">
        <f>H28</f>
        <v>100</v>
      </c>
      <c r="V28" s="1553" t="s">
        <v>8</v>
      </c>
      <c r="W28" s="1554">
        <f>J28</f>
        <v>100</v>
      </c>
      <c r="X28" s="1555"/>
      <c r="Y28" s="3456"/>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56"/>
      <c r="Q29" s="1557">
        <f t="shared" si="11"/>
        <v>111</v>
      </c>
      <c r="R29" s="1558" t="s">
        <v>8</v>
      </c>
      <c r="S29" s="1559">
        <f t="shared" ref="S29:S47" si="12">F29</f>
        <v>100</v>
      </c>
      <c r="T29" s="1558" t="s">
        <v>8</v>
      </c>
      <c r="U29" s="1559">
        <f t="shared" ref="U29:U47" si="13">H29</f>
        <v>100</v>
      </c>
      <c r="V29" s="1558" t="s">
        <v>8</v>
      </c>
      <c r="W29" s="1559">
        <f t="shared" ref="W29:W47" si="14">J29</f>
        <v>100</v>
      </c>
      <c r="X29" s="1552"/>
      <c r="Y29" s="3456"/>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56"/>
      <c r="Q30" s="1557">
        <f t="shared" si="11"/>
        <v>111</v>
      </c>
      <c r="R30" s="1558" t="s">
        <v>8</v>
      </c>
      <c r="S30" s="1559">
        <f t="shared" si="12"/>
        <v>100</v>
      </c>
      <c r="T30" s="1558" t="s">
        <v>8</v>
      </c>
      <c r="U30" s="1559">
        <f t="shared" si="13"/>
        <v>100</v>
      </c>
      <c r="V30" s="1558" t="s">
        <v>8</v>
      </c>
      <c r="W30" s="1559">
        <f t="shared" si="14"/>
        <v>100</v>
      </c>
      <c r="X30" s="1552"/>
      <c r="Y30" s="3456"/>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56"/>
      <c r="Q31" s="1557">
        <f t="shared" si="11"/>
        <v>111</v>
      </c>
      <c r="R31" s="1558" t="s">
        <v>8</v>
      </c>
      <c r="S31" s="1559">
        <f t="shared" si="12"/>
        <v>100</v>
      </c>
      <c r="T31" s="1558" t="s">
        <v>8</v>
      </c>
      <c r="U31" s="1559">
        <f t="shared" si="13"/>
        <v>100</v>
      </c>
      <c r="V31" s="1558" t="s">
        <v>8</v>
      </c>
      <c r="W31" s="1559">
        <f t="shared" si="14"/>
        <v>100</v>
      </c>
      <c r="X31" s="1552"/>
      <c r="Y31" s="3456"/>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56"/>
      <c r="Q32" s="1557">
        <f t="shared" si="11"/>
        <v>111</v>
      </c>
      <c r="R32" s="1558" t="s">
        <v>8</v>
      </c>
      <c r="S32" s="1559">
        <f t="shared" si="12"/>
        <v>100</v>
      </c>
      <c r="T32" s="1558" t="s">
        <v>8</v>
      </c>
      <c r="U32" s="1559">
        <f t="shared" si="13"/>
        <v>100</v>
      </c>
      <c r="V32" s="1558" t="s">
        <v>8</v>
      </c>
      <c r="W32" s="1559">
        <f t="shared" si="14"/>
        <v>100</v>
      </c>
      <c r="X32" s="1552"/>
      <c r="Y32" s="3456"/>
      <c r="Z32" s="1560">
        <f t="shared" si="15"/>
        <v>111</v>
      </c>
      <c r="AA32" s="1561">
        <f t="shared" si="3"/>
        <v>1</v>
      </c>
      <c r="AB32" s="1561">
        <f t="shared" si="4"/>
        <v>1</v>
      </c>
      <c r="AC32" s="1561">
        <f t="shared" si="5"/>
        <v>1</v>
      </c>
    </row>
    <row r="33" spans="1:29" ht="15">
      <c r="A33" s="2859"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57" t="s">
        <v>550</v>
      </c>
      <c r="Q33" s="1557" t="str">
        <f t="shared" si="11"/>
        <v>建筑类型</v>
      </c>
      <c r="R33" s="1558" t="s">
        <v>8</v>
      </c>
      <c r="S33" s="1559">
        <f t="shared" si="12"/>
        <v>100</v>
      </c>
      <c r="T33" s="1558" t="s">
        <v>8</v>
      </c>
      <c r="U33" s="1559">
        <f t="shared" si="13"/>
        <v>100</v>
      </c>
      <c r="V33" s="1558" t="s">
        <v>8</v>
      </c>
      <c r="W33" s="1559">
        <f t="shared" si="14"/>
        <v>100</v>
      </c>
      <c r="X33" s="1552"/>
      <c r="Y33" s="3458" t="s">
        <v>550</v>
      </c>
      <c r="Z33" s="1560" t="str">
        <f t="shared" si="15"/>
        <v>建筑类型</v>
      </c>
      <c r="AA33" s="1561">
        <f t="shared" si="3"/>
        <v>1</v>
      </c>
      <c r="AB33" s="1561">
        <f t="shared" si="4"/>
        <v>1</v>
      </c>
      <c r="AC33" s="1561">
        <f t="shared" si="5"/>
        <v>1</v>
      </c>
    </row>
    <row r="34" spans="1:29" s="1334" customFormat="1" ht="15">
      <c r="A34" s="602"/>
      <c r="B34" s="526" t="s">
        <v>726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24"/>
      <c r="M34" s="2155"/>
      <c r="N34" s="2155"/>
      <c r="O34" s="2155"/>
      <c r="P34" s="3458"/>
      <c r="Q34" s="1589" t="str">
        <f t="shared" si="11"/>
        <v>项目建筑规模</v>
      </c>
      <c r="R34" s="1562" t="s">
        <v>8</v>
      </c>
      <c r="S34" s="1563" t="e">
        <f t="shared" si="12"/>
        <v>#N/A</v>
      </c>
      <c r="T34" s="1562" t="s">
        <v>8</v>
      </c>
      <c r="U34" s="1563" t="e">
        <f t="shared" si="13"/>
        <v>#N/A</v>
      </c>
      <c r="V34" s="1562" t="s">
        <v>8</v>
      </c>
      <c r="W34" s="1563" t="e">
        <f t="shared" si="14"/>
        <v>#N/A</v>
      </c>
      <c r="X34" s="1564"/>
      <c r="Y34" s="3458"/>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58"/>
      <c r="Q35" s="1557" t="str">
        <f t="shared" si="11"/>
        <v>建筑结构</v>
      </c>
      <c r="R35" s="1558" t="s">
        <v>8</v>
      </c>
      <c r="S35" s="1559">
        <f t="shared" si="12"/>
        <v>100</v>
      </c>
      <c r="T35" s="1558" t="s">
        <v>8</v>
      </c>
      <c r="U35" s="1559">
        <f t="shared" si="13"/>
        <v>100</v>
      </c>
      <c r="V35" s="1558" t="s">
        <v>8</v>
      </c>
      <c r="W35" s="1559">
        <f t="shared" si="14"/>
        <v>100</v>
      </c>
      <c r="X35" s="1552"/>
      <c r="Y35" s="3458"/>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58"/>
      <c r="Q36" s="1557" t="str">
        <f t="shared" si="11"/>
        <v>公共部分装修</v>
      </c>
      <c r="R36" s="1558" t="s">
        <v>8</v>
      </c>
      <c r="S36" s="1559">
        <f t="shared" si="12"/>
        <v>100</v>
      </c>
      <c r="T36" s="1558" t="s">
        <v>8</v>
      </c>
      <c r="U36" s="1559">
        <f t="shared" si="13"/>
        <v>100</v>
      </c>
      <c r="V36" s="1558" t="s">
        <v>8</v>
      </c>
      <c r="W36" s="1559">
        <f t="shared" si="14"/>
        <v>100</v>
      </c>
      <c r="X36" s="1552"/>
      <c r="Y36" s="3458"/>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58"/>
      <c r="Q37" s="1557" t="str">
        <f t="shared" si="11"/>
        <v>成新度</v>
      </c>
      <c r="R37" s="1558" t="s">
        <v>8</v>
      </c>
      <c r="S37" s="1559" t="e">
        <f t="shared" si="12"/>
        <v>#N/A</v>
      </c>
      <c r="T37" s="1558" t="s">
        <v>8</v>
      </c>
      <c r="U37" s="1559" t="e">
        <f t="shared" si="13"/>
        <v>#N/A</v>
      </c>
      <c r="V37" s="1558" t="s">
        <v>8</v>
      </c>
      <c r="W37" s="1559" t="e">
        <f t="shared" si="14"/>
        <v>#N/A</v>
      </c>
      <c r="X37" s="1552"/>
      <c r="Y37" s="3458"/>
      <c r="Z37" s="1560" t="str">
        <f t="shared" si="15"/>
        <v>成新度</v>
      </c>
      <c r="AA37" s="1561" t="e">
        <f t="shared" si="3"/>
        <v>#N/A</v>
      </c>
      <c r="AB37" s="1561" t="e">
        <f t="shared" si="4"/>
        <v>#N/A</v>
      </c>
      <c r="AC37" s="1561" t="e">
        <f t="shared" si="5"/>
        <v>#N/A</v>
      </c>
    </row>
    <row r="38" spans="1:29" s="1215" customFormat="1" ht="15">
      <c r="A38" s="599"/>
      <c r="B38" s="526" t="s">
        <v>781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58"/>
      <c r="Q38" s="1146" t="str">
        <f t="shared" si="11"/>
        <v>写字楼等级</v>
      </c>
      <c r="R38" s="1553" t="s">
        <v>8</v>
      </c>
      <c r="S38" s="1554">
        <f t="shared" si="12"/>
        <v>100</v>
      </c>
      <c r="T38" s="1553" t="s">
        <v>8</v>
      </c>
      <c r="U38" s="1554">
        <f t="shared" si="13"/>
        <v>100</v>
      </c>
      <c r="V38" s="1553" t="s">
        <v>8</v>
      </c>
      <c r="W38" s="1554">
        <f t="shared" si="14"/>
        <v>100</v>
      </c>
      <c r="X38" s="1555"/>
      <c r="Y38" s="3458"/>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58" t="s">
        <v>550</v>
      </c>
      <c r="Q39" s="1557" t="str">
        <f t="shared" si="11"/>
        <v>物业管理</v>
      </c>
      <c r="R39" s="1558" t="s">
        <v>8</v>
      </c>
      <c r="S39" s="1559">
        <f t="shared" si="12"/>
        <v>100</v>
      </c>
      <c r="T39" s="1558" t="s">
        <v>8</v>
      </c>
      <c r="U39" s="1559">
        <f t="shared" si="13"/>
        <v>100</v>
      </c>
      <c r="V39" s="1558" t="s">
        <v>8</v>
      </c>
      <c r="W39" s="1559">
        <f t="shared" si="14"/>
        <v>100</v>
      </c>
      <c r="X39" s="1552"/>
      <c r="Y39" s="3458"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58"/>
      <c r="Q40" s="1557" t="str">
        <f t="shared" si="11"/>
        <v>市政基础设施</v>
      </c>
      <c r="R40" s="1558" t="s">
        <v>8</v>
      </c>
      <c r="S40" s="1559">
        <f t="shared" si="12"/>
        <v>100</v>
      </c>
      <c r="T40" s="1558" t="s">
        <v>8</v>
      </c>
      <c r="U40" s="1559">
        <f t="shared" si="13"/>
        <v>100</v>
      </c>
      <c r="V40" s="1558" t="s">
        <v>8</v>
      </c>
      <c r="W40" s="1559">
        <f t="shared" si="14"/>
        <v>100</v>
      </c>
      <c r="X40" s="1552"/>
      <c r="Y40" s="3458"/>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58"/>
      <c r="Q41" s="1557" t="str">
        <f t="shared" si="11"/>
        <v>层高</v>
      </c>
      <c r="R41" s="1558" t="s">
        <v>8</v>
      </c>
      <c r="S41" s="1559">
        <f t="shared" si="12"/>
        <v>100</v>
      </c>
      <c r="T41" s="1558" t="s">
        <v>8</v>
      </c>
      <c r="U41" s="1559">
        <f t="shared" si="13"/>
        <v>100</v>
      </c>
      <c r="V41" s="1558" t="s">
        <v>8</v>
      </c>
      <c r="W41" s="1559">
        <f t="shared" si="14"/>
        <v>100</v>
      </c>
      <c r="X41" s="1552"/>
      <c r="Y41" s="3458"/>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58"/>
      <c r="Q42" s="1589" t="str">
        <f t="shared" si="11"/>
        <v>单套建筑面积</v>
      </c>
      <c r="R42" s="1562" t="s">
        <v>8</v>
      </c>
      <c r="S42" s="1563">
        <f t="shared" si="12"/>
        <v>100</v>
      </c>
      <c r="T42" s="1562" t="s">
        <v>8</v>
      </c>
      <c r="U42" s="1563">
        <f t="shared" si="13"/>
        <v>100</v>
      </c>
      <c r="V42" s="1562" t="s">
        <v>8</v>
      </c>
      <c r="W42" s="1563">
        <f t="shared" si="14"/>
        <v>100</v>
      </c>
      <c r="X42" s="1564"/>
      <c r="Y42" s="3458"/>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58"/>
      <c r="Q43" s="1557" t="str">
        <f t="shared" si="11"/>
        <v>内部装修</v>
      </c>
      <c r="R43" s="1558" t="s">
        <v>8</v>
      </c>
      <c r="S43" s="1559">
        <f t="shared" si="12"/>
        <v>100</v>
      </c>
      <c r="T43" s="1558" t="s">
        <v>8</v>
      </c>
      <c r="U43" s="1559">
        <f t="shared" si="13"/>
        <v>100</v>
      </c>
      <c r="V43" s="1558" t="s">
        <v>8</v>
      </c>
      <c r="W43" s="1559">
        <f t="shared" si="14"/>
        <v>100</v>
      </c>
      <c r="X43" s="1552"/>
      <c r="Y43" s="3458"/>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58"/>
      <c r="Q44" s="1557" t="str">
        <f t="shared" si="11"/>
        <v>内部装修维护情况</v>
      </c>
      <c r="R44" s="1558" t="s">
        <v>8</v>
      </c>
      <c r="S44" s="1559">
        <f t="shared" si="12"/>
        <v>100</v>
      </c>
      <c r="T44" s="1558" t="s">
        <v>8</v>
      </c>
      <c r="U44" s="1559">
        <f t="shared" si="13"/>
        <v>100</v>
      </c>
      <c r="V44" s="1558" t="s">
        <v>8</v>
      </c>
      <c r="W44" s="1559">
        <f t="shared" si="14"/>
        <v>100</v>
      </c>
      <c r="X44" s="1552"/>
      <c r="Y44" s="3458"/>
      <c r="Z44" s="1560" t="str">
        <f t="shared" si="15"/>
        <v>内部装修维护情况</v>
      </c>
      <c r="AA44" s="1561">
        <f t="shared" si="3"/>
        <v>1</v>
      </c>
      <c r="AB44" s="1561">
        <f t="shared" si="4"/>
        <v>1</v>
      </c>
      <c r="AC44" s="1561">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19"/>
      <c r="M45" s="2120"/>
      <c r="N45" s="2120"/>
      <c r="O45" s="2120"/>
      <c r="P45" s="3458"/>
      <c r="Q45" s="1146">
        <f t="shared" si="11"/>
        <v>111</v>
      </c>
      <c r="R45" s="1553" t="s">
        <v>8</v>
      </c>
      <c r="S45" s="1554">
        <f t="shared" si="12"/>
        <v>100</v>
      </c>
      <c r="T45" s="1553" t="s">
        <v>8</v>
      </c>
      <c r="U45" s="1554">
        <f t="shared" si="13"/>
        <v>100</v>
      </c>
      <c r="V45" s="1553" t="s">
        <v>8</v>
      </c>
      <c r="W45" s="1554">
        <f t="shared" si="14"/>
        <v>100</v>
      </c>
      <c r="X45" s="1555"/>
      <c r="Y45" s="3458"/>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58"/>
      <c r="Q46" s="1557">
        <f t="shared" si="11"/>
        <v>111</v>
      </c>
      <c r="R46" s="1558" t="s">
        <v>8</v>
      </c>
      <c r="S46" s="1559">
        <f t="shared" si="12"/>
        <v>100</v>
      </c>
      <c r="T46" s="1558" t="s">
        <v>8</v>
      </c>
      <c r="U46" s="1559">
        <f t="shared" si="13"/>
        <v>100</v>
      </c>
      <c r="V46" s="1558" t="s">
        <v>8</v>
      </c>
      <c r="W46" s="1559">
        <f t="shared" si="14"/>
        <v>100</v>
      </c>
      <c r="X46" s="1552"/>
      <c r="Y46" s="3458"/>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39"/>
      <c r="Q47" s="1557">
        <f t="shared" si="11"/>
        <v>111</v>
      </c>
      <c r="R47" s="1558" t="s">
        <v>8</v>
      </c>
      <c r="S47" s="1559">
        <f t="shared" si="12"/>
        <v>100</v>
      </c>
      <c r="T47" s="1558" t="s">
        <v>8</v>
      </c>
      <c r="U47" s="1559">
        <f t="shared" si="13"/>
        <v>100</v>
      </c>
      <c r="V47" s="1558" t="s">
        <v>8</v>
      </c>
      <c r="W47" s="1559">
        <f t="shared" si="14"/>
        <v>100</v>
      </c>
      <c r="X47" s="1552"/>
      <c r="Y47" s="3539"/>
      <c r="Z47" s="1560">
        <f t="shared" si="15"/>
        <v>111</v>
      </c>
      <c r="AA47" s="1561">
        <f t="shared" si="3"/>
        <v>1</v>
      </c>
      <c r="AB47" s="1561">
        <f t="shared" si="4"/>
        <v>1</v>
      </c>
      <c r="AC47" s="1561">
        <f t="shared" si="5"/>
        <v>1</v>
      </c>
    </row>
    <row r="48" spans="1:29" ht="15">
      <c r="A48" s="606" t="s">
        <v>736</v>
      </c>
      <c r="B48" s="886"/>
      <c r="C48" s="2588" t="s">
        <v>1</v>
      </c>
      <c r="D48" s="2589"/>
      <c r="E48" s="2590"/>
      <c r="F48" s="2591"/>
      <c r="G48" s="2592"/>
      <c r="H48" s="2593"/>
      <c r="I48" s="2590"/>
      <c r="J48" s="2593"/>
      <c r="K48" s="1595"/>
      <c r="L48" s="2128"/>
      <c r="M48" s="2118"/>
      <c r="N48" s="2118"/>
      <c r="O48" s="2118"/>
      <c r="P48" s="3419" t="str">
        <f>A48</f>
        <v>成交单价（元/平方米）</v>
      </c>
      <c r="Q48" s="3421"/>
      <c r="R48" s="3538">
        <f>E48</f>
        <v>0</v>
      </c>
      <c r="S48" s="3538"/>
      <c r="T48" s="3538">
        <f>G48</f>
        <v>0</v>
      </c>
      <c r="U48" s="3538"/>
      <c r="V48" s="3538">
        <f>I48</f>
        <v>0</v>
      </c>
      <c r="W48" s="3538"/>
      <c r="X48" s="1544"/>
      <c r="Y48" s="1566"/>
      <c r="Z48" s="1544"/>
      <c r="AA48" s="1544"/>
      <c r="AB48" s="1544"/>
      <c r="AC48" s="1544"/>
    </row>
    <row r="49" spans="1:29" ht="15.75" thickBot="1">
      <c r="A49" s="614" t="s">
        <v>2760</v>
      </c>
      <c r="B49" s="887"/>
      <c r="C49" s="2594" t="e">
        <f>R50</f>
        <v>#DIV/0!</v>
      </c>
      <c r="D49" s="2595"/>
      <c r="E49" s="2596" t="e">
        <f>R49</f>
        <v>#DIV/0!</v>
      </c>
      <c r="F49" s="2596"/>
      <c r="G49" s="2594" t="e">
        <f>T49</f>
        <v>#DIV/0!</v>
      </c>
      <c r="H49" s="2595"/>
      <c r="I49" s="2596" t="e">
        <f>V49</f>
        <v>#DIV/0!</v>
      </c>
      <c r="J49" s="2595"/>
      <c r="K49" s="1596"/>
      <c r="L49" s="2128"/>
      <c r="M49" s="2118"/>
      <c r="N49" s="2118"/>
      <c r="O49" s="2118"/>
      <c r="P49" s="3419" t="str">
        <f>A49</f>
        <v>比较价格（元/平方米）</v>
      </c>
      <c r="Q49" s="3421"/>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1544"/>
      <c r="Y49" s="1544"/>
      <c r="Z49" s="1544"/>
      <c r="AA49" s="1544"/>
      <c r="AB49" s="1544"/>
      <c r="AC49" s="1544"/>
    </row>
    <row r="50" spans="1:29" ht="15.75" thickBot="1">
      <c r="A50" s="620" t="s">
        <v>2936</v>
      </c>
      <c r="B50" s="621"/>
      <c r="C50" s="2597" t="e">
        <f>R50</f>
        <v>#DIV/0!</v>
      </c>
      <c r="D50" s="2597"/>
      <c r="E50" s="2597"/>
      <c r="F50" s="2597"/>
      <c r="G50" s="2597"/>
      <c r="H50" s="2597"/>
      <c r="I50" s="2597"/>
      <c r="J50" s="2597"/>
      <c r="K50" s="1597"/>
      <c r="L50" s="2128"/>
      <c r="M50" s="2118"/>
      <c r="N50" s="2118"/>
      <c r="O50" s="2118"/>
      <c r="P50" s="3540" t="str">
        <f>A50</f>
        <v>估价对象XX用房的比较价格（楼面单价，元/平方米）</v>
      </c>
      <c r="Q50" s="3419"/>
      <c r="R50" s="3537" t="e">
        <f>IF(F1="售价",ROUND(AVERAGE(R49:V49),0),ROUND(AVERAGE(R49:V49),1))</f>
        <v>#DIV/0!</v>
      </c>
      <c r="S50" s="3537"/>
      <c r="T50" s="3537"/>
      <c r="U50" s="3537"/>
      <c r="V50" s="3537"/>
      <c r="W50" s="353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4" t="str">
        <f>YEAR(C7)&amp;"-"&amp;MONTH(C7)</f>
        <v>2019-6</v>
      </c>
      <c r="D59" s="2756">
        <f>EDATE(C59,-1)</f>
        <v>43586</v>
      </c>
      <c r="E59" s="2756">
        <f t="shared" ref="E59:O59" si="16">EDATE(D59,-1)</f>
        <v>43556</v>
      </c>
      <c r="F59" s="2756">
        <f t="shared" si="16"/>
        <v>43525</v>
      </c>
      <c r="G59" s="2756">
        <f t="shared" si="16"/>
        <v>43497</v>
      </c>
      <c r="H59" s="2756">
        <f t="shared" si="16"/>
        <v>43466</v>
      </c>
      <c r="I59" s="2756">
        <f t="shared" si="16"/>
        <v>43435</v>
      </c>
      <c r="J59" s="2756">
        <f t="shared" si="16"/>
        <v>43405</v>
      </c>
      <c r="K59" s="2756">
        <f t="shared" si="16"/>
        <v>43374</v>
      </c>
      <c r="L59" s="2756">
        <f t="shared" si="16"/>
        <v>43344</v>
      </c>
      <c r="M59" s="2756">
        <f t="shared" si="16"/>
        <v>43313</v>
      </c>
      <c r="N59" s="2756">
        <f t="shared" si="16"/>
        <v>43282</v>
      </c>
      <c r="O59" s="2756">
        <f t="shared" si="16"/>
        <v>43252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58" t="s">
        <v>2558</v>
      </c>
      <c r="C83" s="2559" t="s">
        <v>2559</v>
      </c>
      <c r="D83" s="2559" t="s">
        <v>2560</v>
      </c>
      <c r="E83" s="2559" t="s">
        <v>2561</v>
      </c>
      <c r="F83" s="2559" t="s">
        <v>2562</v>
      </c>
      <c r="G83" s="2559" t="s">
        <v>2563</v>
      </c>
      <c r="H83" s="673"/>
      <c r="I83" s="673"/>
      <c r="J83" s="673"/>
      <c r="K83" s="673"/>
      <c r="L83" s="673"/>
      <c r="M83" s="2562"/>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27" t="s">
        <v>522</v>
      </c>
      <c r="D4" s="3428"/>
      <c r="E4" s="3461" t="s">
        <v>523</v>
      </c>
      <c r="F4" s="3462"/>
      <c r="G4" s="3427" t="s">
        <v>524</v>
      </c>
      <c r="H4" s="3428"/>
      <c r="I4" s="3427" t="s">
        <v>525</v>
      </c>
      <c r="J4" s="3428"/>
      <c r="K4" s="513" t="s">
        <v>526</v>
      </c>
      <c r="L4" s="2117"/>
      <c r="M4" s="2118"/>
      <c r="N4" s="2118"/>
      <c r="O4" s="2118"/>
      <c r="P4" s="3429" t="s">
        <v>527</v>
      </c>
      <c r="Q4" s="3430"/>
      <c r="R4" s="3435" t="s">
        <v>523</v>
      </c>
      <c r="S4" s="3436"/>
      <c r="T4" s="3435" t="s">
        <v>524</v>
      </c>
      <c r="U4" s="3436"/>
      <c r="V4" s="3422" t="s">
        <v>525</v>
      </c>
      <c r="W4" s="3422"/>
      <c r="X4" s="1552"/>
      <c r="Y4" s="3435" t="s">
        <v>527</v>
      </c>
      <c r="Z4" s="3436"/>
      <c r="AA4" s="3424" t="s">
        <v>523</v>
      </c>
      <c r="AB4" s="3425" t="s">
        <v>524</v>
      </c>
      <c r="AC4" s="3424" t="s">
        <v>525</v>
      </c>
    </row>
    <row r="5" spans="1:29" ht="15">
      <c r="A5" s="514"/>
      <c r="B5" s="515"/>
      <c r="C5" s="3443" t="s">
        <v>2930</v>
      </c>
      <c r="D5" s="3444"/>
      <c r="E5" s="3463" t="s">
        <v>2931</v>
      </c>
      <c r="F5" s="3464"/>
      <c r="G5" s="3443" t="s">
        <v>2932</v>
      </c>
      <c r="H5" s="3444"/>
      <c r="I5" s="3443" t="s">
        <v>2933</v>
      </c>
      <c r="J5" s="3444"/>
      <c r="K5" s="513"/>
      <c r="L5" s="2117"/>
      <c r="M5" s="2118"/>
      <c r="N5" s="2118"/>
      <c r="O5" s="2118"/>
      <c r="P5" s="3431"/>
      <c r="Q5" s="3432"/>
      <c r="R5" s="3437"/>
      <c r="S5" s="3438"/>
      <c r="T5" s="3437"/>
      <c r="U5" s="3438"/>
      <c r="V5" s="3422"/>
      <c r="W5" s="3422"/>
      <c r="X5" s="1552"/>
      <c r="Y5" s="3437"/>
      <c r="Z5" s="3438"/>
      <c r="AA5" s="3425"/>
      <c r="AB5" s="3425"/>
      <c r="AC5" s="3425"/>
    </row>
    <row r="6" spans="1:29" ht="15.75" thickBot="1">
      <c r="A6" s="516"/>
      <c r="B6" s="517"/>
      <c r="C6" s="3441" t="s">
        <v>2934</v>
      </c>
      <c r="D6" s="3442"/>
      <c r="E6" s="3459" t="s">
        <v>2934</v>
      </c>
      <c r="F6" s="3460"/>
      <c r="G6" s="3441" t="s">
        <v>2934</v>
      </c>
      <c r="H6" s="3442"/>
      <c r="I6" s="3441" t="s">
        <v>2934</v>
      </c>
      <c r="J6" s="3442"/>
      <c r="K6" s="513" t="s">
        <v>528</v>
      </c>
      <c r="L6" s="2117"/>
      <c r="M6" s="2118"/>
      <c r="N6" s="2118"/>
      <c r="O6" s="2118"/>
      <c r="P6" s="3433"/>
      <c r="Q6" s="3434"/>
      <c r="R6" s="3437"/>
      <c r="S6" s="3438"/>
      <c r="T6" s="3439"/>
      <c r="U6" s="3440"/>
      <c r="V6" s="3422"/>
      <c r="W6" s="3422"/>
      <c r="X6" s="1552"/>
      <c r="Y6" s="3439"/>
      <c r="Z6" s="3440"/>
      <c r="AA6" s="3426"/>
      <c r="AB6" s="3426"/>
      <c r="AC6" s="3426"/>
    </row>
    <row r="7" spans="1:29" s="1215" customFormat="1" ht="15.75" thickBot="1">
      <c r="A7" s="2864"/>
      <c r="B7" s="2871" t="s">
        <v>529</v>
      </c>
      <c r="C7" s="518">
        <f>'数据-取费表'!B2</f>
        <v>43646</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52" t="s">
        <v>530</v>
      </c>
      <c r="Q7" s="3454"/>
      <c r="R7" s="1553" t="s">
        <v>8</v>
      </c>
      <c r="S7" s="1554">
        <f t="shared" ref="S7:S15" si="0">F7</f>
        <v>0</v>
      </c>
      <c r="T7" s="1553" t="s">
        <v>8</v>
      </c>
      <c r="U7" s="1554">
        <f t="shared" ref="U7:U15" si="1">H7</f>
        <v>0</v>
      </c>
      <c r="V7" s="1553" t="s">
        <v>8</v>
      </c>
      <c r="W7" s="1554">
        <f t="shared" ref="W7:W15"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52" t="s">
        <v>533</v>
      </c>
      <c r="Q8" s="3453"/>
      <c r="R8" s="1553" t="s">
        <v>8</v>
      </c>
      <c r="S8" s="1554">
        <f t="shared" si="0"/>
        <v>0</v>
      </c>
      <c r="T8" s="1553" t="s">
        <v>8</v>
      </c>
      <c r="U8" s="1554">
        <f t="shared" si="1"/>
        <v>0</v>
      </c>
      <c r="V8" s="1553" t="s">
        <v>8</v>
      </c>
      <c r="W8" s="1554">
        <f t="shared" si="2"/>
        <v>0</v>
      </c>
      <c r="X8" s="1555"/>
      <c r="Y8" s="3452" t="s">
        <v>533</v>
      </c>
      <c r="Z8" s="3453"/>
      <c r="AA8" s="1556" t="e">
        <f t="shared" ref="AA8:AA40" si="3">D8/F8</f>
        <v>#DIV/0!</v>
      </c>
      <c r="AB8" s="1556" t="e">
        <f t="shared" ref="AB8:AB40" si="4">D8/H8</f>
        <v>#DIV/0!</v>
      </c>
      <c r="AC8" s="1556" t="e">
        <f t="shared" ref="AC8:AC40" si="5">D8/J8</f>
        <v>#DIV/0!</v>
      </c>
    </row>
    <row r="9" spans="1:29" s="1215" customFormat="1" ht="15">
      <c r="A9" s="2866"/>
      <c r="B9" s="2873" t="s">
        <v>2756</v>
      </c>
      <c r="C9" s="856"/>
      <c r="D9" s="254">
        <v>100</v>
      </c>
      <c r="E9" s="859"/>
      <c r="F9" s="254">
        <f>SUMIF(57:57,E9,58:58)-SUMIF(57:57,C9,58:58)+100</f>
        <v>100</v>
      </c>
      <c r="G9" s="857"/>
      <c r="H9" s="254">
        <f>SUMIF(57:57,G9,58:58)-SUMIF(57:57,C9,58:58)+100</f>
        <v>100</v>
      </c>
      <c r="I9" s="857"/>
      <c r="J9" s="254">
        <f>SUMIF(57:57,I9,58:58)-SUMIF(57:57,C9,58:58)+100</f>
        <v>100</v>
      </c>
      <c r="K9" s="523"/>
      <c r="L9" s="2119"/>
      <c r="M9" s="2120"/>
      <c r="N9" s="2120"/>
      <c r="O9" s="2121"/>
      <c r="P9" s="3421" t="s">
        <v>535</v>
      </c>
      <c r="Q9" s="1146" t="str">
        <f t="shared" ref="Q9:Q15" si="6">B9</f>
        <v>用途</v>
      </c>
      <c r="R9" s="1553" t="s">
        <v>8</v>
      </c>
      <c r="S9" s="1554">
        <f t="shared" si="0"/>
        <v>100</v>
      </c>
      <c r="T9" s="1553" t="s">
        <v>8</v>
      </c>
      <c r="U9" s="1554">
        <f t="shared" si="1"/>
        <v>100</v>
      </c>
      <c r="V9" s="1553" t="s">
        <v>8</v>
      </c>
      <c r="W9" s="1554">
        <f t="shared" si="2"/>
        <v>100</v>
      </c>
      <c r="X9" s="1555"/>
      <c r="Y9" s="3367" t="s">
        <v>536</v>
      </c>
      <c r="Z9" s="1145" t="str">
        <f t="shared" ref="Z9:Z15" si="7">Q9</f>
        <v>用途</v>
      </c>
      <c r="AA9" s="1556">
        <f t="shared" si="3"/>
        <v>1</v>
      </c>
      <c r="AB9" s="1556">
        <f t="shared" si="4"/>
        <v>1</v>
      </c>
      <c r="AC9" s="1556">
        <f t="shared" si="5"/>
        <v>1</v>
      </c>
    </row>
    <row r="10" spans="1:29" s="1333" customFormat="1" ht="27">
      <c r="A10" s="2867"/>
      <c r="B10" s="2872" t="s">
        <v>2757</v>
      </c>
      <c r="C10" s="860"/>
      <c r="D10" s="255">
        <v>100</v>
      </c>
      <c r="E10" s="860"/>
      <c r="F10" s="255">
        <f>SUMIF(59:59,E10,60:60)-SUMIF(59:59,C10,60:60)+100</f>
        <v>100</v>
      </c>
      <c r="G10" s="861"/>
      <c r="H10" s="255">
        <f>SUMIF(59:59,G10,60:60)-SUMIF(59:59,C10,60:60)+100</f>
        <v>100</v>
      </c>
      <c r="I10" s="860"/>
      <c r="J10" s="255">
        <f>SUMIF(59:59,I10,60:60)-SUMIF(59:59,C10,60:60)+100</f>
        <v>100</v>
      </c>
      <c r="K10" s="583"/>
      <c r="L10" s="2122"/>
      <c r="M10" s="2162"/>
      <c r="N10" s="2162"/>
      <c r="O10" s="2123"/>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8"/>
      <c r="B11" s="2872" t="s">
        <v>2758</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24"/>
      <c r="M11" s="2118"/>
      <c r="N11" s="2118"/>
      <c r="O11" s="2125"/>
      <c r="P11" s="3421"/>
      <c r="Q11" s="1146" t="str">
        <f t="shared" si="6"/>
        <v>容积率</v>
      </c>
      <c r="R11" s="1553" t="s">
        <v>8</v>
      </c>
      <c r="S11" s="1554" t="e">
        <f t="shared" si="0"/>
        <v>#N/A</v>
      </c>
      <c r="T11" s="1553" t="s">
        <v>8</v>
      </c>
      <c r="U11" s="1554" t="e">
        <f t="shared" si="1"/>
        <v>#N/A</v>
      </c>
      <c r="V11" s="1553" t="s">
        <v>8</v>
      </c>
      <c r="W11" s="1554" t="e">
        <f t="shared" si="2"/>
        <v>#N/A</v>
      </c>
      <c r="X11" s="1555"/>
      <c r="Y11" s="3367"/>
      <c r="Z11" s="1145" t="str">
        <f t="shared" si="7"/>
        <v>容积率</v>
      </c>
      <c r="AA11" s="1556" t="e">
        <f t="shared" si="3"/>
        <v>#N/A</v>
      </c>
      <c r="AB11" s="1556" t="e">
        <f t="shared" si="4"/>
        <v>#N/A</v>
      </c>
      <c r="AC11" s="1556" t="e">
        <f t="shared" si="5"/>
        <v>#N/A</v>
      </c>
    </row>
    <row r="12" spans="1:29" s="1215" customFormat="1" ht="15">
      <c r="A12" s="2869"/>
      <c r="B12" s="2875">
        <v>111</v>
      </c>
      <c r="C12" s="527"/>
      <c r="D12" s="537">
        <v>100</v>
      </c>
      <c r="E12" s="538"/>
      <c r="F12" s="255">
        <f>SUMIF(64:64,E12,65:65)-SUMIF(64:64,C12,65:65)+100</f>
        <v>100</v>
      </c>
      <c r="G12" s="919"/>
      <c r="H12" s="255">
        <f>SUMIF(64:64,G12,65:65)-SUMIF(64:64,C12,65:65)+100</f>
        <v>100</v>
      </c>
      <c r="I12" s="879"/>
      <c r="J12" s="255">
        <f>SUMIF(64:64,I12,65:65)-SUMIF(64:64,C12,65:65)+100</f>
        <v>100</v>
      </c>
      <c r="K12" s="580"/>
      <c r="L12" s="2119"/>
      <c r="M12" s="2120"/>
      <c r="N12" s="2120"/>
      <c r="O12" s="2121"/>
      <c r="P12" s="3421"/>
      <c r="Q12" s="1146">
        <f t="shared" si="6"/>
        <v>111</v>
      </c>
      <c r="R12" s="1553" t="s">
        <v>8</v>
      </c>
      <c r="S12" s="1554">
        <f t="shared" si="0"/>
        <v>100</v>
      </c>
      <c r="T12" s="1553" t="s">
        <v>8</v>
      </c>
      <c r="U12" s="1554">
        <f t="shared" si="1"/>
        <v>100</v>
      </c>
      <c r="V12" s="1553" t="s">
        <v>8</v>
      </c>
      <c r="W12" s="1554">
        <f t="shared" si="2"/>
        <v>100</v>
      </c>
      <c r="X12" s="1555"/>
      <c r="Y12" s="3367"/>
      <c r="Z12" s="1145">
        <f t="shared" si="7"/>
        <v>111</v>
      </c>
      <c r="AA12" s="1556">
        <f>D12/F12</f>
        <v>1</v>
      </c>
      <c r="AB12" s="1556">
        <f>D12/H12</f>
        <v>1</v>
      </c>
      <c r="AC12" s="1556">
        <f>D12/J12</f>
        <v>1</v>
      </c>
    </row>
    <row r="13" spans="1:29" ht="15">
      <c r="A13" s="2869"/>
      <c r="B13" s="2875">
        <v>111</v>
      </c>
      <c r="C13" s="538"/>
      <c r="D13" s="539">
        <v>100</v>
      </c>
      <c r="E13" s="538"/>
      <c r="F13" s="255">
        <f>SUMIF(66:66,E13,67:67)-SUMIF(66:66,C13,67:67)+100</f>
        <v>100</v>
      </c>
      <c r="G13" s="919"/>
      <c r="H13" s="539">
        <f>SUMIF(66:66,G13,67:67)-SUMIF(66:66,C13,67:67)+100</f>
        <v>100</v>
      </c>
      <c r="I13" s="879"/>
      <c r="J13" s="539">
        <f>SUMIF(66:66,I13,67:67)-SUMIF(66:66,C13,67:67)+100</f>
        <v>100</v>
      </c>
      <c r="K13" s="580"/>
      <c r="L13" s="2126"/>
      <c r="M13" s="2118"/>
      <c r="N13" s="2118"/>
      <c r="O13" s="2125"/>
      <c r="P13" s="3421"/>
      <c r="Q13" s="1146">
        <f t="shared" si="6"/>
        <v>111</v>
      </c>
      <c r="R13" s="1553" t="s">
        <v>8</v>
      </c>
      <c r="S13" s="1554">
        <f t="shared" si="0"/>
        <v>100</v>
      </c>
      <c r="T13" s="1553" t="s">
        <v>8</v>
      </c>
      <c r="U13" s="1554">
        <f t="shared" si="1"/>
        <v>100</v>
      </c>
      <c r="V13" s="1553" t="s">
        <v>8</v>
      </c>
      <c r="W13" s="1554">
        <f t="shared" si="2"/>
        <v>100</v>
      </c>
      <c r="X13" s="1555"/>
      <c r="Y13" s="3367"/>
      <c r="Z13" s="1145">
        <f t="shared" si="7"/>
        <v>111</v>
      </c>
      <c r="AA13" s="1556">
        <f t="shared" si="3"/>
        <v>1</v>
      </c>
      <c r="AB13" s="1556">
        <f t="shared" si="4"/>
        <v>1</v>
      </c>
      <c r="AC13" s="1556">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421"/>
      <c r="Q14" s="1146">
        <f t="shared" si="6"/>
        <v>111</v>
      </c>
      <c r="R14" s="1553" t="s">
        <v>8</v>
      </c>
      <c r="S14" s="1554">
        <f t="shared" si="0"/>
        <v>100</v>
      </c>
      <c r="T14" s="1553" t="s">
        <v>8</v>
      </c>
      <c r="U14" s="1554">
        <f t="shared" si="1"/>
        <v>100</v>
      </c>
      <c r="V14" s="1553" t="s">
        <v>8</v>
      </c>
      <c r="W14" s="1554">
        <f t="shared" si="2"/>
        <v>100</v>
      </c>
      <c r="X14" s="1555"/>
      <c r="Y14" s="3367"/>
      <c r="Z14" s="1145">
        <f t="shared" si="7"/>
        <v>111</v>
      </c>
      <c r="AA14" s="1556">
        <f t="shared" si="3"/>
        <v>1</v>
      </c>
      <c r="AB14" s="1556">
        <f t="shared" si="4"/>
        <v>1</v>
      </c>
      <c r="AC14" s="1556">
        <f t="shared" si="5"/>
        <v>1</v>
      </c>
    </row>
    <row r="15" spans="1:29" ht="57">
      <c r="A15" s="2862"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55" t="s">
        <v>540</v>
      </c>
      <c r="Q15" s="1557" t="str">
        <f t="shared" si="6"/>
        <v>产业集聚程度</v>
      </c>
      <c r="R15" s="1558" t="s">
        <v>8</v>
      </c>
      <c r="S15" s="1559">
        <f t="shared" si="0"/>
        <v>100</v>
      </c>
      <c r="T15" s="1558" t="s">
        <v>8</v>
      </c>
      <c r="U15" s="1559">
        <f t="shared" si="1"/>
        <v>100</v>
      </c>
      <c r="V15" s="1558" t="s">
        <v>8</v>
      </c>
      <c r="W15" s="1559">
        <f t="shared" si="2"/>
        <v>100</v>
      </c>
      <c r="X15" s="1552"/>
      <c r="Y15" s="3455"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56"/>
      <c r="Q16" s="1557"/>
      <c r="R16" s="1558"/>
      <c r="S16" s="1559"/>
      <c r="T16" s="1558"/>
      <c r="U16" s="1559"/>
      <c r="V16" s="1558"/>
      <c r="W16" s="1559"/>
      <c r="X16" s="1552"/>
      <c r="Y16" s="3456"/>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56"/>
      <c r="Q17" s="1557" t="str">
        <f>B17</f>
        <v>交通便捷度</v>
      </c>
      <c r="R17" s="1558" t="s">
        <v>8</v>
      </c>
      <c r="S17" s="1559">
        <f>F17</f>
        <v>100</v>
      </c>
      <c r="T17" s="1558" t="s">
        <v>8</v>
      </c>
      <c r="U17" s="1559">
        <f>H17</f>
        <v>100</v>
      </c>
      <c r="V17" s="1558" t="s">
        <v>8</v>
      </c>
      <c r="W17" s="1559">
        <f>J17</f>
        <v>100</v>
      </c>
      <c r="X17" s="1552"/>
      <c r="Y17" s="345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56"/>
      <c r="Q18" s="1557"/>
      <c r="R18" s="1558"/>
      <c r="S18" s="1559"/>
      <c r="T18" s="1558"/>
      <c r="U18" s="1559"/>
      <c r="V18" s="1558"/>
      <c r="W18" s="1559"/>
      <c r="X18" s="1552"/>
      <c r="Y18" s="3456"/>
      <c r="Z18" s="1560"/>
      <c r="AA18" s="1561">
        <v>1</v>
      </c>
      <c r="AB18" s="1561">
        <v>1</v>
      </c>
      <c r="AC18" s="1561">
        <v>1</v>
      </c>
    </row>
    <row r="19" spans="1:29" ht="42.75">
      <c r="A19" s="531"/>
      <c r="B19" s="256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56"/>
      <c r="Q19" s="1557" t="str">
        <f>B19</f>
        <v>公共配套设施</v>
      </c>
      <c r="R19" s="1558" t="s">
        <v>8</v>
      </c>
      <c r="S19" s="1559">
        <f>F19</f>
        <v>100</v>
      </c>
      <c r="T19" s="1558" t="s">
        <v>8</v>
      </c>
      <c r="U19" s="1559">
        <f>H19</f>
        <v>100</v>
      </c>
      <c r="V19" s="1558" t="s">
        <v>8</v>
      </c>
      <c r="W19" s="1559">
        <f>J19</f>
        <v>100</v>
      </c>
      <c r="X19" s="1552"/>
      <c r="Y19" s="3456"/>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56"/>
      <c r="Q20" s="1557"/>
      <c r="R20" s="1558"/>
      <c r="S20" s="1559"/>
      <c r="T20" s="1558"/>
      <c r="U20" s="1559"/>
      <c r="V20" s="1558"/>
      <c r="W20" s="1559"/>
      <c r="X20" s="1552"/>
      <c r="Y20" s="3456"/>
      <c r="Z20" s="1560"/>
      <c r="AA20" s="1561">
        <v>1</v>
      </c>
      <c r="AB20" s="1561">
        <v>1</v>
      </c>
      <c r="AC20" s="1561">
        <v>1</v>
      </c>
    </row>
    <row r="21" spans="1:29" ht="28.5">
      <c r="A21" s="531"/>
      <c r="B21" s="255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56"/>
      <c r="Q21" s="2540" t="str">
        <f>B21</f>
        <v>基础设施水平</v>
      </c>
      <c r="R21" s="1558" t="s">
        <v>8</v>
      </c>
      <c r="S21" s="1559">
        <f>F21</f>
        <v>100</v>
      </c>
      <c r="T21" s="1558" t="s">
        <v>8</v>
      </c>
      <c r="U21" s="1559">
        <f>H21</f>
        <v>100</v>
      </c>
      <c r="V21" s="1558" t="s">
        <v>8</v>
      </c>
      <c r="W21" s="1559">
        <f>J21</f>
        <v>100</v>
      </c>
      <c r="X21" s="2542"/>
      <c r="Y21" s="3456"/>
      <c r="Z21" s="2541"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3"/>
      <c r="L22" s="2126"/>
      <c r="M22" s="2118"/>
      <c r="N22" s="2118"/>
      <c r="O22" s="2125"/>
      <c r="P22" s="3456"/>
      <c r="Q22" s="2540"/>
      <c r="R22" s="1558"/>
      <c r="S22" s="1559"/>
      <c r="T22" s="1558"/>
      <c r="U22" s="1559"/>
      <c r="V22" s="1558"/>
      <c r="W22" s="1559"/>
      <c r="X22" s="2542"/>
      <c r="Y22" s="3456"/>
      <c r="Z22" s="2541"/>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56"/>
      <c r="Q23" s="1557" t="str">
        <f>B23</f>
        <v>环境质量</v>
      </c>
      <c r="R23" s="1558" t="s">
        <v>8</v>
      </c>
      <c r="S23" s="1559">
        <f>F23</f>
        <v>100</v>
      </c>
      <c r="T23" s="1558" t="s">
        <v>8</v>
      </c>
      <c r="U23" s="1559">
        <f>H23</f>
        <v>100</v>
      </c>
      <c r="V23" s="1558" t="s">
        <v>8</v>
      </c>
      <c r="W23" s="1559">
        <f>J23</f>
        <v>100</v>
      </c>
      <c r="X23" s="1552"/>
      <c r="Y23" s="3456"/>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56"/>
      <c r="Q24" s="1557"/>
      <c r="R24" s="1558"/>
      <c r="S24" s="1559"/>
      <c r="T24" s="1558"/>
      <c r="U24" s="1559"/>
      <c r="V24" s="1558"/>
      <c r="W24" s="1559"/>
      <c r="X24" s="1552"/>
      <c r="Y24" s="3456"/>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56"/>
      <c r="Q25" s="1557">
        <f>B25</f>
        <v>111</v>
      </c>
      <c r="R25" s="1558" t="s">
        <v>8</v>
      </c>
      <c r="S25" s="1559">
        <f>F25</f>
        <v>100</v>
      </c>
      <c r="T25" s="1558" t="s">
        <v>8</v>
      </c>
      <c r="U25" s="1559">
        <f>H25</f>
        <v>100</v>
      </c>
      <c r="V25" s="1558" t="s">
        <v>8</v>
      </c>
      <c r="W25" s="1559">
        <f>J25</f>
        <v>100</v>
      </c>
      <c r="X25" s="1552"/>
      <c r="Y25" s="3456"/>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56"/>
      <c r="Q26" s="1557">
        <f t="shared" ref="Q26:Q40" si="11">B26</f>
        <v>111</v>
      </c>
      <c r="R26" s="1558" t="s">
        <v>8</v>
      </c>
      <c r="S26" s="1559">
        <f>F26</f>
        <v>100</v>
      </c>
      <c r="T26" s="1558" t="s">
        <v>8</v>
      </c>
      <c r="U26" s="1559">
        <f>H26</f>
        <v>100</v>
      </c>
      <c r="V26" s="1558" t="s">
        <v>8</v>
      </c>
      <c r="W26" s="1559">
        <f>J26</f>
        <v>100</v>
      </c>
      <c r="X26" s="1552"/>
      <c r="Y26" s="3456"/>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56"/>
      <c r="Q27" s="1146">
        <f t="shared" si="11"/>
        <v>111</v>
      </c>
      <c r="R27" s="1553" t="s">
        <v>8</v>
      </c>
      <c r="S27" s="1554">
        <f>F27</f>
        <v>100</v>
      </c>
      <c r="T27" s="1553" t="s">
        <v>8</v>
      </c>
      <c r="U27" s="1554">
        <f>H27</f>
        <v>100</v>
      </c>
      <c r="V27" s="1553" t="s">
        <v>8</v>
      </c>
      <c r="W27" s="1554">
        <f>J27</f>
        <v>100</v>
      </c>
      <c r="X27" s="1555"/>
      <c r="Y27" s="3456"/>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56"/>
      <c r="Q28" s="1557">
        <f t="shared" si="11"/>
        <v>111</v>
      </c>
      <c r="R28" s="1558" t="s">
        <v>8</v>
      </c>
      <c r="S28" s="1559">
        <f t="shared" ref="S28:S40" si="12">F28</f>
        <v>100</v>
      </c>
      <c r="T28" s="1558" t="s">
        <v>8</v>
      </c>
      <c r="U28" s="1559">
        <f t="shared" ref="U28:U40" si="13">H28</f>
        <v>100</v>
      </c>
      <c r="V28" s="1558" t="s">
        <v>8</v>
      </c>
      <c r="W28" s="1559">
        <f t="shared" ref="W28:W40" si="14">J28</f>
        <v>100</v>
      </c>
      <c r="X28" s="1552"/>
      <c r="Y28" s="3456"/>
      <c r="Z28" s="1560">
        <f t="shared" ref="Z28:Z40" si="15">Q28</f>
        <v>111</v>
      </c>
      <c r="AA28" s="1561">
        <f t="shared" si="3"/>
        <v>1</v>
      </c>
      <c r="AB28" s="1561">
        <f t="shared" si="4"/>
        <v>1</v>
      </c>
      <c r="AC28" s="1561">
        <f t="shared" si="5"/>
        <v>1</v>
      </c>
    </row>
    <row r="29" spans="1:29" ht="15">
      <c r="A29" s="2859"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57" t="s">
        <v>550</v>
      </c>
      <c r="Q29" s="1557" t="str">
        <f t="shared" si="11"/>
        <v>建筑类型</v>
      </c>
      <c r="R29" s="1558" t="s">
        <v>8</v>
      </c>
      <c r="S29" s="1559">
        <f t="shared" si="12"/>
        <v>100</v>
      </c>
      <c r="T29" s="1558" t="s">
        <v>8</v>
      </c>
      <c r="U29" s="1559">
        <f t="shared" si="13"/>
        <v>100</v>
      </c>
      <c r="V29" s="1558" t="s">
        <v>8</v>
      </c>
      <c r="W29" s="1559">
        <f t="shared" si="14"/>
        <v>100</v>
      </c>
      <c r="X29" s="1552"/>
      <c r="Y29" s="3458" t="s">
        <v>550</v>
      </c>
      <c r="Z29" s="1560" t="str">
        <f t="shared" si="15"/>
        <v>建筑类型</v>
      </c>
      <c r="AA29" s="1561">
        <f t="shared" si="3"/>
        <v>1</v>
      </c>
      <c r="AB29" s="1561">
        <f t="shared" si="4"/>
        <v>1</v>
      </c>
      <c r="AC29" s="1561">
        <f t="shared" si="5"/>
        <v>1</v>
      </c>
    </row>
    <row r="30" spans="1:29" s="1334" customFormat="1" ht="15">
      <c r="A30" s="602"/>
      <c r="B30" s="526" t="s">
        <v>726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24"/>
      <c r="M30" s="2155"/>
      <c r="N30" s="2155"/>
      <c r="O30" s="2127"/>
      <c r="P30" s="3458"/>
      <c r="Q30" s="1589" t="str">
        <f t="shared" si="11"/>
        <v>项目建筑规模</v>
      </c>
      <c r="R30" s="1562" t="s">
        <v>8</v>
      </c>
      <c r="S30" s="1563" t="e">
        <f t="shared" si="12"/>
        <v>#N/A</v>
      </c>
      <c r="T30" s="1562" t="s">
        <v>8</v>
      </c>
      <c r="U30" s="1563" t="e">
        <f t="shared" si="13"/>
        <v>#N/A</v>
      </c>
      <c r="V30" s="1562" t="s">
        <v>8</v>
      </c>
      <c r="W30" s="1563" t="e">
        <f t="shared" si="14"/>
        <v>#N/A</v>
      </c>
      <c r="X30" s="1564"/>
      <c r="Y30" s="3458"/>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58"/>
      <c r="Q31" s="1557" t="str">
        <f t="shared" si="11"/>
        <v>建筑结构</v>
      </c>
      <c r="R31" s="1558" t="s">
        <v>8</v>
      </c>
      <c r="S31" s="1559">
        <f t="shared" si="12"/>
        <v>100</v>
      </c>
      <c r="T31" s="1558" t="s">
        <v>8</v>
      </c>
      <c r="U31" s="1559">
        <f t="shared" si="13"/>
        <v>100</v>
      </c>
      <c r="V31" s="1558" t="s">
        <v>8</v>
      </c>
      <c r="W31" s="1559">
        <f t="shared" si="14"/>
        <v>100</v>
      </c>
      <c r="X31" s="1552"/>
      <c r="Y31" s="3458"/>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58"/>
      <c r="Q32" s="1557" t="str">
        <f t="shared" si="11"/>
        <v>公共部分装修</v>
      </c>
      <c r="R32" s="1558" t="s">
        <v>8</v>
      </c>
      <c r="S32" s="1559">
        <f t="shared" si="12"/>
        <v>100</v>
      </c>
      <c r="T32" s="1558" t="s">
        <v>8</v>
      </c>
      <c r="U32" s="1559">
        <f t="shared" si="13"/>
        <v>100</v>
      </c>
      <c r="V32" s="1558" t="s">
        <v>8</v>
      </c>
      <c r="W32" s="1559">
        <f t="shared" si="14"/>
        <v>100</v>
      </c>
      <c r="X32" s="1552"/>
      <c r="Y32" s="3458"/>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58"/>
      <c r="Q33" s="1557" t="str">
        <f t="shared" si="11"/>
        <v>成新度</v>
      </c>
      <c r="R33" s="1558" t="s">
        <v>8</v>
      </c>
      <c r="S33" s="1559" t="e">
        <f t="shared" si="12"/>
        <v>#N/A</v>
      </c>
      <c r="T33" s="1558" t="s">
        <v>8</v>
      </c>
      <c r="U33" s="1559" t="e">
        <f t="shared" si="13"/>
        <v>#N/A</v>
      </c>
      <c r="V33" s="1558" t="s">
        <v>8</v>
      </c>
      <c r="W33" s="1559" t="e">
        <f t="shared" si="14"/>
        <v>#N/A</v>
      </c>
      <c r="X33" s="1552"/>
      <c r="Y33" s="3458"/>
      <c r="Z33" s="1560" t="str">
        <f t="shared" si="15"/>
        <v>成新度</v>
      </c>
      <c r="AA33" s="1561" t="e">
        <f t="shared" si="3"/>
        <v>#N/A</v>
      </c>
      <c r="AB33" s="1561" t="e">
        <f t="shared" si="4"/>
        <v>#N/A</v>
      </c>
      <c r="AC33" s="1561" t="e">
        <f t="shared" si="5"/>
        <v>#N/A</v>
      </c>
    </row>
    <row r="34" spans="1:29" s="1215" customFormat="1" ht="15">
      <c r="A34" s="599"/>
      <c r="B34" s="526" t="s">
        <v>782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58"/>
      <c r="Q34" s="1146" t="str">
        <f t="shared" si="11"/>
        <v>物业管理</v>
      </c>
      <c r="R34" s="1553" t="s">
        <v>8</v>
      </c>
      <c r="S34" s="1554">
        <f t="shared" si="12"/>
        <v>100</v>
      </c>
      <c r="T34" s="1553" t="s">
        <v>8</v>
      </c>
      <c r="U34" s="1554">
        <f t="shared" si="13"/>
        <v>100</v>
      </c>
      <c r="V34" s="1553" t="s">
        <v>8</v>
      </c>
      <c r="W34" s="1554">
        <f t="shared" si="14"/>
        <v>100</v>
      </c>
      <c r="X34" s="1555"/>
      <c r="Y34" s="3458"/>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58" t="s">
        <v>550</v>
      </c>
      <c r="Q35" s="1557" t="str">
        <f t="shared" si="11"/>
        <v>市政基础设施</v>
      </c>
      <c r="R35" s="1558" t="s">
        <v>8</v>
      </c>
      <c r="S35" s="1559">
        <f t="shared" si="12"/>
        <v>100</v>
      </c>
      <c r="T35" s="1558" t="s">
        <v>8</v>
      </c>
      <c r="U35" s="1559">
        <f t="shared" si="13"/>
        <v>100</v>
      </c>
      <c r="V35" s="1558" t="s">
        <v>8</v>
      </c>
      <c r="W35" s="1559">
        <f t="shared" si="14"/>
        <v>100</v>
      </c>
      <c r="X35" s="1552"/>
      <c r="Y35" s="3458"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58"/>
      <c r="Q36" s="1557" t="str">
        <f t="shared" si="11"/>
        <v>内部装修</v>
      </c>
      <c r="R36" s="1558" t="s">
        <v>8</v>
      </c>
      <c r="S36" s="1559">
        <f t="shared" si="12"/>
        <v>100</v>
      </c>
      <c r="T36" s="1558" t="s">
        <v>8</v>
      </c>
      <c r="U36" s="1559">
        <f t="shared" si="13"/>
        <v>100</v>
      </c>
      <c r="V36" s="1558" t="s">
        <v>8</v>
      </c>
      <c r="W36" s="1559">
        <f t="shared" si="14"/>
        <v>100</v>
      </c>
      <c r="X36" s="1552"/>
      <c r="Y36" s="3458"/>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58"/>
      <c r="Q37" s="1557" t="str">
        <f t="shared" si="11"/>
        <v>内部装修状况</v>
      </c>
      <c r="R37" s="1558" t="s">
        <v>8</v>
      </c>
      <c r="S37" s="1559">
        <f t="shared" si="12"/>
        <v>100</v>
      </c>
      <c r="T37" s="1558" t="s">
        <v>8</v>
      </c>
      <c r="U37" s="1559">
        <f t="shared" si="13"/>
        <v>100</v>
      </c>
      <c r="V37" s="1558" t="s">
        <v>8</v>
      </c>
      <c r="W37" s="1559">
        <f t="shared" si="14"/>
        <v>100</v>
      </c>
      <c r="X37" s="1552"/>
      <c r="Y37" s="3458"/>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58"/>
      <c r="Q38" s="1589">
        <f t="shared" si="11"/>
        <v>111</v>
      </c>
      <c r="R38" s="1562" t="s">
        <v>8</v>
      </c>
      <c r="S38" s="1563">
        <f t="shared" si="12"/>
        <v>100</v>
      </c>
      <c r="T38" s="1562" t="s">
        <v>8</v>
      </c>
      <c r="U38" s="1563">
        <f t="shared" si="13"/>
        <v>100</v>
      </c>
      <c r="V38" s="1562" t="s">
        <v>8</v>
      </c>
      <c r="W38" s="1563">
        <f t="shared" si="14"/>
        <v>100</v>
      </c>
      <c r="X38" s="1564"/>
      <c r="Y38" s="3458"/>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58"/>
      <c r="Q39" s="1557">
        <f t="shared" si="11"/>
        <v>111</v>
      </c>
      <c r="R39" s="1558" t="s">
        <v>8</v>
      </c>
      <c r="S39" s="1559">
        <f t="shared" si="12"/>
        <v>100</v>
      </c>
      <c r="T39" s="1558" t="s">
        <v>8</v>
      </c>
      <c r="U39" s="1559">
        <f t="shared" si="13"/>
        <v>100</v>
      </c>
      <c r="V39" s="1558" t="s">
        <v>8</v>
      </c>
      <c r="W39" s="1559">
        <f t="shared" si="14"/>
        <v>100</v>
      </c>
      <c r="X39" s="1552"/>
      <c r="Y39" s="3458"/>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539"/>
      <c r="Q40" s="1557">
        <f t="shared" si="11"/>
        <v>111</v>
      </c>
      <c r="R40" s="1558" t="s">
        <v>8</v>
      </c>
      <c r="S40" s="1559">
        <f t="shared" si="12"/>
        <v>100</v>
      </c>
      <c r="T40" s="1558" t="s">
        <v>8</v>
      </c>
      <c r="U40" s="1559">
        <f t="shared" si="13"/>
        <v>100</v>
      </c>
      <c r="V40" s="1558" t="s">
        <v>8</v>
      </c>
      <c r="W40" s="1559">
        <f t="shared" si="14"/>
        <v>100</v>
      </c>
      <c r="X40" s="1552"/>
      <c r="Y40" s="3539"/>
      <c r="Z40" s="1560">
        <f t="shared" si="15"/>
        <v>111</v>
      </c>
      <c r="AA40" s="1561">
        <f t="shared" si="3"/>
        <v>1</v>
      </c>
      <c r="AB40" s="1561">
        <f t="shared" si="4"/>
        <v>1</v>
      </c>
      <c r="AC40" s="1561">
        <f t="shared" si="5"/>
        <v>1</v>
      </c>
    </row>
    <row r="41" spans="1:29" ht="15">
      <c r="A41" s="606" t="s">
        <v>736</v>
      </c>
      <c r="B41" s="886"/>
      <c r="C41" s="2588" t="s">
        <v>1</v>
      </c>
      <c r="D41" s="2589"/>
      <c r="E41" s="2590"/>
      <c r="F41" s="2591"/>
      <c r="G41" s="2592"/>
      <c r="H41" s="2593"/>
      <c r="I41" s="2590"/>
      <c r="J41" s="2593"/>
      <c r="K41" s="1595"/>
      <c r="L41" s="2128"/>
      <c r="M41" s="2129"/>
      <c r="N41" s="2118"/>
      <c r="O41" s="2129"/>
      <c r="P41" s="3421" t="str">
        <f>A41</f>
        <v>成交单价（元/平方米）</v>
      </c>
      <c r="Q41" s="3421"/>
      <c r="R41" s="3538">
        <f>E41</f>
        <v>0</v>
      </c>
      <c r="S41" s="3538"/>
      <c r="T41" s="3538">
        <f>G41</f>
        <v>0</v>
      </c>
      <c r="U41" s="3538"/>
      <c r="V41" s="3538">
        <f>I41</f>
        <v>0</v>
      </c>
      <c r="W41" s="3538"/>
      <c r="X41" s="1544"/>
      <c r="Y41" s="1566"/>
      <c r="Z41" s="1544"/>
      <c r="AA41" s="1544"/>
      <c r="AB41" s="1544"/>
      <c r="AC41" s="1544"/>
    </row>
    <row r="42" spans="1:29" ht="15.75" thickBot="1">
      <c r="A42" s="614" t="s">
        <v>2760</v>
      </c>
      <c r="B42" s="887"/>
      <c r="C42" s="2594" t="e">
        <f>R43</f>
        <v>#DIV/0!</v>
      </c>
      <c r="D42" s="2595"/>
      <c r="E42" s="2596" t="e">
        <f>R42</f>
        <v>#DIV/0!</v>
      </c>
      <c r="F42" s="2596"/>
      <c r="G42" s="2594" t="e">
        <f>T42</f>
        <v>#DIV/0!</v>
      </c>
      <c r="H42" s="2595"/>
      <c r="I42" s="2596" t="e">
        <f>V42</f>
        <v>#DIV/0!</v>
      </c>
      <c r="J42" s="2595"/>
      <c r="K42" s="1596"/>
      <c r="L42" s="2128"/>
      <c r="M42" s="2129"/>
      <c r="N42" s="2118"/>
      <c r="O42" s="2129"/>
      <c r="P42" s="3421" t="str">
        <f>A42</f>
        <v>比较价格（元/平方米）</v>
      </c>
      <c r="Q42" s="3421"/>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44"/>
      <c r="Y42" s="1544"/>
      <c r="Z42" s="1544"/>
      <c r="AA42" s="1544"/>
      <c r="AB42" s="1544"/>
      <c r="AC42" s="1544"/>
    </row>
    <row r="43" spans="1:29" ht="15.75" thickBot="1">
      <c r="A43" s="620" t="s">
        <v>2936</v>
      </c>
      <c r="B43" s="621"/>
      <c r="C43" s="2597" t="e">
        <f>R43</f>
        <v>#DIV/0!</v>
      </c>
      <c r="D43" s="2597"/>
      <c r="E43" s="2597"/>
      <c r="F43" s="2597"/>
      <c r="G43" s="2597"/>
      <c r="H43" s="2597"/>
      <c r="I43" s="2597"/>
      <c r="J43" s="2597"/>
      <c r="K43" s="1597"/>
      <c r="L43" s="2128"/>
      <c r="M43" s="2129"/>
      <c r="N43" s="2129"/>
      <c r="O43" s="2129"/>
      <c r="P43" s="3418" t="str">
        <f>A43</f>
        <v>估价对象XX用房的比较价格（楼面单价，元/平方米）</v>
      </c>
      <c r="Q43" s="3419"/>
      <c r="R43" s="3537" t="e">
        <f>IF(F1="售价",ROUND(AVERAGE(R42:V42),0),ROUND(AVERAGE(R42:V42),1))</f>
        <v>#DIV/0!</v>
      </c>
      <c r="S43" s="3537"/>
      <c r="T43" s="3537"/>
      <c r="U43" s="3537"/>
      <c r="V43" s="3537"/>
      <c r="W43" s="353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4" t="str">
        <f>YEAR(C7)&amp;"-"&amp;MONTH(C7)</f>
        <v>2019-6</v>
      </c>
      <c r="D52" s="2756">
        <f>EDATE(C52,-1)</f>
        <v>43586</v>
      </c>
      <c r="E52" s="2756">
        <f t="shared" ref="E52:O52" si="16">EDATE(D52,-1)</f>
        <v>43556</v>
      </c>
      <c r="F52" s="2756">
        <f t="shared" si="16"/>
        <v>43525</v>
      </c>
      <c r="G52" s="2756">
        <f t="shared" si="16"/>
        <v>43497</v>
      </c>
      <c r="H52" s="2756">
        <f t="shared" si="16"/>
        <v>43466</v>
      </c>
      <c r="I52" s="2756">
        <f t="shared" si="16"/>
        <v>43435</v>
      </c>
      <c r="J52" s="2756">
        <f t="shared" si="16"/>
        <v>43405</v>
      </c>
      <c r="K52" s="2756">
        <f t="shared" si="16"/>
        <v>43374</v>
      </c>
      <c r="L52" s="2756">
        <f t="shared" si="16"/>
        <v>43344</v>
      </c>
      <c r="M52" s="2756">
        <f t="shared" si="16"/>
        <v>43313</v>
      </c>
      <c r="N52" s="2756">
        <f t="shared" si="16"/>
        <v>43282</v>
      </c>
      <c r="O52" s="2756">
        <f t="shared" si="16"/>
        <v>43252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58" t="s">
        <v>2558</v>
      </c>
      <c r="C76" s="2559" t="s">
        <v>2559</v>
      </c>
      <c r="D76" s="2559" t="s">
        <v>2560</v>
      </c>
      <c r="E76" s="2559" t="s">
        <v>2561</v>
      </c>
      <c r="F76" s="2559" t="s">
        <v>2562</v>
      </c>
      <c r="G76" s="2559"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27" t="s">
        <v>798</v>
      </c>
      <c r="D4" s="3428"/>
      <c r="E4" s="3427" t="s">
        <v>799</v>
      </c>
      <c r="F4" s="3428"/>
      <c r="G4" s="3427" t="s">
        <v>800</v>
      </c>
      <c r="H4" s="3428"/>
      <c r="I4" s="3427" t="s">
        <v>801</v>
      </c>
      <c r="J4" s="3428"/>
      <c r="K4" s="513" t="s">
        <v>802</v>
      </c>
      <c r="L4" s="2117"/>
      <c r="M4" s="2118"/>
      <c r="N4" s="2118"/>
      <c r="O4" s="2118"/>
      <c r="P4" s="3429" t="s">
        <v>803</v>
      </c>
      <c r="Q4" s="3430"/>
      <c r="R4" s="3435" t="s">
        <v>799</v>
      </c>
      <c r="S4" s="3436"/>
      <c r="T4" s="3435" t="s">
        <v>800</v>
      </c>
      <c r="U4" s="3436"/>
      <c r="V4" s="3422" t="s">
        <v>801</v>
      </c>
      <c r="W4" s="3422"/>
      <c r="X4" s="1552"/>
      <c r="Y4" s="3435" t="s">
        <v>803</v>
      </c>
      <c r="Z4" s="3436"/>
      <c r="AA4" s="3424" t="s">
        <v>799</v>
      </c>
      <c r="AB4" s="3425" t="s">
        <v>800</v>
      </c>
      <c r="AC4" s="3424" t="s">
        <v>801</v>
      </c>
    </row>
    <row r="5" spans="1:29" ht="15">
      <c r="A5" s="514"/>
      <c r="B5" s="515"/>
      <c r="C5" s="3443" t="s">
        <v>2930</v>
      </c>
      <c r="D5" s="3444"/>
      <c r="E5" s="3443" t="s">
        <v>2931</v>
      </c>
      <c r="F5" s="3444"/>
      <c r="G5" s="3443" t="s">
        <v>2932</v>
      </c>
      <c r="H5" s="3444"/>
      <c r="I5" s="3443" t="s">
        <v>2933</v>
      </c>
      <c r="J5" s="3444"/>
      <c r="K5" s="513"/>
      <c r="L5" s="2117"/>
      <c r="M5" s="2118"/>
      <c r="N5" s="2118"/>
      <c r="O5" s="2118"/>
      <c r="P5" s="3431"/>
      <c r="Q5" s="3432"/>
      <c r="R5" s="3437"/>
      <c r="S5" s="3438"/>
      <c r="T5" s="3437"/>
      <c r="U5" s="3438"/>
      <c r="V5" s="3422"/>
      <c r="W5" s="3422"/>
      <c r="X5" s="1552"/>
      <c r="Y5" s="3437"/>
      <c r="Z5" s="3438"/>
      <c r="AA5" s="3425"/>
      <c r="AB5" s="3425"/>
      <c r="AC5" s="3425"/>
    </row>
    <row r="6" spans="1:29" ht="15.75" thickBot="1">
      <c r="A6" s="516"/>
      <c r="B6" s="517"/>
      <c r="C6" s="3441" t="s">
        <v>2934</v>
      </c>
      <c r="D6" s="3442"/>
      <c r="E6" s="3445" t="s">
        <v>2934</v>
      </c>
      <c r="F6" s="3446"/>
      <c r="G6" s="3441" t="s">
        <v>2934</v>
      </c>
      <c r="H6" s="3442"/>
      <c r="I6" s="3441" t="s">
        <v>2934</v>
      </c>
      <c r="J6" s="3442"/>
      <c r="K6" s="513" t="s">
        <v>528</v>
      </c>
      <c r="L6" s="2117"/>
      <c r="M6" s="2118"/>
      <c r="N6" s="2118"/>
      <c r="O6" s="2118"/>
      <c r="P6" s="3433"/>
      <c r="Q6" s="3434"/>
      <c r="R6" s="3437"/>
      <c r="S6" s="3438"/>
      <c r="T6" s="3439"/>
      <c r="U6" s="3440"/>
      <c r="V6" s="3422"/>
      <c r="W6" s="3422"/>
      <c r="X6" s="1552"/>
      <c r="Y6" s="3439"/>
      <c r="Z6" s="3440"/>
      <c r="AA6" s="3426"/>
      <c r="AB6" s="3426"/>
      <c r="AC6" s="3426"/>
    </row>
    <row r="7" spans="1:29" s="1215" customFormat="1" ht="15.75" thickBot="1">
      <c r="A7" s="2864"/>
      <c r="B7" s="2871" t="s">
        <v>529</v>
      </c>
      <c r="C7" s="518">
        <f>'数据-取费表'!B2</f>
        <v>43646</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52" t="s">
        <v>530</v>
      </c>
      <c r="Q7" s="3454"/>
      <c r="R7" s="1553" t="s">
        <v>8</v>
      </c>
      <c r="S7" s="1554">
        <f t="shared" ref="S7:S14" si="0">F7</f>
        <v>0</v>
      </c>
      <c r="T7" s="1553" t="s">
        <v>8</v>
      </c>
      <c r="U7" s="1554">
        <f t="shared" ref="U7:U14" si="1">H7</f>
        <v>0</v>
      </c>
      <c r="V7" s="1553" t="s">
        <v>8</v>
      </c>
      <c r="W7" s="1554">
        <f t="shared" ref="W7:W14"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52" t="s">
        <v>533</v>
      </c>
      <c r="Q8" s="3453"/>
      <c r="R8" s="1553" t="s">
        <v>8</v>
      </c>
      <c r="S8" s="1554">
        <f t="shared" si="0"/>
        <v>0</v>
      </c>
      <c r="T8" s="1553" t="s">
        <v>8</v>
      </c>
      <c r="U8" s="1554">
        <f t="shared" si="1"/>
        <v>0</v>
      </c>
      <c r="V8" s="1553" t="s">
        <v>8</v>
      </c>
      <c r="W8" s="1554">
        <f t="shared" si="2"/>
        <v>0</v>
      </c>
      <c r="X8" s="1555"/>
      <c r="Y8" s="3452" t="s">
        <v>533</v>
      </c>
      <c r="Z8" s="3453"/>
      <c r="AA8" s="1556" t="e">
        <f t="shared" ref="AA8:AA36" si="3">D8/F8</f>
        <v>#DIV/0!</v>
      </c>
      <c r="AB8" s="1556" t="e">
        <f t="shared" ref="AB8:AB36" si="4">D8/H8</f>
        <v>#DIV/0!</v>
      </c>
      <c r="AC8" s="1556" t="e">
        <f t="shared" ref="AC8:AC36" si="5">D8/J8</f>
        <v>#DIV/0!</v>
      </c>
    </row>
    <row r="9" spans="1:29" s="1215" customFormat="1" ht="15">
      <c r="A9" s="2866"/>
      <c r="B9" s="2873" t="s">
        <v>2756</v>
      </c>
      <c r="C9" s="856"/>
      <c r="D9" s="254">
        <v>100</v>
      </c>
      <c r="E9" s="859"/>
      <c r="F9" s="254">
        <f>SUMIF(53:53,E9,54:54)-SUMIF(53:53,C9,54:54)+100</f>
        <v>100</v>
      </c>
      <c r="G9" s="857"/>
      <c r="H9" s="254">
        <f>SUMIF(53:53,G9,54:54)-SUMIF(53:53,C9,54:54)+100</f>
        <v>100</v>
      </c>
      <c r="I9" s="857"/>
      <c r="J9" s="254">
        <f>SUMIF(53:53,I9,54:54)-SUMIF(53:53,C9,54:54)+100</f>
        <v>100</v>
      </c>
      <c r="K9" s="523"/>
      <c r="L9" s="2119"/>
      <c r="M9" s="2120"/>
      <c r="N9" s="2120"/>
      <c r="O9" s="2121"/>
      <c r="P9" s="3421" t="s">
        <v>535</v>
      </c>
      <c r="Q9" s="1146" t="str">
        <f t="shared" ref="Q9:Q14" si="6">B9</f>
        <v>用途</v>
      </c>
      <c r="R9" s="1553" t="s">
        <v>8</v>
      </c>
      <c r="S9" s="1554">
        <f t="shared" si="0"/>
        <v>100</v>
      </c>
      <c r="T9" s="1553" t="s">
        <v>8</v>
      </c>
      <c r="U9" s="1554">
        <f t="shared" si="1"/>
        <v>100</v>
      </c>
      <c r="V9" s="1553" t="s">
        <v>8</v>
      </c>
      <c r="W9" s="1554">
        <f t="shared" si="2"/>
        <v>100</v>
      </c>
      <c r="X9" s="1555"/>
      <c r="Y9" s="3367" t="s">
        <v>536</v>
      </c>
      <c r="Z9" s="1145" t="str">
        <f t="shared" ref="Z9:Z14" si="7">Q9</f>
        <v>用途</v>
      </c>
      <c r="AA9" s="1556">
        <f t="shared" si="3"/>
        <v>1</v>
      </c>
      <c r="AB9" s="1556">
        <f t="shared" si="4"/>
        <v>1</v>
      </c>
      <c r="AC9" s="1556">
        <f t="shared" si="5"/>
        <v>1</v>
      </c>
    </row>
    <row r="10" spans="1:29" s="1333" customFormat="1" ht="27">
      <c r="A10" s="2867"/>
      <c r="B10" s="2872" t="s">
        <v>2757</v>
      </c>
      <c r="C10" s="860"/>
      <c r="D10" s="255">
        <v>100</v>
      </c>
      <c r="E10" s="860"/>
      <c r="F10" s="255">
        <f>SUMIF(55:55,E10,56:56)-SUMIF(55:55,C10,56:56)+100</f>
        <v>100</v>
      </c>
      <c r="G10" s="861"/>
      <c r="H10" s="255">
        <f>SUMIF(55:55,G10,56:56)-SUMIF(55:55,C10,56:56)+100</f>
        <v>100</v>
      </c>
      <c r="I10" s="860"/>
      <c r="J10" s="255">
        <f>SUMIF(55:55,I10,56:56)-SUMIF(55:55,C10,56:56)+100</f>
        <v>100</v>
      </c>
      <c r="K10" s="583"/>
      <c r="L10" s="2122"/>
      <c r="M10" s="2162"/>
      <c r="N10" s="2162"/>
      <c r="O10" s="2123"/>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9"/>
      <c r="B11" s="2875">
        <v>111</v>
      </c>
      <c r="C11" s="527"/>
      <c r="D11" s="255">
        <v>100</v>
      </c>
      <c r="E11" s="527"/>
      <c r="F11" s="255">
        <f>SUMIF(57:57,E11,58:58)-SUMIF(57:57,C11,58:58)+100</f>
        <v>100</v>
      </c>
      <c r="G11" s="527"/>
      <c r="H11" s="255">
        <f>SUMIF(57:57,G11,58:58)-SUMIF(57:57,C11,58:58)+100</f>
        <v>100</v>
      </c>
      <c r="I11" s="527"/>
      <c r="J11" s="255">
        <f>SUMIF(57:57,I11,58:58)-SUMIF(57:57,C11,58:58)+100</f>
        <v>100</v>
      </c>
      <c r="K11" s="580"/>
      <c r="L11" s="2124"/>
      <c r="M11" s="2118"/>
      <c r="N11" s="2118"/>
      <c r="O11" s="2125"/>
      <c r="P11" s="3421"/>
      <c r="Q11" s="1146">
        <f t="shared" si="6"/>
        <v>111</v>
      </c>
      <c r="R11" s="1553" t="s">
        <v>8</v>
      </c>
      <c r="S11" s="1554">
        <f t="shared" si="0"/>
        <v>100</v>
      </c>
      <c r="T11" s="1553" t="s">
        <v>8</v>
      </c>
      <c r="U11" s="1554">
        <f t="shared" si="1"/>
        <v>100</v>
      </c>
      <c r="V11" s="1553" t="s">
        <v>8</v>
      </c>
      <c r="W11" s="1554">
        <f t="shared" si="2"/>
        <v>100</v>
      </c>
      <c r="X11" s="1555"/>
      <c r="Y11" s="3367"/>
      <c r="Z11" s="1145">
        <f t="shared" si="7"/>
        <v>111</v>
      </c>
      <c r="AA11" s="1556">
        <f t="shared" si="3"/>
        <v>1</v>
      </c>
      <c r="AB11" s="1556">
        <f t="shared" si="4"/>
        <v>1</v>
      </c>
      <c r="AC11" s="1556">
        <f t="shared" si="5"/>
        <v>1</v>
      </c>
    </row>
    <row r="12" spans="1:29" s="1215" customFormat="1" ht="15">
      <c r="A12" s="2869"/>
      <c r="B12" s="2875">
        <v>111</v>
      </c>
      <c r="C12" s="527"/>
      <c r="D12" s="537">
        <v>100</v>
      </c>
      <c r="E12" s="527"/>
      <c r="F12" s="255">
        <f>SUMIF(59:59,E12,60:60)-SUMIF(59:59,C12,60:60)+100</f>
        <v>100</v>
      </c>
      <c r="G12" s="527"/>
      <c r="H12" s="255">
        <f>SUMIF(59:59,G12,60:60)-SUMIF(59:59,C12,60:60)+100</f>
        <v>100</v>
      </c>
      <c r="I12" s="527"/>
      <c r="J12" s="255">
        <f>SUMIF(59:59,I12,60:60)-SUMIF(59:59,C12,60:60)+100</f>
        <v>100</v>
      </c>
      <c r="K12" s="580"/>
      <c r="L12" s="2119"/>
      <c r="M12" s="2120"/>
      <c r="N12" s="2120"/>
      <c r="O12" s="2121"/>
      <c r="P12" s="3421"/>
      <c r="Q12" s="1146">
        <f t="shared" si="6"/>
        <v>111</v>
      </c>
      <c r="R12" s="1553" t="s">
        <v>8</v>
      </c>
      <c r="S12" s="1554">
        <f t="shared" si="0"/>
        <v>100</v>
      </c>
      <c r="T12" s="1553" t="s">
        <v>8</v>
      </c>
      <c r="U12" s="1554">
        <f t="shared" si="1"/>
        <v>100</v>
      </c>
      <c r="V12" s="1553" t="s">
        <v>8</v>
      </c>
      <c r="W12" s="1554">
        <f t="shared" si="2"/>
        <v>100</v>
      </c>
      <c r="X12" s="1555"/>
      <c r="Y12" s="3367"/>
      <c r="Z12" s="1145">
        <f t="shared" si="7"/>
        <v>111</v>
      </c>
      <c r="AA12" s="1556">
        <f>D12/F12</f>
        <v>1</v>
      </c>
      <c r="AB12" s="1556">
        <f>D12/H12</f>
        <v>1</v>
      </c>
      <c r="AC12" s="1556">
        <f>D12/J12</f>
        <v>1</v>
      </c>
    </row>
    <row r="13" spans="1:29" ht="15.75" thickBot="1">
      <c r="A13" s="2870"/>
      <c r="B13" s="2876">
        <v>111</v>
      </c>
      <c r="C13" s="538"/>
      <c r="D13" s="539">
        <v>100</v>
      </c>
      <c r="E13" s="527"/>
      <c r="F13" s="255">
        <f>SUMIF(61:61,E13,62:62)-SUMIF(61:61,C13,62:62)+100</f>
        <v>100</v>
      </c>
      <c r="G13" s="527"/>
      <c r="H13" s="539">
        <f>SUMIF(61:61,G13,62:62)-SUMIF(61:61,C13,62:62)+100</f>
        <v>100</v>
      </c>
      <c r="I13" s="527"/>
      <c r="J13" s="539">
        <f>SUMIF(61:61,I13,62:62)-SUMIF(61:61,C13,62:62)+100</f>
        <v>100</v>
      </c>
      <c r="K13" s="580"/>
      <c r="L13" s="2126"/>
      <c r="M13" s="2118"/>
      <c r="N13" s="2118"/>
      <c r="O13" s="2125"/>
      <c r="P13" s="3421"/>
      <c r="Q13" s="1146">
        <f t="shared" si="6"/>
        <v>111</v>
      </c>
      <c r="R13" s="1553" t="s">
        <v>8</v>
      </c>
      <c r="S13" s="1554">
        <f t="shared" si="0"/>
        <v>100</v>
      </c>
      <c r="T13" s="1553" t="s">
        <v>8</v>
      </c>
      <c r="U13" s="1554">
        <f t="shared" si="1"/>
        <v>100</v>
      </c>
      <c r="V13" s="1553" t="s">
        <v>8</v>
      </c>
      <c r="W13" s="1554">
        <f t="shared" si="2"/>
        <v>100</v>
      </c>
      <c r="X13" s="1555"/>
      <c r="Y13" s="3367"/>
      <c r="Z13" s="1145">
        <f t="shared" si="7"/>
        <v>111</v>
      </c>
      <c r="AA13" s="1556">
        <f t="shared" si="3"/>
        <v>1</v>
      </c>
      <c r="AB13" s="1556">
        <f t="shared" si="4"/>
        <v>1</v>
      </c>
      <c r="AC13" s="1556">
        <f t="shared" si="5"/>
        <v>1</v>
      </c>
    </row>
    <row r="14" spans="1:29" ht="85.5">
      <c r="A14" s="2862"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55" t="s">
        <v>540</v>
      </c>
      <c r="Q14" s="1557" t="str">
        <f t="shared" si="6"/>
        <v>交通便捷度</v>
      </c>
      <c r="R14" s="1558" t="s">
        <v>8</v>
      </c>
      <c r="S14" s="1559">
        <f t="shared" si="0"/>
        <v>100</v>
      </c>
      <c r="T14" s="1558" t="s">
        <v>8</v>
      </c>
      <c r="U14" s="1559">
        <f t="shared" si="1"/>
        <v>100</v>
      </c>
      <c r="V14" s="1558" t="s">
        <v>8</v>
      </c>
      <c r="W14" s="1559">
        <f t="shared" si="2"/>
        <v>100</v>
      </c>
      <c r="X14" s="1552"/>
      <c r="Y14" s="3455"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56"/>
      <c r="Q15" s="1557"/>
      <c r="R15" s="1558"/>
      <c r="S15" s="1559"/>
      <c r="T15" s="1558"/>
      <c r="U15" s="1559"/>
      <c r="V15" s="1558"/>
      <c r="W15" s="1559"/>
      <c r="X15" s="1552"/>
      <c r="Y15" s="3456"/>
      <c r="Z15" s="1560"/>
      <c r="AA15" s="1561">
        <v>1</v>
      </c>
      <c r="AB15" s="1561">
        <v>1</v>
      </c>
      <c r="AC15" s="1561">
        <v>1</v>
      </c>
    </row>
    <row r="16" spans="1:29" ht="42.75">
      <c r="A16" s="514"/>
      <c r="B16" s="2564"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56"/>
      <c r="Q16" s="1557" t="str">
        <f>B16</f>
        <v>公共配套设施</v>
      </c>
      <c r="R16" s="1558" t="s">
        <v>8</v>
      </c>
      <c r="S16" s="1559">
        <f>F16</f>
        <v>100</v>
      </c>
      <c r="T16" s="1558" t="s">
        <v>8</v>
      </c>
      <c r="U16" s="1559">
        <f>H16</f>
        <v>100</v>
      </c>
      <c r="V16" s="1558" t="s">
        <v>8</v>
      </c>
      <c r="W16" s="1559">
        <f>J16</f>
        <v>100</v>
      </c>
      <c r="X16" s="1552"/>
      <c r="Y16" s="3456"/>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56"/>
      <c r="Q17" s="1557"/>
      <c r="R17" s="1558"/>
      <c r="S17" s="1559"/>
      <c r="T17" s="1558"/>
      <c r="U17" s="1559"/>
      <c r="V17" s="1558"/>
      <c r="W17" s="1559"/>
      <c r="X17" s="1552"/>
      <c r="Y17" s="3456"/>
      <c r="Z17" s="1560"/>
      <c r="AA17" s="1561">
        <v>1</v>
      </c>
      <c r="AB17" s="1561">
        <v>1</v>
      </c>
      <c r="AC17" s="1561">
        <v>1</v>
      </c>
    </row>
    <row r="18" spans="1:29" ht="28.5">
      <c r="A18" s="514"/>
      <c r="B18" s="2552"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56"/>
      <c r="Q18" s="2540" t="str">
        <f>B18</f>
        <v>基础设施水平</v>
      </c>
      <c r="R18" s="1558" t="s">
        <v>8</v>
      </c>
      <c r="S18" s="1559">
        <f>F18</f>
        <v>100</v>
      </c>
      <c r="T18" s="1558" t="s">
        <v>8</v>
      </c>
      <c r="U18" s="1559">
        <f>H18</f>
        <v>100</v>
      </c>
      <c r="V18" s="1558" t="s">
        <v>8</v>
      </c>
      <c r="W18" s="1559">
        <f>J18</f>
        <v>100</v>
      </c>
      <c r="X18" s="2542"/>
      <c r="Y18" s="3456"/>
      <c r="Z18" s="2541"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3"/>
      <c r="L19" s="2126"/>
      <c r="M19" s="2118"/>
      <c r="N19" s="2118"/>
      <c r="O19" s="2125"/>
      <c r="P19" s="3456"/>
      <c r="Q19" s="2540"/>
      <c r="R19" s="1558"/>
      <c r="S19" s="1559"/>
      <c r="T19" s="1558"/>
      <c r="U19" s="1559"/>
      <c r="V19" s="1558"/>
      <c r="W19" s="1559"/>
      <c r="X19" s="2542"/>
      <c r="Y19" s="3456"/>
      <c r="Z19" s="2541"/>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56"/>
      <c r="Q20" s="1557" t="str">
        <f>B20</f>
        <v>自然及人文环境</v>
      </c>
      <c r="R20" s="1558" t="s">
        <v>8</v>
      </c>
      <c r="S20" s="1559">
        <f>F20</f>
        <v>100</v>
      </c>
      <c r="T20" s="1558" t="s">
        <v>8</v>
      </c>
      <c r="U20" s="1559">
        <f>H20</f>
        <v>100</v>
      </c>
      <c r="V20" s="1558" t="s">
        <v>8</v>
      </c>
      <c r="W20" s="1559">
        <f>J20</f>
        <v>100</v>
      </c>
      <c r="X20" s="1552"/>
      <c r="Y20" s="3456"/>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56"/>
      <c r="Q21" s="1557"/>
      <c r="R21" s="1558"/>
      <c r="S21" s="1559"/>
      <c r="T21" s="1558"/>
      <c r="U21" s="1559"/>
      <c r="V21" s="1558"/>
      <c r="W21" s="1559"/>
      <c r="X21" s="1552"/>
      <c r="Y21" s="3456"/>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56"/>
      <c r="Q22" s="1557" t="str">
        <f>B22</f>
        <v>楼层</v>
      </c>
      <c r="R22" s="1558" t="s">
        <v>8</v>
      </c>
      <c r="S22" s="1559">
        <f>F22</f>
        <v>100</v>
      </c>
      <c r="T22" s="1558" t="s">
        <v>8</v>
      </c>
      <c r="U22" s="1559">
        <f>H22</f>
        <v>100</v>
      </c>
      <c r="V22" s="1558" t="s">
        <v>8</v>
      </c>
      <c r="W22" s="1559">
        <f>J22</f>
        <v>100</v>
      </c>
      <c r="X22" s="1552"/>
      <c r="Y22" s="3456"/>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56"/>
      <c r="Q23" s="1557">
        <f>B23</f>
        <v>111</v>
      </c>
      <c r="R23" s="1558" t="s">
        <v>8</v>
      </c>
      <c r="S23" s="1559">
        <f>F23</f>
        <v>100</v>
      </c>
      <c r="T23" s="1558" t="s">
        <v>8</v>
      </c>
      <c r="U23" s="1559">
        <f>H23</f>
        <v>100</v>
      </c>
      <c r="V23" s="1558" t="s">
        <v>8</v>
      </c>
      <c r="W23" s="1559">
        <f>J23</f>
        <v>100</v>
      </c>
      <c r="X23" s="1552"/>
      <c r="Y23" s="3456"/>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56"/>
      <c r="Q24" s="1557">
        <f t="shared" ref="Q24:Q36" si="11">B24</f>
        <v>111</v>
      </c>
      <c r="R24" s="1558" t="s">
        <v>8</v>
      </c>
      <c r="S24" s="1559">
        <f>F24</f>
        <v>100</v>
      </c>
      <c r="T24" s="1558" t="s">
        <v>8</v>
      </c>
      <c r="U24" s="1559">
        <f>H24</f>
        <v>100</v>
      </c>
      <c r="V24" s="1558" t="s">
        <v>8</v>
      </c>
      <c r="W24" s="1559">
        <f>J24</f>
        <v>100</v>
      </c>
      <c r="X24" s="1552"/>
      <c r="Y24" s="3456"/>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56"/>
      <c r="Q25" s="1146">
        <f t="shared" si="11"/>
        <v>111</v>
      </c>
      <c r="R25" s="1553" t="s">
        <v>8</v>
      </c>
      <c r="S25" s="1554">
        <f>F25</f>
        <v>100</v>
      </c>
      <c r="T25" s="1553" t="s">
        <v>8</v>
      </c>
      <c r="U25" s="1554">
        <f>H25</f>
        <v>100</v>
      </c>
      <c r="V25" s="1553" t="s">
        <v>8</v>
      </c>
      <c r="W25" s="1554">
        <f>J25</f>
        <v>100</v>
      </c>
      <c r="X25" s="1555"/>
      <c r="Y25" s="3456"/>
      <c r="Z25" s="1145">
        <f>Q25</f>
        <v>111</v>
      </c>
      <c r="AA25" s="1561">
        <f>D25/F25</f>
        <v>1</v>
      </c>
      <c r="AB25" s="1561">
        <f>D25/H25</f>
        <v>1</v>
      </c>
      <c r="AC25" s="1561">
        <f>D25/J25</f>
        <v>1</v>
      </c>
    </row>
    <row r="26" spans="1:29" ht="15">
      <c r="A26" s="2859"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5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58"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5">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58"/>
      <c r="Q27" s="1589" t="str">
        <f t="shared" si="11"/>
        <v>项目停车位配比</v>
      </c>
      <c r="R27" s="1562" t="s">
        <v>8</v>
      </c>
      <c r="S27" s="1563">
        <f t="shared" si="12"/>
        <v>100</v>
      </c>
      <c r="T27" s="1562" t="s">
        <v>8</v>
      </c>
      <c r="U27" s="1563">
        <f t="shared" si="13"/>
        <v>100</v>
      </c>
      <c r="V27" s="1562" t="s">
        <v>8</v>
      </c>
      <c r="W27" s="1563">
        <f t="shared" si="14"/>
        <v>100</v>
      </c>
      <c r="X27" s="1564"/>
      <c r="Y27" s="3458"/>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58"/>
      <c r="Q28" s="1557" t="str">
        <f t="shared" si="11"/>
        <v>公共部分装修</v>
      </c>
      <c r="R28" s="1558" t="s">
        <v>8</v>
      </c>
      <c r="S28" s="1559">
        <f t="shared" si="12"/>
        <v>100</v>
      </c>
      <c r="T28" s="1558" t="s">
        <v>8</v>
      </c>
      <c r="U28" s="1559">
        <f t="shared" si="13"/>
        <v>100</v>
      </c>
      <c r="V28" s="1558" t="s">
        <v>8</v>
      </c>
      <c r="W28" s="1559">
        <f t="shared" si="14"/>
        <v>100</v>
      </c>
      <c r="X28" s="1552"/>
      <c r="Y28" s="3458"/>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58"/>
      <c r="Q29" s="1557" t="str">
        <f t="shared" si="11"/>
        <v>成新率</v>
      </c>
      <c r="R29" s="1558" t="s">
        <v>8</v>
      </c>
      <c r="S29" s="1559" t="e">
        <f t="shared" si="12"/>
        <v>#N/A</v>
      </c>
      <c r="T29" s="1558" t="s">
        <v>8</v>
      </c>
      <c r="U29" s="1559" t="e">
        <f t="shared" si="13"/>
        <v>#N/A</v>
      </c>
      <c r="V29" s="1558" t="s">
        <v>8</v>
      </c>
      <c r="W29" s="1559" t="e">
        <f t="shared" si="14"/>
        <v>#N/A</v>
      </c>
      <c r="X29" s="1552"/>
      <c r="Y29" s="3458"/>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58"/>
      <c r="Q30" s="1557" t="str">
        <f t="shared" si="11"/>
        <v>物业等级</v>
      </c>
      <c r="R30" s="1558" t="s">
        <v>8</v>
      </c>
      <c r="S30" s="1559">
        <f t="shared" si="12"/>
        <v>100</v>
      </c>
      <c r="T30" s="1558" t="s">
        <v>8</v>
      </c>
      <c r="U30" s="1559">
        <f t="shared" si="13"/>
        <v>100</v>
      </c>
      <c r="V30" s="1558" t="s">
        <v>8</v>
      </c>
      <c r="W30" s="1559">
        <f t="shared" si="14"/>
        <v>100</v>
      </c>
      <c r="X30" s="1552"/>
      <c r="Y30" s="3458"/>
      <c r="Z30" s="1560" t="str">
        <f t="shared" si="15"/>
        <v>物业等级</v>
      </c>
      <c r="AA30" s="1561">
        <f t="shared" si="3"/>
        <v>1</v>
      </c>
      <c r="AB30" s="1561">
        <f t="shared" si="4"/>
        <v>1</v>
      </c>
      <c r="AC30" s="1561">
        <f t="shared" si="5"/>
        <v>1</v>
      </c>
    </row>
    <row r="31" spans="1:29" s="1215" customFormat="1" ht="15">
      <c r="A31" s="932"/>
      <c r="B31" s="581" t="s">
        <v>811</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58"/>
      <c r="Q31" s="1146" t="str">
        <f t="shared" si="11"/>
        <v>停车位面积</v>
      </c>
      <c r="R31" s="1553" t="s">
        <v>8</v>
      </c>
      <c r="S31" s="1554" t="e">
        <f t="shared" si="12"/>
        <v>#N/A</v>
      </c>
      <c r="T31" s="1553" t="s">
        <v>8</v>
      </c>
      <c r="U31" s="1554" t="e">
        <f t="shared" si="13"/>
        <v>#N/A</v>
      </c>
      <c r="V31" s="1553" t="s">
        <v>8</v>
      </c>
      <c r="W31" s="1554" t="e">
        <f t="shared" si="14"/>
        <v>#N/A</v>
      </c>
      <c r="X31" s="1555"/>
      <c r="Y31" s="3458"/>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58" t="s">
        <v>550</v>
      </c>
      <c r="Q32" s="1557" t="str">
        <f t="shared" si="11"/>
        <v>车位类型</v>
      </c>
      <c r="R32" s="1558" t="s">
        <v>8</v>
      </c>
      <c r="S32" s="1559">
        <f t="shared" si="12"/>
        <v>100</v>
      </c>
      <c r="T32" s="1558" t="s">
        <v>8</v>
      </c>
      <c r="U32" s="1559">
        <f t="shared" si="13"/>
        <v>100</v>
      </c>
      <c r="V32" s="1558" t="s">
        <v>8</v>
      </c>
      <c r="W32" s="1559">
        <f t="shared" si="14"/>
        <v>100</v>
      </c>
      <c r="X32" s="1552"/>
      <c r="Y32" s="3458"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58"/>
      <c r="Q33" s="1557" t="str">
        <f t="shared" si="11"/>
        <v>是否直接入户</v>
      </c>
      <c r="R33" s="1558" t="s">
        <v>8</v>
      </c>
      <c r="S33" s="1559">
        <f t="shared" si="12"/>
        <v>100</v>
      </c>
      <c r="T33" s="1558" t="s">
        <v>8</v>
      </c>
      <c r="U33" s="1559">
        <f t="shared" si="13"/>
        <v>100</v>
      </c>
      <c r="V33" s="1558" t="s">
        <v>8</v>
      </c>
      <c r="W33" s="1559">
        <f t="shared" si="14"/>
        <v>100</v>
      </c>
      <c r="X33" s="1552"/>
      <c r="Y33" s="3458"/>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58"/>
      <c r="Q34" s="1557">
        <f t="shared" si="11"/>
        <v>111</v>
      </c>
      <c r="R34" s="1558" t="s">
        <v>8</v>
      </c>
      <c r="S34" s="1559">
        <f t="shared" si="12"/>
        <v>100</v>
      </c>
      <c r="T34" s="1558" t="s">
        <v>8</v>
      </c>
      <c r="U34" s="1559">
        <f t="shared" si="13"/>
        <v>100</v>
      </c>
      <c r="V34" s="1558" t="s">
        <v>8</v>
      </c>
      <c r="W34" s="1559">
        <f t="shared" si="14"/>
        <v>100</v>
      </c>
      <c r="X34" s="1552"/>
      <c r="Y34" s="3458"/>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58"/>
      <c r="Q35" s="1589">
        <f t="shared" si="11"/>
        <v>111</v>
      </c>
      <c r="R35" s="1562" t="s">
        <v>8</v>
      </c>
      <c r="S35" s="1563">
        <f t="shared" si="12"/>
        <v>100</v>
      </c>
      <c r="T35" s="1562" t="s">
        <v>8</v>
      </c>
      <c r="U35" s="1563">
        <f t="shared" si="13"/>
        <v>100</v>
      </c>
      <c r="V35" s="1562" t="s">
        <v>8</v>
      </c>
      <c r="W35" s="1563">
        <f t="shared" si="14"/>
        <v>100</v>
      </c>
      <c r="X35" s="1564"/>
      <c r="Y35" s="3458"/>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58"/>
      <c r="Q36" s="1557">
        <f t="shared" si="11"/>
        <v>111</v>
      </c>
      <c r="R36" s="1558" t="s">
        <v>8</v>
      </c>
      <c r="S36" s="1559">
        <f t="shared" si="12"/>
        <v>100</v>
      </c>
      <c r="T36" s="1558" t="s">
        <v>8</v>
      </c>
      <c r="U36" s="1559">
        <f t="shared" si="13"/>
        <v>100</v>
      </c>
      <c r="V36" s="1558" t="s">
        <v>8</v>
      </c>
      <c r="W36" s="1559">
        <f t="shared" si="14"/>
        <v>100</v>
      </c>
      <c r="X36" s="1552"/>
      <c r="Y36" s="3458"/>
      <c r="Z36" s="1560">
        <f t="shared" si="15"/>
        <v>111</v>
      </c>
      <c r="AA36" s="1561">
        <f t="shared" si="3"/>
        <v>1</v>
      </c>
      <c r="AB36" s="1561">
        <f t="shared" si="4"/>
        <v>1</v>
      </c>
      <c r="AC36" s="1561">
        <f t="shared" si="5"/>
        <v>1</v>
      </c>
    </row>
    <row r="37" spans="1:29" ht="15">
      <c r="A37" s="1830" t="s">
        <v>2077</v>
      </c>
      <c r="B37" s="1831" t="s">
        <v>2078</v>
      </c>
      <c r="C37" s="2588" t="s">
        <v>1</v>
      </c>
      <c r="D37" s="2589"/>
      <c r="E37" s="2590"/>
      <c r="F37" s="2591"/>
      <c r="G37" s="2592"/>
      <c r="H37" s="2593"/>
      <c r="I37" s="2590"/>
      <c r="J37" s="2593"/>
      <c r="K37" s="1595"/>
      <c r="L37" s="2128"/>
      <c r="M37" s="2129"/>
      <c r="N37" s="2118"/>
      <c r="O37" s="2129"/>
      <c r="P37" s="3421" t="str">
        <f>A37</f>
        <v>成交单价</v>
      </c>
      <c r="Q37" s="3421"/>
      <c r="R37" s="3538">
        <f>E37</f>
        <v>0</v>
      </c>
      <c r="S37" s="3538"/>
      <c r="T37" s="3538">
        <f>G37</f>
        <v>0</v>
      </c>
      <c r="U37" s="3538"/>
      <c r="V37" s="3538">
        <f>I37</f>
        <v>0</v>
      </c>
      <c r="W37" s="3538"/>
      <c r="X37" s="1544"/>
      <c r="Y37" s="1566"/>
      <c r="Z37" s="1544"/>
      <c r="AA37" s="1544"/>
      <c r="AB37" s="1544"/>
      <c r="AC37" s="1544"/>
    </row>
    <row r="38" spans="1:29" ht="15.75" thickBot="1">
      <c r="A38" s="614" t="s">
        <v>2760</v>
      </c>
      <c r="B38" s="887"/>
      <c r="C38" s="2594" t="e">
        <f>R39</f>
        <v>#DIV/0!</v>
      </c>
      <c r="D38" s="2595"/>
      <c r="E38" s="2596" t="e">
        <f>R38</f>
        <v>#DIV/0!</v>
      </c>
      <c r="F38" s="2596"/>
      <c r="G38" s="2594" t="e">
        <f>T38</f>
        <v>#DIV/0!</v>
      </c>
      <c r="H38" s="2595"/>
      <c r="I38" s="2596" t="e">
        <f>V38</f>
        <v>#DIV/0!</v>
      </c>
      <c r="J38" s="2595"/>
      <c r="K38" s="1596"/>
      <c r="L38" s="2128"/>
      <c r="M38" s="2129"/>
      <c r="N38" s="2129"/>
      <c r="O38" s="2129"/>
      <c r="P38" s="3421" t="str">
        <f>A38</f>
        <v>比较价格（元/平方米）</v>
      </c>
      <c r="Q38" s="3421"/>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44"/>
      <c r="Y38" s="1544"/>
      <c r="Z38" s="1544"/>
      <c r="AA38" s="1544"/>
      <c r="AB38" s="1544"/>
      <c r="AC38" s="1544"/>
    </row>
    <row r="39" spans="1:29" ht="15.75" thickBot="1">
      <c r="A39" s="620" t="s">
        <v>2936</v>
      </c>
      <c r="B39" s="621"/>
      <c r="C39" s="2597" t="e">
        <f>R39</f>
        <v>#DIV/0!</v>
      </c>
      <c r="D39" s="2597"/>
      <c r="E39" s="2597"/>
      <c r="F39" s="2597"/>
      <c r="G39" s="2597"/>
      <c r="H39" s="2597"/>
      <c r="I39" s="2597"/>
      <c r="J39" s="2597"/>
      <c r="K39" s="1597"/>
      <c r="L39" s="2128"/>
      <c r="M39" s="2129"/>
      <c r="N39" s="2129"/>
      <c r="O39" s="2129"/>
      <c r="P39" s="3418" t="str">
        <f>A39</f>
        <v>估价对象XX用房的比较价格（楼面单价，元/平方米）</v>
      </c>
      <c r="Q39" s="3419"/>
      <c r="R39" s="3537" t="e">
        <f>IF(F1="售价",ROUND(AVERAGE(R38:V38),0),ROUND(AVERAGE(R38:V38),1))</f>
        <v>#DIV/0!</v>
      </c>
      <c r="S39" s="3537"/>
      <c r="T39" s="3537"/>
      <c r="U39" s="3537"/>
      <c r="V39" s="3537"/>
      <c r="W39" s="353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4" t="str">
        <f>YEAR(C7)&amp;"-"&amp;MONTH(C7)</f>
        <v>2019-6</v>
      </c>
      <c r="D48" s="2756">
        <f>EDATE(C48,-1)</f>
        <v>43586</v>
      </c>
      <c r="E48" s="2756">
        <f t="shared" ref="E48:O48" si="16">EDATE(D48,-1)</f>
        <v>43556</v>
      </c>
      <c r="F48" s="2756">
        <f t="shared" si="16"/>
        <v>43525</v>
      </c>
      <c r="G48" s="2756">
        <f t="shared" si="16"/>
        <v>43497</v>
      </c>
      <c r="H48" s="2756">
        <f t="shared" si="16"/>
        <v>43466</v>
      </c>
      <c r="I48" s="2756">
        <f t="shared" si="16"/>
        <v>43435</v>
      </c>
      <c r="J48" s="2756">
        <f t="shared" si="16"/>
        <v>43405</v>
      </c>
      <c r="K48" s="2756">
        <f t="shared" si="16"/>
        <v>43374</v>
      </c>
      <c r="L48" s="2756">
        <f t="shared" si="16"/>
        <v>43344</v>
      </c>
      <c r="M48" s="2756">
        <f t="shared" si="16"/>
        <v>43313</v>
      </c>
      <c r="N48" s="2756">
        <f t="shared" si="16"/>
        <v>43282</v>
      </c>
      <c r="O48" s="2756">
        <f t="shared" si="16"/>
        <v>43252</v>
      </c>
      <c r="P48" s="2144"/>
      <c r="Q48" s="2145"/>
      <c r="R48" s="2145"/>
      <c r="S48" s="2145"/>
      <c r="T48" s="2145"/>
      <c r="U48" s="2145"/>
      <c r="V48" s="2145"/>
      <c r="W48" s="2145"/>
      <c r="X48" s="2145"/>
      <c r="Y48" s="2145"/>
      <c r="Z48" s="2145"/>
      <c r="AA48" s="2145"/>
      <c r="AB48" s="2145"/>
      <c r="AC48" s="2145"/>
    </row>
    <row r="49" spans="1:29" s="1215" customFormat="1" ht="15">
      <c r="A49" s="646"/>
      <c r="B49" s="647"/>
      <c r="C49" s="2755">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58" t="s">
        <v>2558</v>
      </c>
      <c r="C67" s="2559" t="s">
        <v>2559</v>
      </c>
      <c r="D67" s="2559" t="s">
        <v>2560</v>
      </c>
      <c r="E67" s="2559" t="s">
        <v>2561</v>
      </c>
      <c r="F67" s="2559" t="s">
        <v>2562</v>
      </c>
      <c r="G67" s="2559" t="s">
        <v>2563</v>
      </c>
      <c r="H67" s="673"/>
      <c r="I67" s="673"/>
      <c r="J67" s="673"/>
      <c r="K67" s="673"/>
      <c r="L67" s="673"/>
      <c r="M67" s="2562"/>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27" t="s">
        <v>798</v>
      </c>
      <c r="D4" s="3428"/>
      <c r="E4" s="3461" t="s">
        <v>799</v>
      </c>
      <c r="F4" s="3462"/>
      <c r="G4" s="3427" t="s">
        <v>800</v>
      </c>
      <c r="H4" s="3428"/>
      <c r="I4" s="3427" t="s">
        <v>801</v>
      </c>
      <c r="J4" s="3428"/>
      <c r="K4" s="513" t="s">
        <v>802</v>
      </c>
      <c r="L4" s="2117"/>
      <c r="M4" s="2118"/>
      <c r="N4" s="2118"/>
      <c r="O4" s="2118"/>
      <c r="P4" s="3429" t="s">
        <v>803</v>
      </c>
      <c r="Q4" s="3430"/>
      <c r="R4" s="3435" t="s">
        <v>799</v>
      </c>
      <c r="S4" s="3436"/>
      <c r="T4" s="3435" t="s">
        <v>800</v>
      </c>
      <c r="U4" s="3436"/>
      <c r="V4" s="3422" t="s">
        <v>801</v>
      </c>
      <c r="W4" s="3422"/>
      <c r="X4" s="1552"/>
      <c r="Y4" s="3435" t="s">
        <v>803</v>
      </c>
      <c r="Z4" s="3436"/>
      <c r="AA4" s="3424" t="s">
        <v>799</v>
      </c>
      <c r="AB4" s="3425" t="s">
        <v>800</v>
      </c>
      <c r="AC4" s="3424" t="s">
        <v>801</v>
      </c>
    </row>
    <row r="5" spans="1:29" ht="15">
      <c r="A5" s="514"/>
      <c r="B5" s="515"/>
      <c r="C5" s="3443" t="s">
        <v>2930</v>
      </c>
      <c r="D5" s="3444"/>
      <c r="E5" s="3463" t="s">
        <v>2931</v>
      </c>
      <c r="F5" s="3464"/>
      <c r="G5" s="3443" t="s">
        <v>2932</v>
      </c>
      <c r="H5" s="3444"/>
      <c r="I5" s="3443" t="s">
        <v>2933</v>
      </c>
      <c r="J5" s="3444"/>
      <c r="K5" s="513"/>
      <c r="L5" s="2117"/>
      <c r="M5" s="2118"/>
      <c r="N5" s="2118"/>
      <c r="O5" s="2118"/>
      <c r="P5" s="3431"/>
      <c r="Q5" s="3432"/>
      <c r="R5" s="3437"/>
      <c r="S5" s="3438"/>
      <c r="T5" s="3437"/>
      <c r="U5" s="3438"/>
      <c r="V5" s="3422"/>
      <c r="W5" s="3422"/>
      <c r="X5" s="1552"/>
      <c r="Y5" s="3437"/>
      <c r="Z5" s="3438"/>
      <c r="AA5" s="3425"/>
      <c r="AB5" s="3425"/>
      <c r="AC5" s="3425"/>
    </row>
    <row r="6" spans="1:29" ht="15.75" thickBot="1">
      <c r="A6" s="516"/>
      <c r="B6" s="517"/>
      <c r="C6" s="3441" t="s">
        <v>2934</v>
      </c>
      <c r="D6" s="3442"/>
      <c r="E6" s="3459" t="s">
        <v>2934</v>
      </c>
      <c r="F6" s="3460"/>
      <c r="G6" s="3441" t="s">
        <v>2934</v>
      </c>
      <c r="H6" s="3442"/>
      <c r="I6" s="3441" t="s">
        <v>2934</v>
      </c>
      <c r="J6" s="3442"/>
      <c r="K6" s="513" t="s">
        <v>528</v>
      </c>
      <c r="L6" s="2117"/>
      <c r="M6" s="2118"/>
      <c r="N6" s="2118"/>
      <c r="O6" s="2118"/>
      <c r="P6" s="3433"/>
      <c r="Q6" s="3434"/>
      <c r="R6" s="3437"/>
      <c r="S6" s="3438"/>
      <c r="T6" s="3439"/>
      <c r="U6" s="3440"/>
      <c r="V6" s="3422"/>
      <c r="W6" s="3422"/>
      <c r="X6" s="1552"/>
      <c r="Y6" s="3439"/>
      <c r="Z6" s="3440"/>
      <c r="AA6" s="3426"/>
      <c r="AB6" s="3426"/>
      <c r="AC6" s="3426"/>
    </row>
    <row r="7" spans="1:29" s="1215" customFormat="1" ht="15.75" thickBot="1">
      <c r="A7" s="2864"/>
      <c r="B7" s="2871" t="s">
        <v>529</v>
      </c>
      <c r="C7" s="518">
        <f>'数据-取费表'!B2</f>
        <v>43646</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52" t="s">
        <v>530</v>
      </c>
      <c r="Q7" s="3454"/>
      <c r="R7" s="1553" t="s">
        <v>8</v>
      </c>
      <c r="S7" s="1554">
        <f t="shared" ref="S7:S14" si="0">F7</f>
        <v>0</v>
      </c>
      <c r="T7" s="1553" t="s">
        <v>8</v>
      </c>
      <c r="U7" s="1554">
        <f t="shared" ref="U7:U14" si="1">H7</f>
        <v>0</v>
      </c>
      <c r="V7" s="1553" t="s">
        <v>8</v>
      </c>
      <c r="W7" s="1554">
        <f t="shared" ref="W7:W14" si="2">J7</f>
        <v>0</v>
      </c>
      <c r="X7" s="1555"/>
      <c r="Y7" s="3452" t="s">
        <v>530</v>
      </c>
      <c r="Z7" s="3453"/>
      <c r="AA7" s="1556" t="e">
        <f>D7/F7</f>
        <v>#DIV/0!</v>
      </c>
      <c r="AB7" s="1556" t="e">
        <f>D7/H7</f>
        <v>#DIV/0!</v>
      </c>
      <c r="AC7" s="1556"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52" t="s">
        <v>533</v>
      </c>
      <c r="Q8" s="3453"/>
      <c r="R8" s="1553" t="s">
        <v>8</v>
      </c>
      <c r="S8" s="1554">
        <f t="shared" si="0"/>
        <v>0</v>
      </c>
      <c r="T8" s="1553" t="s">
        <v>8</v>
      </c>
      <c r="U8" s="1554">
        <f t="shared" si="1"/>
        <v>0</v>
      </c>
      <c r="V8" s="1553" t="s">
        <v>8</v>
      </c>
      <c r="W8" s="1554">
        <f t="shared" si="2"/>
        <v>0</v>
      </c>
      <c r="X8" s="1555"/>
      <c r="Y8" s="3452" t="s">
        <v>533</v>
      </c>
      <c r="Z8" s="3453"/>
      <c r="AA8" s="1556" t="e">
        <f t="shared" ref="AA8:AA34" si="3">D8/F8</f>
        <v>#DIV/0!</v>
      </c>
      <c r="AB8" s="1556" t="e">
        <f t="shared" ref="AB8:AB34" si="4">D8/H8</f>
        <v>#DIV/0!</v>
      </c>
      <c r="AC8" s="1556" t="e">
        <f t="shared" ref="AC8:AC34" si="5">D8/J8</f>
        <v>#DIV/0!</v>
      </c>
    </row>
    <row r="9" spans="1:29" s="1215" customFormat="1" ht="15">
      <c r="A9" s="2866"/>
      <c r="B9" s="2873" t="s">
        <v>2756</v>
      </c>
      <c r="C9" s="856"/>
      <c r="D9" s="254">
        <v>100</v>
      </c>
      <c r="E9" s="859"/>
      <c r="F9" s="254">
        <f>SUMIF(51:51,E9,52:52)-SUMIF(51:51,C9,52:52)+100</f>
        <v>100</v>
      </c>
      <c r="G9" s="859"/>
      <c r="H9" s="254">
        <f>SUMIF(51:51,G9,52:52)-SUMIF(51:51,C9,52:52)+100</f>
        <v>100</v>
      </c>
      <c r="I9" s="859"/>
      <c r="J9" s="254">
        <f>SUMIF(51:51,I9,52:52)-SUMIF(51:51,C9,52:52)+100</f>
        <v>100</v>
      </c>
      <c r="K9" s="523"/>
      <c r="L9" s="2119"/>
      <c r="M9" s="2120"/>
      <c r="N9" s="2120"/>
      <c r="O9" s="2121"/>
      <c r="P9" s="3421" t="s">
        <v>535</v>
      </c>
      <c r="Q9" s="1146" t="str">
        <f t="shared" ref="Q9:Q14" si="6">B9</f>
        <v>用途</v>
      </c>
      <c r="R9" s="1553" t="s">
        <v>8</v>
      </c>
      <c r="S9" s="1554">
        <f t="shared" si="0"/>
        <v>100</v>
      </c>
      <c r="T9" s="1553" t="s">
        <v>8</v>
      </c>
      <c r="U9" s="1554">
        <f t="shared" si="1"/>
        <v>100</v>
      </c>
      <c r="V9" s="1553" t="s">
        <v>8</v>
      </c>
      <c r="W9" s="1554">
        <f t="shared" si="2"/>
        <v>100</v>
      </c>
      <c r="X9" s="1555"/>
      <c r="Y9" s="3367" t="s">
        <v>536</v>
      </c>
      <c r="Z9" s="1145" t="str">
        <f t="shared" ref="Z9:Z14" si="7">Q9</f>
        <v>用途</v>
      </c>
      <c r="AA9" s="1556">
        <f t="shared" si="3"/>
        <v>1</v>
      </c>
      <c r="AB9" s="1556">
        <f t="shared" si="4"/>
        <v>1</v>
      </c>
      <c r="AC9" s="1556">
        <f t="shared" si="5"/>
        <v>1</v>
      </c>
    </row>
    <row r="10" spans="1:29" s="1333" customFormat="1" ht="27">
      <c r="A10" s="2867"/>
      <c r="B10" s="2872" t="s">
        <v>2757</v>
      </c>
      <c r="C10" s="860"/>
      <c r="D10" s="255">
        <v>100</v>
      </c>
      <c r="E10" s="860"/>
      <c r="F10" s="255">
        <f>SUMIF(53:53,E10,54:54)-SUMIF(53:53,C10,54:54)+100</f>
        <v>100</v>
      </c>
      <c r="G10" s="861"/>
      <c r="H10" s="255">
        <f>SUMIF(53:53,G10,54:54)-SUMIF(53:53,C10,54:54)+100</f>
        <v>100</v>
      </c>
      <c r="I10" s="860"/>
      <c r="J10" s="255">
        <f>SUMIF(53:53,I10,54:54)-SUMIF(53:53,C10,54:54)+100</f>
        <v>100</v>
      </c>
      <c r="K10" s="583"/>
      <c r="L10" s="2122"/>
      <c r="M10" s="2162"/>
      <c r="N10" s="2162"/>
      <c r="O10" s="2123"/>
      <c r="P10" s="3421"/>
      <c r="Q10" s="1146" t="str">
        <f t="shared" si="6"/>
        <v>土地使用年限（年）</v>
      </c>
      <c r="R10" s="1553" t="s">
        <v>8</v>
      </c>
      <c r="S10" s="1554">
        <f t="shared" si="0"/>
        <v>100</v>
      </c>
      <c r="T10" s="1553" t="s">
        <v>8</v>
      </c>
      <c r="U10" s="1554">
        <f t="shared" si="1"/>
        <v>100</v>
      </c>
      <c r="V10" s="1553" t="s">
        <v>8</v>
      </c>
      <c r="W10" s="1554">
        <f t="shared" si="2"/>
        <v>100</v>
      </c>
      <c r="X10" s="1555"/>
      <c r="Y10" s="3367"/>
      <c r="Z10" s="1145" t="str">
        <f t="shared" si="7"/>
        <v>土地使用年限（年）</v>
      </c>
      <c r="AA10" s="1556">
        <f t="shared" si="3"/>
        <v>1</v>
      </c>
      <c r="AB10" s="1556">
        <f t="shared" si="4"/>
        <v>1</v>
      </c>
      <c r="AC10" s="1556">
        <f t="shared" si="5"/>
        <v>1</v>
      </c>
    </row>
    <row r="11" spans="1:29" ht="15">
      <c r="A11" s="2869"/>
      <c r="B11" s="2875">
        <v>111</v>
      </c>
      <c r="C11" s="527"/>
      <c r="D11" s="255">
        <v>100</v>
      </c>
      <c r="E11" s="879"/>
      <c r="F11" s="255">
        <f>SUMIF(55:55,E11,56:56)-SUMIF(55:55,C11,56:56)+100</f>
        <v>100</v>
      </c>
      <c r="G11" s="879"/>
      <c r="H11" s="255">
        <f>SUMIF(55:55,G11,56:56)-SUMIF(55:55,C11,56:56)+100</f>
        <v>100</v>
      </c>
      <c r="I11" s="879"/>
      <c r="J11" s="255">
        <f>SUMIF(55:55,I11,56:56)-SUMIF(55:55,C11,56:56)+100</f>
        <v>100</v>
      </c>
      <c r="K11" s="580"/>
      <c r="L11" s="2124"/>
      <c r="M11" s="2118"/>
      <c r="N11" s="2118"/>
      <c r="O11" s="2125"/>
      <c r="P11" s="3421"/>
      <c r="Q11" s="1146">
        <f t="shared" si="6"/>
        <v>111</v>
      </c>
      <c r="R11" s="1553" t="s">
        <v>8</v>
      </c>
      <c r="S11" s="1554">
        <f t="shared" si="0"/>
        <v>100</v>
      </c>
      <c r="T11" s="1553" t="s">
        <v>8</v>
      </c>
      <c r="U11" s="1554">
        <f t="shared" si="1"/>
        <v>100</v>
      </c>
      <c r="V11" s="1553" t="s">
        <v>8</v>
      </c>
      <c r="W11" s="1554">
        <f t="shared" si="2"/>
        <v>100</v>
      </c>
      <c r="X11" s="1555"/>
      <c r="Y11" s="3367"/>
      <c r="Z11" s="1145">
        <f t="shared" si="7"/>
        <v>111</v>
      </c>
      <c r="AA11" s="1556">
        <f t="shared" si="3"/>
        <v>1</v>
      </c>
      <c r="AB11" s="1556">
        <f t="shared" si="4"/>
        <v>1</v>
      </c>
      <c r="AC11" s="1556">
        <f t="shared" si="5"/>
        <v>1</v>
      </c>
    </row>
    <row r="12" spans="1:29" s="1215" customFormat="1" ht="15">
      <c r="A12" s="2869"/>
      <c r="B12" s="2875">
        <v>111</v>
      </c>
      <c r="C12" s="527"/>
      <c r="D12" s="537">
        <v>100</v>
      </c>
      <c r="E12" s="879"/>
      <c r="F12" s="255">
        <f>SUMIF(57:57,E12,58:58)-SUMIF(57:57,C12,58:58)+100</f>
        <v>100</v>
      </c>
      <c r="G12" s="879"/>
      <c r="H12" s="255">
        <f>SUMIF(57:57,G12,58:58)-SUMIF(57:57,C12,58:58)+100</f>
        <v>100</v>
      </c>
      <c r="I12" s="879"/>
      <c r="J12" s="255">
        <f>SUMIF(57:57,I12,58:58)-SUMIF(57:57,C12,58:58)+100</f>
        <v>100</v>
      </c>
      <c r="K12" s="580"/>
      <c r="L12" s="2119"/>
      <c r="M12" s="2120"/>
      <c r="N12" s="2120"/>
      <c r="O12" s="2121"/>
      <c r="P12" s="3421"/>
      <c r="Q12" s="1146">
        <f t="shared" si="6"/>
        <v>111</v>
      </c>
      <c r="R12" s="1553" t="s">
        <v>8</v>
      </c>
      <c r="S12" s="1554">
        <f t="shared" si="0"/>
        <v>100</v>
      </c>
      <c r="T12" s="1553" t="s">
        <v>8</v>
      </c>
      <c r="U12" s="1554">
        <f t="shared" si="1"/>
        <v>100</v>
      </c>
      <c r="V12" s="1553" t="s">
        <v>8</v>
      </c>
      <c r="W12" s="1554">
        <f t="shared" si="2"/>
        <v>100</v>
      </c>
      <c r="X12" s="1555"/>
      <c r="Y12" s="3367"/>
      <c r="Z12" s="1145">
        <f t="shared" si="7"/>
        <v>111</v>
      </c>
      <c r="AA12" s="1556">
        <f>D12/F12</f>
        <v>1</v>
      </c>
      <c r="AB12" s="1556">
        <f>D12/H12</f>
        <v>1</v>
      </c>
      <c r="AC12" s="1556">
        <f>D12/J12</f>
        <v>1</v>
      </c>
    </row>
    <row r="13" spans="1:29" ht="15.75" thickBot="1">
      <c r="A13" s="2870"/>
      <c r="B13" s="2876">
        <v>111</v>
      </c>
      <c r="C13" s="538"/>
      <c r="D13" s="539">
        <v>100</v>
      </c>
      <c r="E13" s="879"/>
      <c r="F13" s="255">
        <f>SUMIF(59:59,E13,60:60)-SUMIF(59:59,C13,60:60)+100</f>
        <v>100</v>
      </c>
      <c r="G13" s="879"/>
      <c r="H13" s="539">
        <f>SUMIF(59:59,G13,60:60)-SUMIF(59:59,C13,60:60)+100</f>
        <v>100</v>
      </c>
      <c r="I13" s="879"/>
      <c r="J13" s="539">
        <f>SUMIF(59:59,I13,60:60)-SUMIF(59:59,C13,60:60)+100</f>
        <v>100</v>
      </c>
      <c r="K13" s="580"/>
      <c r="L13" s="2126"/>
      <c r="M13" s="2118"/>
      <c r="N13" s="2118"/>
      <c r="O13" s="2125"/>
      <c r="P13" s="3421"/>
      <c r="Q13" s="1146">
        <f t="shared" si="6"/>
        <v>111</v>
      </c>
      <c r="R13" s="1553" t="s">
        <v>8</v>
      </c>
      <c r="S13" s="1554">
        <f t="shared" si="0"/>
        <v>100</v>
      </c>
      <c r="T13" s="1553" t="s">
        <v>8</v>
      </c>
      <c r="U13" s="1554">
        <f t="shared" si="1"/>
        <v>100</v>
      </c>
      <c r="V13" s="1553" t="s">
        <v>8</v>
      </c>
      <c r="W13" s="1554">
        <f t="shared" si="2"/>
        <v>100</v>
      </c>
      <c r="X13" s="1555"/>
      <c r="Y13" s="3367"/>
      <c r="Z13" s="1145">
        <f t="shared" si="7"/>
        <v>111</v>
      </c>
      <c r="AA13" s="1556">
        <f t="shared" si="3"/>
        <v>1</v>
      </c>
      <c r="AB13" s="1556">
        <f t="shared" si="4"/>
        <v>1</v>
      </c>
      <c r="AC13" s="1556">
        <f t="shared" si="5"/>
        <v>1</v>
      </c>
    </row>
    <row r="14" spans="1:29" ht="85.5">
      <c r="A14" s="2862"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55" t="s">
        <v>540</v>
      </c>
      <c r="Q14" s="1557" t="str">
        <f t="shared" si="6"/>
        <v>交通便捷度</v>
      </c>
      <c r="R14" s="1558" t="s">
        <v>8</v>
      </c>
      <c r="S14" s="1559">
        <f t="shared" si="0"/>
        <v>100</v>
      </c>
      <c r="T14" s="1558" t="s">
        <v>8</v>
      </c>
      <c r="U14" s="1559">
        <f t="shared" si="1"/>
        <v>100</v>
      </c>
      <c r="V14" s="1558" t="s">
        <v>8</v>
      </c>
      <c r="W14" s="1559">
        <f t="shared" si="2"/>
        <v>100</v>
      </c>
      <c r="X14" s="1552"/>
      <c r="Y14" s="3455"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56"/>
      <c r="Q15" s="1557"/>
      <c r="R15" s="1558"/>
      <c r="S15" s="1559"/>
      <c r="T15" s="1558"/>
      <c r="U15" s="1559"/>
      <c r="V15" s="1558"/>
      <c r="W15" s="1559"/>
      <c r="X15" s="1552"/>
      <c r="Y15" s="3456"/>
      <c r="Z15" s="1560"/>
      <c r="AA15" s="1561">
        <v>1</v>
      </c>
      <c r="AB15" s="1561">
        <v>1</v>
      </c>
      <c r="AC15" s="1561">
        <v>1</v>
      </c>
    </row>
    <row r="16" spans="1:29" ht="42.75">
      <c r="A16" s="531"/>
      <c r="B16" s="2564"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56"/>
      <c r="Q16" s="1557" t="str">
        <f>B16</f>
        <v>公共配套设施</v>
      </c>
      <c r="R16" s="1558" t="s">
        <v>8</v>
      </c>
      <c r="S16" s="1559">
        <f>F16</f>
        <v>100</v>
      </c>
      <c r="T16" s="1558" t="s">
        <v>8</v>
      </c>
      <c r="U16" s="1559">
        <f>H16</f>
        <v>100</v>
      </c>
      <c r="V16" s="1558" t="s">
        <v>8</v>
      </c>
      <c r="W16" s="1559">
        <f>J16</f>
        <v>100</v>
      </c>
      <c r="X16" s="1552"/>
      <c r="Y16" s="3456"/>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56"/>
      <c r="Q17" s="1557"/>
      <c r="R17" s="1558"/>
      <c r="S17" s="1559"/>
      <c r="T17" s="1558"/>
      <c r="U17" s="1559"/>
      <c r="V17" s="1558"/>
      <c r="W17" s="1559"/>
      <c r="X17" s="1552"/>
      <c r="Y17" s="3456"/>
      <c r="Z17" s="1560"/>
      <c r="AA17" s="1561">
        <v>1</v>
      </c>
      <c r="AB17" s="1561">
        <v>1</v>
      </c>
      <c r="AC17" s="1561">
        <v>1</v>
      </c>
    </row>
    <row r="18" spans="1:29" ht="28.5">
      <c r="A18" s="531"/>
      <c r="B18" s="2552"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56"/>
      <c r="Q18" s="2540" t="str">
        <f>B18</f>
        <v>基础设施水平</v>
      </c>
      <c r="R18" s="1558" t="s">
        <v>8</v>
      </c>
      <c r="S18" s="1559">
        <f>F18</f>
        <v>100</v>
      </c>
      <c r="T18" s="1558" t="s">
        <v>8</v>
      </c>
      <c r="U18" s="1559">
        <f>H18</f>
        <v>100</v>
      </c>
      <c r="V18" s="1558" t="s">
        <v>8</v>
      </c>
      <c r="W18" s="1559">
        <f>J18</f>
        <v>100</v>
      </c>
      <c r="X18" s="2542"/>
      <c r="Y18" s="3456"/>
      <c r="Z18" s="2541"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3"/>
      <c r="L19" s="2126"/>
      <c r="M19" s="2118"/>
      <c r="N19" s="2118"/>
      <c r="O19" s="2125"/>
      <c r="P19" s="3456"/>
      <c r="Q19" s="2540"/>
      <c r="R19" s="1558"/>
      <c r="S19" s="1559"/>
      <c r="T19" s="1558"/>
      <c r="U19" s="1559"/>
      <c r="V19" s="1558"/>
      <c r="W19" s="1559"/>
      <c r="X19" s="2542"/>
      <c r="Y19" s="3456"/>
      <c r="Z19" s="2541"/>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56"/>
      <c r="Q20" s="1557" t="str">
        <f>B20</f>
        <v>自然及人文环境</v>
      </c>
      <c r="R20" s="1558" t="s">
        <v>8</v>
      </c>
      <c r="S20" s="1559">
        <f>F20</f>
        <v>100</v>
      </c>
      <c r="T20" s="1558" t="s">
        <v>8</v>
      </c>
      <c r="U20" s="1559">
        <f>H20</f>
        <v>100</v>
      </c>
      <c r="V20" s="1558" t="s">
        <v>8</v>
      </c>
      <c r="W20" s="1559">
        <f>J20</f>
        <v>100</v>
      </c>
      <c r="X20" s="1552"/>
      <c r="Y20" s="3456"/>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56"/>
      <c r="Q21" s="1557"/>
      <c r="R21" s="1558"/>
      <c r="S21" s="1559"/>
      <c r="T21" s="1558"/>
      <c r="U21" s="1559"/>
      <c r="V21" s="1558"/>
      <c r="W21" s="1559"/>
      <c r="X21" s="1552"/>
      <c r="Y21" s="3456"/>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56"/>
      <c r="Q22" s="1557" t="str">
        <f>B22</f>
        <v>楼层</v>
      </c>
      <c r="R22" s="1558" t="s">
        <v>8</v>
      </c>
      <c r="S22" s="1559">
        <f>F22</f>
        <v>100</v>
      </c>
      <c r="T22" s="1558" t="s">
        <v>8</v>
      </c>
      <c r="U22" s="1559">
        <f>H22</f>
        <v>100</v>
      </c>
      <c r="V22" s="1558" t="s">
        <v>8</v>
      </c>
      <c r="W22" s="1559">
        <f>J22</f>
        <v>100</v>
      </c>
      <c r="X22" s="1552"/>
      <c r="Y22" s="3456"/>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56"/>
      <c r="Q23" s="1557">
        <f>B23</f>
        <v>111</v>
      </c>
      <c r="R23" s="1558" t="s">
        <v>8</v>
      </c>
      <c r="S23" s="1559">
        <f>F23</f>
        <v>100</v>
      </c>
      <c r="T23" s="1558" t="s">
        <v>8</v>
      </c>
      <c r="U23" s="1559">
        <f>H23</f>
        <v>100</v>
      </c>
      <c r="V23" s="1558" t="s">
        <v>8</v>
      </c>
      <c r="W23" s="1559">
        <f>J23</f>
        <v>100</v>
      </c>
      <c r="X23" s="1552"/>
      <c r="Y23" s="3456"/>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56"/>
      <c r="Q24" s="1557">
        <f t="shared" ref="Q24:Q34" si="11">B24</f>
        <v>111</v>
      </c>
      <c r="R24" s="1558" t="s">
        <v>8</v>
      </c>
      <c r="S24" s="1559">
        <f>F24</f>
        <v>100</v>
      </c>
      <c r="T24" s="1558" t="s">
        <v>8</v>
      </c>
      <c r="U24" s="1559">
        <f>H24</f>
        <v>100</v>
      </c>
      <c r="V24" s="1558" t="s">
        <v>8</v>
      </c>
      <c r="W24" s="1559">
        <f>J24</f>
        <v>100</v>
      </c>
      <c r="X24" s="1552"/>
      <c r="Y24" s="3456"/>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56"/>
      <c r="Q25" s="1146">
        <f t="shared" si="11"/>
        <v>111</v>
      </c>
      <c r="R25" s="1553" t="s">
        <v>8</v>
      </c>
      <c r="S25" s="1554">
        <f>F25</f>
        <v>100</v>
      </c>
      <c r="T25" s="1553" t="s">
        <v>8</v>
      </c>
      <c r="U25" s="1554">
        <f>H25</f>
        <v>100</v>
      </c>
      <c r="V25" s="1553" t="s">
        <v>8</v>
      </c>
      <c r="W25" s="1554">
        <f>J25</f>
        <v>100</v>
      </c>
      <c r="X25" s="1555"/>
      <c r="Y25" s="3456"/>
      <c r="Z25" s="1145">
        <f>Q25</f>
        <v>111</v>
      </c>
      <c r="AA25" s="1561">
        <f>D25/F25</f>
        <v>1</v>
      </c>
      <c r="AB25" s="1561">
        <f>D25/H25</f>
        <v>1</v>
      </c>
      <c r="AC25" s="1561">
        <f>D25/J25</f>
        <v>1</v>
      </c>
    </row>
    <row r="26" spans="1:29" ht="15">
      <c r="A26" s="2859"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5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58"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58"/>
      <c r="Q27" s="1589" t="str">
        <f t="shared" si="11"/>
        <v>成新率</v>
      </c>
      <c r="R27" s="1562" t="s">
        <v>8</v>
      </c>
      <c r="S27" s="1563" t="e">
        <f t="shared" si="12"/>
        <v>#N/A</v>
      </c>
      <c r="T27" s="1562" t="s">
        <v>8</v>
      </c>
      <c r="U27" s="1563" t="e">
        <f t="shared" si="13"/>
        <v>#N/A</v>
      </c>
      <c r="V27" s="1562" t="s">
        <v>8</v>
      </c>
      <c r="W27" s="1563" t="e">
        <f t="shared" si="14"/>
        <v>#N/A</v>
      </c>
      <c r="X27" s="1564"/>
      <c r="Y27" s="3458"/>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58"/>
      <c r="Q28" s="1557" t="str">
        <f t="shared" si="11"/>
        <v>物业等级</v>
      </c>
      <c r="R28" s="1558" t="s">
        <v>8</v>
      </c>
      <c r="S28" s="1559">
        <f t="shared" si="12"/>
        <v>100</v>
      </c>
      <c r="T28" s="1558" t="s">
        <v>8</v>
      </c>
      <c r="U28" s="1559">
        <f t="shared" si="13"/>
        <v>100</v>
      </c>
      <c r="V28" s="1558" t="s">
        <v>8</v>
      </c>
      <c r="W28" s="1559">
        <f t="shared" si="14"/>
        <v>100</v>
      </c>
      <c r="X28" s="1552"/>
      <c r="Y28" s="3458"/>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58"/>
      <c r="Q29" s="1557" t="str">
        <f t="shared" si="11"/>
        <v>有无电梯</v>
      </c>
      <c r="R29" s="1558" t="s">
        <v>8</v>
      </c>
      <c r="S29" s="1559">
        <f t="shared" si="12"/>
        <v>100</v>
      </c>
      <c r="T29" s="1558" t="s">
        <v>8</v>
      </c>
      <c r="U29" s="1559">
        <f t="shared" si="13"/>
        <v>100</v>
      </c>
      <c r="V29" s="1558" t="s">
        <v>8</v>
      </c>
      <c r="W29" s="1559">
        <f t="shared" si="14"/>
        <v>100</v>
      </c>
      <c r="X29" s="1552"/>
      <c r="Y29" s="3458"/>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58"/>
      <c r="Q30" s="1557" t="str">
        <f t="shared" si="11"/>
        <v>建筑面积</v>
      </c>
      <c r="R30" s="1558" t="s">
        <v>8</v>
      </c>
      <c r="S30" s="1559" t="e">
        <f t="shared" si="12"/>
        <v>#N/A</v>
      </c>
      <c r="T30" s="1558" t="s">
        <v>8</v>
      </c>
      <c r="U30" s="1559" t="e">
        <f t="shared" si="13"/>
        <v>#N/A</v>
      </c>
      <c r="V30" s="1558" t="s">
        <v>8</v>
      </c>
      <c r="W30" s="1559" t="e">
        <f t="shared" si="14"/>
        <v>#N/A</v>
      </c>
      <c r="X30" s="1552"/>
      <c r="Y30" s="3458"/>
      <c r="Z30" s="1560" t="str">
        <f t="shared" si="15"/>
        <v>建筑面积</v>
      </c>
      <c r="AA30" s="1561" t="e">
        <f t="shared" si="3"/>
        <v>#N/A</v>
      </c>
      <c r="AB30" s="1561" t="e">
        <f t="shared" si="4"/>
        <v>#N/A</v>
      </c>
      <c r="AC30" s="1561" t="e">
        <f t="shared" si="5"/>
        <v>#N/A</v>
      </c>
    </row>
    <row r="31" spans="1:29" s="1215" customFormat="1" ht="15">
      <c r="A31" s="599"/>
      <c r="B31" s="526" t="s">
        <v>824</v>
      </c>
      <c r="C31" s="931"/>
      <c r="D31" s="255">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58"/>
      <c r="Q31" s="1146" t="str">
        <f t="shared" si="11"/>
        <v>是否封闭</v>
      </c>
      <c r="R31" s="1553" t="s">
        <v>8</v>
      </c>
      <c r="S31" s="1554">
        <f t="shared" si="12"/>
        <v>100</v>
      </c>
      <c r="T31" s="1553" t="s">
        <v>8</v>
      </c>
      <c r="U31" s="1554">
        <f t="shared" si="13"/>
        <v>100</v>
      </c>
      <c r="V31" s="1553" t="s">
        <v>8</v>
      </c>
      <c r="W31" s="1554">
        <f t="shared" si="14"/>
        <v>100</v>
      </c>
      <c r="X31" s="1555"/>
      <c r="Y31" s="3458"/>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58" t="s">
        <v>550</v>
      </c>
      <c r="Q32" s="1557">
        <f t="shared" si="11"/>
        <v>111</v>
      </c>
      <c r="R32" s="1558" t="s">
        <v>8</v>
      </c>
      <c r="S32" s="1559">
        <f t="shared" si="12"/>
        <v>100</v>
      </c>
      <c r="T32" s="1558" t="s">
        <v>8</v>
      </c>
      <c r="U32" s="1559">
        <f t="shared" si="13"/>
        <v>100</v>
      </c>
      <c r="V32" s="1558" t="s">
        <v>8</v>
      </c>
      <c r="W32" s="1559">
        <f t="shared" si="14"/>
        <v>100</v>
      </c>
      <c r="X32" s="1552"/>
      <c r="Y32" s="3458"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58"/>
      <c r="Q33" s="1557">
        <f t="shared" si="11"/>
        <v>111</v>
      </c>
      <c r="R33" s="1558" t="s">
        <v>8</v>
      </c>
      <c r="S33" s="1559">
        <f t="shared" si="12"/>
        <v>100</v>
      </c>
      <c r="T33" s="1558" t="s">
        <v>8</v>
      </c>
      <c r="U33" s="1559">
        <f t="shared" si="13"/>
        <v>100</v>
      </c>
      <c r="V33" s="1558" t="s">
        <v>8</v>
      </c>
      <c r="W33" s="1559">
        <f t="shared" si="14"/>
        <v>100</v>
      </c>
      <c r="X33" s="1552"/>
      <c r="Y33" s="3458"/>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58"/>
      <c r="Q34" s="1557">
        <f t="shared" si="11"/>
        <v>111</v>
      </c>
      <c r="R34" s="1558" t="s">
        <v>8</v>
      </c>
      <c r="S34" s="1559">
        <f t="shared" si="12"/>
        <v>100</v>
      </c>
      <c r="T34" s="1558" t="s">
        <v>8</v>
      </c>
      <c r="U34" s="1559">
        <f t="shared" si="13"/>
        <v>100</v>
      </c>
      <c r="V34" s="1558" t="s">
        <v>8</v>
      </c>
      <c r="W34" s="1559">
        <f t="shared" si="14"/>
        <v>100</v>
      </c>
      <c r="X34" s="1552"/>
      <c r="Y34" s="3458"/>
      <c r="Z34" s="1560">
        <f t="shared" si="15"/>
        <v>111</v>
      </c>
      <c r="AA34" s="1561">
        <f t="shared" si="3"/>
        <v>1</v>
      </c>
      <c r="AB34" s="1561">
        <f t="shared" si="4"/>
        <v>1</v>
      </c>
      <c r="AC34" s="1561">
        <f t="shared" si="5"/>
        <v>1</v>
      </c>
    </row>
    <row r="35" spans="1:29" ht="15">
      <c r="A35" s="606" t="s">
        <v>736</v>
      </c>
      <c r="B35" s="886"/>
      <c r="C35" s="2588" t="s">
        <v>1</v>
      </c>
      <c r="D35" s="2589"/>
      <c r="E35" s="2590"/>
      <c r="F35" s="2591"/>
      <c r="G35" s="2592"/>
      <c r="H35" s="2593"/>
      <c r="I35" s="2590"/>
      <c r="J35" s="2593"/>
      <c r="K35" s="1595"/>
      <c r="L35" s="2128"/>
      <c r="M35" s="2129"/>
      <c r="N35" s="2118"/>
      <c r="O35" s="2129"/>
      <c r="P35" s="3421" t="str">
        <f>A35</f>
        <v>成交单价（元/平方米）</v>
      </c>
      <c r="Q35" s="3421"/>
      <c r="R35" s="3538">
        <f>E35</f>
        <v>0</v>
      </c>
      <c r="S35" s="3538"/>
      <c r="T35" s="3538">
        <f>G35</f>
        <v>0</v>
      </c>
      <c r="U35" s="3538"/>
      <c r="V35" s="3538">
        <f>I35</f>
        <v>0</v>
      </c>
      <c r="W35" s="3538"/>
      <c r="X35" s="1544"/>
      <c r="Y35" s="1566"/>
      <c r="Z35" s="1544"/>
      <c r="AA35" s="1544"/>
      <c r="AB35" s="1544"/>
      <c r="AC35" s="1544"/>
    </row>
    <row r="36" spans="1:29" ht="15.75" thickBot="1">
      <c r="A36" s="614" t="s">
        <v>2760</v>
      </c>
      <c r="B36" s="887"/>
      <c r="C36" s="2594" t="e">
        <f>R37</f>
        <v>#DIV/0!</v>
      </c>
      <c r="D36" s="2595"/>
      <c r="E36" s="2596" t="e">
        <f>R36</f>
        <v>#DIV/0!</v>
      </c>
      <c r="F36" s="2596"/>
      <c r="G36" s="2594" t="e">
        <f>T36</f>
        <v>#DIV/0!</v>
      </c>
      <c r="H36" s="2595"/>
      <c r="I36" s="2596" t="e">
        <f>V36</f>
        <v>#DIV/0!</v>
      </c>
      <c r="J36" s="2595"/>
      <c r="K36" s="1596"/>
      <c r="L36" s="2128"/>
      <c r="M36" s="2129"/>
      <c r="N36" s="2118"/>
      <c r="O36" s="2129"/>
      <c r="P36" s="3421" t="str">
        <f>A36</f>
        <v>比较价格（元/平方米）</v>
      </c>
      <c r="Q36" s="3421"/>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44"/>
      <c r="Y36" s="1544"/>
      <c r="Z36" s="1544"/>
      <c r="AA36" s="1544"/>
      <c r="AB36" s="1544"/>
      <c r="AC36" s="1544"/>
    </row>
    <row r="37" spans="1:29" ht="15.75" thickBot="1">
      <c r="A37" s="620" t="s">
        <v>2936</v>
      </c>
      <c r="B37" s="621"/>
      <c r="C37" s="2597" t="e">
        <f>R37</f>
        <v>#DIV/0!</v>
      </c>
      <c r="D37" s="2597"/>
      <c r="E37" s="2597"/>
      <c r="F37" s="2597"/>
      <c r="G37" s="2597"/>
      <c r="H37" s="2597"/>
      <c r="I37" s="2597"/>
      <c r="J37" s="2597"/>
      <c r="K37" s="1597"/>
      <c r="L37" s="2128"/>
      <c r="M37" s="2129"/>
      <c r="N37" s="2129"/>
      <c r="O37" s="2129"/>
      <c r="P37" s="3418" t="str">
        <f>A37</f>
        <v>估价对象XX用房的比较价格（楼面单价，元/平方米）</v>
      </c>
      <c r="Q37" s="3419"/>
      <c r="R37" s="3537" t="e">
        <f>IF(F1="售价",ROUND(AVERAGE(R36:V36),0),ROUND(AVERAGE(R36:V36),1))</f>
        <v>#DIV/0!</v>
      </c>
      <c r="S37" s="3537"/>
      <c r="T37" s="3537"/>
      <c r="U37" s="3537"/>
      <c r="V37" s="3537"/>
      <c r="W37" s="353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4" t="str">
        <f>YEAR(C7)&amp;"-"&amp;MONTH(C7)</f>
        <v>2019-6</v>
      </c>
      <c r="D46" s="2756">
        <f>EDATE(C46,-1)</f>
        <v>43586</v>
      </c>
      <c r="E46" s="2756">
        <f t="shared" ref="E46:O46" si="16">EDATE(D46,-1)</f>
        <v>43556</v>
      </c>
      <c r="F46" s="2756">
        <f t="shared" si="16"/>
        <v>43525</v>
      </c>
      <c r="G46" s="2756">
        <f t="shared" si="16"/>
        <v>43497</v>
      </c>
      <c r="H46" s="2756">
        <f t="shared" si="16"/>
        <v>43466</v>
      </c>
      <c r="I46" s="2756">
        <f t="shared" si="16"/>
        <v>43435</v>
      </c>
      <c r="J46" s="2756">
        <f t="shared" si="16"/>
        <v>43405</v>
      </c>
      <c r="K46" s="2756">
        <f t="shared" si="16"/>
        <v>43374</v>
      </c>
      <c r="L46" s="2756">
        <f t="shared" si="16"/>
        <v>43344</v>
      </c>
      <c r="M46" s="2756">
        <f t="shared" si="16"/>
        <v>43313</v>
      </c>
      <c r="N46" s="2756">
        <f t="shared" si="16"/>
        <v>43282</v>
      </c>
      <c r="O46" s="2756">
        <f t="shared" si="16"/>
        <v>43252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58" t="s">
        <v>2558</v>
      </c>
      <c r="C65" s="2559" t="s">
        <v>2559</v>
      </c>
      <c r="D65" s="2559" t="s">
        <v>2560</v>
      </c>
      <c r="E65" s="2559" t="s">
        <v>2561</v>
      </c>
      <c r="F65" s="2559" t="s">
        <v>2562</v>
      </c>
      <c r="G65" s="2559" t="s">
        <v>2563</v>
      </c>
      <c r="H65" s="673"/>
      <c r="I65" s="673"/>
      <c r="J65" s="673"/>
      <c r="K65" s="673"/>
      <c r="L65" s="673"/>
      <c r="M65" s="2562"/>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4"/>
      <c r="B1" s="2218" t="s">
        <v>2303</v>
      </c>
      <c r="C1" s="3547" t="s">
        <v>2304</v>
      </c>
      <c r="D1" s="3548"/>
      <c r="E1" s="3548"/>
      <c r="F1" s="3548"/>
      <c r="G1" s="3548"/>
      <c r="H1" s="3548"/>
      <c r="I1" s="3548"/>
      <c r="J1" s="3548"/>
      <c r="K1" s="3548"/>
      <c r="L1" s="3548"/>
      <c r="M1" s="3548"/>
      <c r="N1" s="3548"/>
      <c r="O1" s="3548"/>
      <c r="P1" s="3548"/>
      <c r="Q1" s="3548"/>
      <c r="R1" s="3548"/>
      <c r="S1" s="3549"/>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2940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44" t="s">
        <v>20</v>
      </c>
      <c r="D22" s="3545"/>
      <c r="E22" s="3545"/>
      <c r="F22" s="3545"/>
      <c r="G22" s="3545"/>
      <c r="H22" s="3545"/>
      <c r="I22" s="3545"/>
      <c r="J22" s="3545"/>
      <c r="K22" s="3545"/>
      <c r="L22" s="3545"/>
      <c r="M22" s="3545"/>
      <c r="N22" s="3545"/>
      <c r="O22" s="3545"/>
      <c r="P22" s="3545"/>
      <c r="Q22" s="3546"/>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受贵公司委托，我公司对北京市储备国有建设用地使用权市场价格进行了预评估。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77720.2平方米。根据《建设工程规划许可证》[]、《出让合同》[]，估价对象规划建筑面积为77720.2平方米。</v>
      </c>
    </row>
    <row r="7" spans="1:4" ht="93.75">
      <c r="A7" s="2825" t="s">
        <v>2748</v>
      </c>
    </row>
    <row r="8" spans="1:4" ht="18.75">
      <c r="A8" s="1778" t="s">
        <v>1906</v>
      </c>
    </row>
    <row r="9" spans="1:4" ht="37.5">
      <c r="A9" s="1780"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1" t="s">
        <v>2026</v>
      </c>
    </row>
    <row r="11" spans="1:4" ht="18.75">
      <c r="A11" s="1764" t="str">
        <f>TEXT(项目基本情况!D3,"yyyy年m月d日;;")&amp;IF(项目基本情况!B3=项目基本情况!D3,"（评估专业人员勘察现场之日）","")</f>
        <v>2019年6月30日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根据《国有土地使用证》[]，估价对象（分摊）出让国有建设用地使用权面积为77720.2平方米。根据《建设工程规划许可证》[]、《出让合同》[]，估价对象规划建筑面积为77720.2平方米。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7" t="s">
        <v>2749</v>
      </c>
    </row>
    <row r="24" spans="1:1" ht="18.75">
      <c r="A24" s="1775" t="s">
        <v>2075</v>
      </c>
    </row>
    <row r="25" spans="1:1" ht="150">
      <c r="A25" s="177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75"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2787</v>
      </c>
      <c r="C1" s="2956">
        <f>项目基本情况!D3</f>
        <v>43646</v>
      </c>
      <c r="H1" s="2890">
        <f>IF(C1&gt;C13,0,MATCH(C1,C$13:C$100,-1))+IF(SUMIF(C13:C100,C1,D13:D100)=0,13,12)</f>
        <v>13</v>
      </c>
      <c r="I1" s="2890">
        <f>MATCH(C2,H3:H7,1)+IF(SUMIF(H3:H7,C2,I3:I7)=0,2,1)</f>
        <v>5</v>
      </c>
      <c r="J1" s="2949">
        <f>MATCH(C3,H3:H7,1)+IF(SUMIF(H3:H7,C3,J3:J7)=0,2,1)</f>
        <v>5</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2818</v>
      </c>
      <c r="C2" s="2957">
        <f>'数据-取费表'!B22</f>
        <v>1.5</v>
      </c>
      <c r="D2" s="2952" t="s">
        <v>2788</v>
      </c>
      <c r="E2" s="2955">
        <f ca="1">INDIRECT("I"&amp;$I$1)/100</f>
        <v>4.7500000000000001E-2</v>
      </c>
      <c r="G2" s="2892"/>
      <c r="H2" s="2892"/>
      <c r="I2" s="2892" t="s">
        <v>2789</v>
      </c>
      <c r="K2" s="2892"/>
      <c r="L2" s="2892"/>
      <c r="M2" s="2892"/>
      <c r="N2" s="2892" t="s">
        <v>2790</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2820</v>
      </c>
      <c r="C3" s="2954">
        <f>'数据-取费表'!B19</f>
        <v>1.5</v>
      </c>
      <c r="D3" s="2952" t="s">
        <v>2788</v>
      </c>
      <c r="E3" s="2955">
        <f ca="1">INDIRECT("J"&amp;$J$1)/100</f>
        <v>4.7500000000000001E-2</v>
      </c>
      <c r="G3" s="2894" t="s">
        <v>2791</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2819</v>
      </c>
      <c r="C4" s="2955">
        <f ca="1">N4/100</f>
        <v>1.4999999999999999E-2</v>
      </c>
      <c r="G4" s="2900" t="s">
        <v>2792</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2793</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2794</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2795</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2796</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2797</v>
      </c>
      <c r="C10" s="2919"/>
      <c r="D10" s="2919"/>
      <c r="E10" s="2919"/>
      <c r="F10" s="2919"/>
      <c r="G10" s="2919"/>
      <c r="H10" s="2919"/>
      <c r="I10" s="2893"/>
      <c r="J10" s="2893"/>
      <c r="K10" s="2919"/>
      <c r="L10" s="2920" t="s">
        <v>2798</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2799</v>
      </c>
      <c r="C11" s="2924" t="s">
        <v>2800</v>
      </c>
      <c r="D11" s="2925" t="s">
        <v>2801</v>
      </c>
      <c r="E11" s="2926"/>
      <c r="F11" s="2925" t="s">
        <v>2802</v>
      </c>
      <c r="G11" s="2927"/>
      <c r="H11" s="2926"/>
      <c r="I11" s="2925" t="s">
        <v>2803</v>
      </c>
      <c r="J11" s="2926"/>
      <c r="K11" s="2922"/>
      <c r="L11" s="2923" t="s">
        <v>2799</v>
      </c>
      <c r="M11" s="2924" t="s">
        <v>2800</v>
      </c>
      <c r="N11" s="2923" t="s">
        <v>2804</v>
      </c>
      <c r="O11" s="2925" t="s">
        <v>2805</v>
      </c>
      <c r="P11" s="2927"/>
      <c r="Q11" s="2927"/>
      <c r="R11" s="2927"/>
      <c r="S11" s="2927"/>
      <c r="T11" s="2926"/>
      <c r="U11" s="2925" t="s">
        <v>2806</v>
      </c>
      <c r="V11" s="2927"/>
      <c r="W11" s="2926"/>
      <c r="X11" s="2923" t="s">
        <v>2807</v>
      </c>
      <c r="Y11" s="2923" t="s">
        <v>2808</v>
      </c>
      <c r="Z11" s="2923" t="s">
        <v>2809</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2810</v>
      </c>
      <c r="E12" s="2932" t="s">
        <v>2811</v>
      </c>
      <c r="F12" s="2932" t="s">
        <v>2812</v>
      </c>
      <c r="G12" s="2932" t="s">
        <v>2813</v>
      </c>
      <c r="H12" s="2932" t="s">
        <v>2795</v>
      </c>
      <c r="I12" s="2933" t="s">
        <v>2814</v>
      </c>
      <c r="J12" s="2933" t="s">
        <v>2814</v>
      </c>
      <c r="K12" s="2929"/>
      <c r="L12" s="2930"/>
      <c r="M12" s="2931"/>
      <c r="N12" s="2930"/>
      <c r="O12" s="2933" t="s">
        <v>2815</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2816</v>
      </c>
      <c r="C13" s="2937">
        <v>42301</v>
      </c>
      <c r="D13" s="2938">
        <v>4.3499999999999996</v>
      </c>
      <c r="E13" s="2938">
        <v>4.3499999999999996</v>
      </c>
      <c r="F13" s="2938">
        <v>4.75</v>
      </c>
      <c r="G13" s="2938">
        <v>4.75</v>
      </c>
      <c r="H13" s="2938">
        <v>4.9000000000000004</v>
      </c>
      <c r="I13" s="2938">
        <v>2.75</v>
      </c>
      <c r="J13" s="2938">
        <v>3.25</v>
      </c>
      <c r="K13" s="2935"/>
      <c r="L13" s="2936" t="s">
        <v>2816</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2817</v>
      </c>
      <c r="Y42" s="2942" t="s">
        <v>2817</v>
      </c>
      <c r="Z42" s="2942" t="s">
        <v>2817</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2817</v>
      </c>
      <c r="Y43" s="2942" t="s">
        <v>2817</v>
      </c>
      <c r="Z43" s="2942" t="s">
        <v>2817</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2817</v>
      </c>
      <c r="Y44" s="2942" t="s">
        <v>2817</v>
      </c>
      <c r="Z44" s="2942" t="s">
        <v>2817</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2817</v>
      </c>
      <c r="Y45" s="2942" t="s">
        <v>2817</v>
      </c>
      <c r="Z45" s="2942" t="s">
        <v>2817</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2817</v>
      </c>
      <c r="Y46" s="2942" t="s">
        <v>2817</v>
      </c>
      <c r="Z46" s="2942" t="s">
        <v>2817</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2817</v>
      </c>
      <c r="Y47" s="2942" t="s">
        <v>2817</v>
      </c>
      <c r="Z47" s="2942" t="s">
        <v>2817</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2817</v>
      </c>
      <c r="Y48" s="2942" t="s">
        <v>2817</v>
      </c>
      <c r="Z48" s="2942" t="s">
        <v>2817</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2817</v>
      </c>
      <c r="Y49" s="2942" t="s">
        <v>2817</v>
      </c>
      <c r="Z49" s="2942" t="s">
        <v>2817</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2817</v>
      </c>
      <c r="Y50" s="2942" t="s">
        <v>2817</v>
      </c>
      <c r="Z50" s="2942" t="s">
        <v>2817</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2817</v>
      </c>
      <c r="V51" s="2942" t="s">
        <v>2817</v>
      </c>
      <c r="W51" s="2942" t="s">
        <v>2817</v>
      </c>
      <c r="X51" s="2942" t="s">
        <v>2817</v>
      </c>
      <c r="Y51" s="2942" t="s">
        <v>2817</v>
      </c>
      <c r="Z51" s="2942" t="s">
        <v>2817</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2817</v>
      </c>
      <c r="J55" s="2942" t="s">
        <v>2817</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topLeftCell="D20" workbookViewId="0">
      <selection activeCell="Q20" sqref="Q20"/>
    </sheetView>
  </sheetViews>
  <sheetFormatPr defaultRowHeight="13.5"/>
  <cols>
    <col min="4" max="4" width="10.875" customWidth="1"/>
    <col min="5" max="5" width="13.875" customWidth="1"/>
    <col min="6" max="6" width="10.75" customWidth="1"/>
    <col min="9" max="9" width="21.25" customWidth="1"/>
    <col min="10" max="10" width="34.25" customWidth="1"/>
    <col min="12" max="12" width="9.5" customWidth="1"/>
    <col min="13" max="13" width="10.5" customWidth="1"/>
    <col min="14" max="14" width="10.75" customWidth="1"/>
  </cols>
  <sheetData>
    <row r="1" spans="1:16" hidden="1">
      <c r="A1" s="3552" t="s">
        <v>3006</v>
      </c>
      <c r="B1" s="3552" t="s">
        <v>3007</v>
      </c>
      <c r="C1" s="3552" t="s">
        <v>3008</v>
      </c>
      <c r="D1" s="3552" t="s">
        <v>3009</v>
      </c>
      <c r="E1" s="3552" t="s">
        <v>3010</v>
      </c>
      <c r="F1" s="3552" t="s">
        <v>3011</v>
      </c>
      <c r="G1" s="3552" t="s">
        <v>3012</v>
      </c>
      <c r="H1" s="3552" t="s">
        <v>3013</v>
      </c>
      <c r="I1" s="3552" t="s">
        <v>3014</v>
      </c>
      <c r="J1" s="3554" t="s">
        <v>3015</v>
      </c>
      <c r="K1" s="3554"/>
      <c r="L1" s="3554"/>
    </row>
    <row r="2" spans="1:16" ht="36" hidden="1">
      <c r="A2" s="3555"/>
      <c r="B2" s="3553"/>
      <c r="C2" s="3553"/>
      <c r="D2" s="3553"/>
      <c r="E2" s="3553"/>
      <c r="F2" s="3553"/>
      <c r="G2" s="3553"/>
      <c r="H2" s="3553"/>
      <c r="I2" s="3553"/>
      <c r="J2" s="3185" t="s">
        <v>24</v>
      </c>
      <c r="K2" s="3185" t="s">
        <v>3016</v>
      </c>
      <c r="L2" s="3185" t="s">
        <v>3017</v>
      </c>
    </row>
    <row r="3" spans="1:16" s="3211" customFormat="1" ht="105" hidden="1" customHeight="1">
      <c r="A3" s="3233">
        <v>2017</v>
      </c>
      <c r="B3" s="3234" t="s">
        <v>3018</v>
      </c>
      <c r="C3" s="3235" t="s">
        <v>3019</v>
      </c>
      <c r="D3" s="3236" t="s">
        <v>3020</v>
      </c>
      <c r="E3" s="3236" t="s">
        <v>3021</v>
      </c>
      <c r="F3" s="3236" t="s">
        <v>3022</v>
      </c>
      <c r="G3" s="3236" t="s">
        <v>3023</v>
      </c>
      <c r="H3" s="3236" t="s">
        <v>3024</v>
      </c>
      <c r="I3" s="3235" t="s">
        <v>3025</v>
      </c>
      <c r="J3" s="3235">
        <v>7121.0435985612075</v>
      </c>
      <c r="K3" s="3235">
        <v>1647.3462982726589</v>
      </c>
      <c r="L3" s="3235">
        <v>5473.6973002885488</v>
      </c>
    </row>
    <row r="4" spans="1:16" ht="72" hidden="1" customHeight="1">
      <c r="A4" s="3188">
        <v>2017</v>
      </c>
      <c r="B4" s="3189" t="s">
        <v>3026</v>
      </c>
      <c r="C4" s="3190" t="s">
        <v>3027</v>
      </c>
      <c r="D4" s="3187" t="s">
        <v>3028</v>
      </c>
      <c r="E4" s="3187" t="s">
        <v>3029</v>
      </c>
      <c r="F4" s="3187" t="s">
        <v>3030</v>
      </c>
      <c r="G4" s="3187" t="s">
        <v>3023</v>
      </c>
      <c r="H4" s="3187" t="s">
        <v>3031</v>
      </c>
      <c r="I4" s="3190" t="s">
        <v>3032</v>
      </c>
      <c r="J4" s="3186">
        <v>10970.676229508195</v>
      </c>
      <c r="K4" s="3186">
        <v>1101.3210382513662</v>
      </c>
      <c r="L4" s="3186">
        <v>9869.3551912568291</v>
      </c>
    </row>
    <row r="5" spans="1:16">
      <c r="J5" s="3181"/>
    </row>
    <row r="6" spans="1:16" ht="17.25" customHeight="1">
      <c r="A6" s="3550" t="s">
        <v>3041</v>
      </c>
      <c r="B6" s="3551"/>
      <c r="C6" s="3551"/>
      <c r="D6" s="3551"/>
      <c r="E6" s="3551"/>
      <c r="F6" s="3191"/>
      <c r="G6" s="3191"/>
      <c r="H6" s="3191"/>
      <c r="I6" s="3191"/>
      <c r="J6" s="3191"/>
      <c r="K6" s="3191"/>
      <c r="L6" s="3191"/>
      <c r="M6" s="3191"/>
      <c r="N6" s="3192"/>
      <c r="O6" s="3192"/>
      <c r="P6" s="3192"/>
    </row>
    <row r="7" spans="1:16" ht="13.5" customHeight="1">
      <c r="A7" s="3193" t="s">
        <v>3042</v>
      </c>
      <c r="B7" s="3193" t="s">
        <v>3043</v>
      </c>
      <c r="C7" s="3193" t="s">
        <v>3044</v>
      </c>
      <c r="D7" s="3194" t="s">
        <v>3045</v>
      </c>
      <c r="E7" s="3194" t="s">
        <v>3046</v>
      </c>
      <c r="F7" s="3193" t="s">
        <v>3009</v>
      </c>
      <c r="G7" s="3193" t="s">
        <v>3011</v>
      </c>
      <c r="H7" s="3193" t="s">
        <v>3012</v>
      </c>
      <c r="I7" s="3193" t="s">
        <v>3013</v>
      </c>
      <c r="J7" s="3193" t="s">
        <v>3014</v>
      </c>
      <c r="K7" s="3195" t="s">
        <v>3047</v>
      </c>
      <c r="L7" s="3196" t="s">
        <v>3048</v>
      </c>
      <c r="M7" s="3196"/>
      <c r="N7" s="3192"/>
      <c r="O7" s="3192"/>
      <c r="P7" s="3192"/>
    </row>
    <row r="8" spans="1:16">
      <c r="A8" s="3197"/>
      <c r="B8" s="3197"/>
      <c r="C8" s="3197"/>
      <c r="D8" s="3198"/>
      <c r="E8" s="3198"/>
      <c r="F8" s="3197"/>
      <c r="G8" s="3197"/>
      <c r="H8" s="3197"/>
      <c r="I8" s="3197"/>
      <c r="J8" s="3197"/>
      <c r="K8" s="3195"/>
      <c r="L8" s="3196" t="s">
        <v>3049</v>
      </c>
      <c r="M8" s="3196" t="s">
        <v>3050</v>
      </c>
      <c r="N8" s="3199" t="s">
        <v>3051</v>
      </c>
      <c r="O8" s="3241" t="s">
        <v>3052</v>
      </c>
      <c r="P8" s="3199"/>
    </row>
    <row r="9" spans="1:16" s="3218" customFormat="1" ht="27" customHeight="1">
      <c r="A9" s="3200">
        <v>2017</v>
      </c>
      <c r="B9" s="3201" t="s">
        <v>3053</v>
      </c>
      <c r="C9" s="3201" t="s">
        <v>3054</v>
      </c>
      <c r="D9" s="3202" t="s">
        <v>3055</v>
      </c>
      <c r="E9" s="3202" t="s">
        <v>3056</v>
      </c>
      <c r="F9" s="3203" t="s">
        <v>3057</v>
      </c>
      <c r="G9" s="3202" t="s">
        <v>3058</v>
      </c>
      <c r="H9" s="3202" t="s">
        <v>3059</v>
      </c>
      <c r="I9" s="3202" t="s">
        <v>3060</v>
      </c>
      <c r="J9" s="3202" t="s">
        <v>3061</v>
      </c>
      <c r="K9" s="3205">
        <v>96.99</v>
      </c>
      <c r="L9" s="3205">
        <v>51676.39</v>
      </c>
      <c r="M9" s="3205">
        <v>172115.08</v>
      </c>
      <c r="N9" s="3206">
        <v>223791.46999999997</v>
      </c>
      <c r="O9" s="3242">
        <v>2307.3664295288172</v>
      </c>
      <c r="P9" s="3207"/>
    </row>
    <row r="10" spans="1:16" s="3218" customFormat="1" ht="43.5" customHeight="1">
      <c r="A10" s="3200">
        <v>2017</v>
      </c>
      <c r="B10" s="3201" t="s">
        <v>3053</v>
      </c>
      <c r="C10" s="3201" t="s">
        <v>3054</v>
      </c>
      <c r="D10" s="3202" t="s">
        <v>3055</v>
      </c>
      <c r="E10" s="3202" t="s">
        <v>3056</v>
      </c>
      <c r="F10" s="3203" t="s">
        <v>3062</v>
      </c>
      <c r="G10" s="3202" t="s">
        <v>3063</v>
      </c>
      <c r="H10" s="3202" t="s">
        <v>3059</v>
      </c>
      <c r="I10" s="3202" t="s">
        <v>3064</v>
      </c>
      <c r="J10" s="3205" t="s">
        <v>3065</v>
      </c>
      <c r="K10" s="3229">
        <v>49.52</v>
      </c>
      <c r="L10" s="3205">
        <v>25737.439999999999</v>
      </c>
      <c r="M10" s="3205">
        <v>180122.23999999999</v>
      </c>
      <c r="N10" s="3206">
        <v>205859.68</v>
      </c>
      <c r="O10" s="3242">
        <v>4157.1017770597737</v>
      </c>
      <c r="P10" s="3207"/>
    </row>
    <row r="11" spans="1:16" ht="56.25" customHeight="1">
      <c r="A11" s="3200">
        <v>2017</v>
      </c>
      <c r="B11" s="3212" t="s">
        <v>3066</v>
      </c>
      <c r="C11" s="3212" t="s">
        <v>3067</v>
      </c>
      <c r="D11" s="3202" t="s">
        <v>3055</v>
      </c>
      <c r="E11" s="3202" t="s">
        <v>3056</v>
      </c>
      <c r="F11" s="3213" t="s">
        <v>3068</v>
      </c>
      <c r="G11" s="3202" t="s">
        <v>3069</v>
      </c>
      <c r="H11" s="3202" t="s">
        <v>3059</v>
      </c>
      <c r="I11" s="3204" t="s">
        <v>3070</v>
      </c>
      <c r="J11" s="3204" t="s">
        <v>3071</v>
      </c>
      <c r="K11" s="3205">
        <v>19.994820000000001</v>
      </c>
      <c r="L11" s="3205">
        <v>4110.28</v>
      </c>
      <c r="M11" s="3205">
        <v>1634.87</v>
      </c>
      <c r="N11" s="3206">
        <v>5745.15</v>
      </c>
      <c r="O11" s="3242">
        <v>287.33191896701243</v>
      </c>
      <c r="P11" s="3214"/>
    </row>
    <row r="12" spans="1:16" s="3218" customFormat="1" ht="48.75" customHeight="1">
      <c r="A12" s="3200">
        <v>2017</v>
      </c>
      <c r="B12" s="3201" t="s">
        <v>3072</v>
      </c>
      <c r="C12" s="3201" t="s">
        <v>3073</v>
      </c>
      <c r="D12" s="3202" t="s">
        <v>3074</v>
      </c>
      <c r="E12" s="3202" t="s">
        <v>3056</v>
      </c>
      <c r="F12" s="3202" t="s">
        <v>3075</v>
      </c>
      <c r="G12" s="3202" t="s">
        <v>3076</v>
      </c>
      <c r="H12" s="3202" t="s">
        <v>3023</v>
      </c>
      <c r="I12" s="3202" t="s">
        <v>3077</v>
      </c>
      <c r="J12" s="3205" t="s">
        <v>3078</v>
      </c>
      <c r="K12" s="3237">
        <v>72.180000000000007</v>
      </c>
      <c r="L12" s="3205">
        <v>20148.59</v>
      </c>
      <c r="M12" s="3205">
        <v>195592.13</v>
      </c>
      <c r="N12" s="3206">
        <v>215740.72</v>
      </c>
      <c r="O12" s="3242">
        <v>2988.9265724577444</v>
      </c>
      <c r="P12" s="3215"/>
    </row>
    <row r="13" spans="1:16" s="3218" customFormat="1" ht="61.5" customHeight="1">
      <c r="A13" s="3200">
        <v>2017</v>
      </c>
      <c r="B13" s="3201" t="s">
        <v>3072</v>
      </c>
      <c r="C13" s="3201" t="s">
        <v>3073</v>
      </c>
      <c r="D13" s="3202" t="s">
        <v>3074</v>
      </c>
      <c r="E13" s="3202" t="s">
        <v>3056</v>
      </c>
      <c r="F13" s="3202" t="s">
        <v>3079</v>
      </c>
      <c r="G13" s="3202" t="s">
        <v>3080</v>
      </c>
      <c r="H13" s="3202" t="s">
        <v>3023</v>
      </c>
      <c r="I13" s="3202" t="s">
        <v>3081</v>
      </c>
      <c r="J13" s="3216" t="s">
        <v>3082</v>
      </c>
      <c r="K13" s="3217">
        <v>148.19999999999999</v>
      </c>
      <c r="L13" s="3205">
        <v>46469.07</v>
      </c>
      <c r="M13" s="3205">
        <v>462882.97</v>
      </c>
      <c r="N13" s="3206">
        <v>509352.04</v>
      </c>
      <c r="O13" s="3242">
        <v>3436.9233468286102</v>
      </c>
      <c r="P13" s="3215"/>
    </row>
    <row r="14" spans="1:16" ht="57" customHeight="1">
      <c r="A14" s="3200">
        <v>2017</v>
      </c>
      <c r="B14" s="3212" t="s">
        <v>3083</v>
      </c>
      <c r="C14" s="3212" t="s">
        <v>3084</v>
      </c>
      <c r="D14" s="3202" t="s">
        <v>3085</v>
      </c>
      <c r="E14" s="3202" t="s">
        <v>3056</v>
      </c>
      <c r="F14" s="3202" t="s">
        <v>3086</v>
      </c>
      <c r="G14" s="3202" t="s">
        <v>3087</v>
      </c>
      <c r="H14" s="3202" t="s">
        <v>3088</v>
      </c>
      <c r="I14" s="3204" t="s">
        <v>3089</v>
      </c>
      <c r="J14" s="3204" t="s">
        <v>3090</v>
      </c>
      <c r="K14" s="3205">
        <v>132.25</v>
      </c>
      <c r="L14" s="3205">
        <v>24298.5</v>
      </c>
      <c r="M14" s="3205">
        <v>107594.55</v>
      </c>
      <c r="N14" s="3206">
        <v>131893.04999999999</v>
      </c>
      <c r="O14" s="3242">
        <v>997.30094517958401</v>
      </c>
      <c r="P14" s="3215"/>
    </row>
    <row r="15" spans="1:16" s="3218" customFormat="1" ht="76.5" customHeight="1">
      <c r="A15" s="3200">
        <v>2017</v>
      </c>
      <c r="B15" s="3212" t="s">
        <v>3083</v>
      </c>
      <c r="C15" s="3243" t="s">
        <v>3084</v>
      </c>
      <c r="D15" s="3244" t="s">
        <v>3091</v>
      </c>
      <c r="E15" s="3202" t="s">
        <v>3092</v>
      </c>
      <c r="F15" s="3245" t="s">
        <v>3093</v>
      </c>
      <c r="G15" s="3202" t="s">
        <v>3076</v>
      </c>
      <c r="H15" s="3202" t="s">
        <v>3023</v>
      </c>
      <c r="I15" s="3246" t="s">
        <v>3094</v>
      </c>
      <c r="J15" s="3246" t="s">
        <v>3095</v>
      </c>
      <c r="K15" s="3217">
        <v>217.58</v>
      </c>
      <c r="L15" s="3205">
        <v>106922.18</v>
      </c>
      <c r="M15" s="3205">
        <v>1002860.16</v>
      </c>
      <c r="N15" s="3206">
        <v>1109782.3400000001</v>
      </c>
      <c r="O15" s="3242">
        <v>5100.5714679658058</v>
      </c>
      <c r="P15" s="3247"/>
    </row>
    <row r="16" spans="1:16" s="3211" customFormat="1" ht="78" customHeight="1">
      <c r="A16" s="3230">
        <v>2018</v>
      </c>
      <c r="B16" s="3219" t="s">
        <v>3096</v>
      </c>
      <c r="C16" s="3239" t="s">
        <v>3097</v>
      </c>
      <c r="D16" s="3240" t="s">
        <v>3091</v>
      </c>
      <c r="E16" s="3240" t="s">
        <v>3056</v>
      </c>
      <c r="F16" s="3240" t="s">
        <v>3098</v>
      </c>
      <c r="G16" s="3240" t="s">
        <v>3076</v>
      </c>
      <c r="H16" s="3240" t="s">
        <v>3023</v>
      </c>
      <c r="I16" s="3240" t="s">
        <v>3099</v>
      </c>
      <c r="J16" s="3208" t="s">
        <v>3100</v>
      </c>
      <c r="K16" s="3238">
        <v>193.55</v>
      </c>
      <c r="L16" s="3209">
        <v>230654.05</v>
      </c>
      <c r="M16" s="3209">
        <v>598903.21</v>
      </c>
      <c r="N16" s="3210">
        <v>829557.26</v>
      </c>
      <c r="O16" s="3250">
        <v>4286.0101265822786</v>
      </c>
      <c r="P16" s="3232"/>
    </row>
    <row r="17" spans="1:16" s="3218" customFormat="1" ht="28.5" customHeight="1">
      <c r="A17" s="3220">
        <v>2018</v>
      </c>
      <c r="B17" s="3212" t="s">
        <v>3096</v>
      </c>
      <c r="C17" s="3221" t="s">
        <v>3097</v>
      </c>
      <c r="D17" s="3213" t="s">
        <v>3091</v>
      </c>
      <c r="E17" s="3213" t="s">
        <v>3056</v>
      </c>
      <c r="F17" s="3213" t="s">
        <v>3101</v>
      </c>
      <c r="G17" s="3213" t="s">
        <v>3102</v>
      </c>
      <c r="H17" s="3213" t="s">
        <v>3023</v>
      </c>
      <c r="I17" s="3213" t="s">
        <v>3103</v>
      </c>
      <c r="J17" s="3213" t="s">
        <v>3132</v>
      </c>
      <c r="K17" s="3224">
        <v>210.43</v>
      </c>
      <c r="L17" s="3205">
        <v>23862.83</v>
      </c>
      <c r="M17" s="3205">
        <v>602931.53</v>
      </c>
      <c r="N17" s="3206">
        <v>626794.36</v>
      </c>
      <c r="O17" s="3242">
        <v>2978.6359359406929</v>
      </c>
      <c r="P17" s="3222"/>
    </row>
    <row r="18" spans="1:16" s="3211" customFormat="1" ht="84" customHeight="1">
      <c r="A18" s="3230">
        <v>2018</v>
      </c>
      <c r="B18" s="3219" t="s">
        <v>3096</v>
      </c>
      <c r="C18" s="3239" t="s">
        <v>3097</v>
      </c>
      <c r="D18" s="3240" t="s">
        <v>3091</v>
      </c>
      <c r="E18" s="3240" t="s">
        <v>3056</v>
      </c>
      <c r="F18" s="3240" t="s">
        <v>3104</v>
      </c>
      <c r="G18" s="3240" t="s">
        <v>3076</v>
      </c>
      <c r="H18" s="3240" t="s">
        <v>3023</v>
      </c>
      <c r="I18" s="3240" t="s">
        <v>3105</v>
      </c>
      <c r="J18" s="3208" t="s">
        <v>3106</v>
      </c>
      <c r="K18" s="3231">
        <v>74.25</v>
      </c>
      <c r="L18" s="3209">
        <v>13520.67</v>
      </c>
      <c r="M18" s="3209">
        <v>291651.92</v>
      </c>
      <c r="N18" s="3210">
        <v>305172.58999999997</v>
      </c>
      <c r="O18" s="3250">
        <v>4110.0685521885516</v>
      </c>
      <c r="P18" s="3232"/>
    </row>
    <row r="19" spans="1:16" ht="35.25" customHeight="1">
      <c r="A19" s="3220">
        <v>2018</v>
      </c>
      <c r="B19" s="3212" t="s">
        <v>3096</v>
      </c>
      <c r="C19" s="3221" t="s">
        <v>3097</v>
      </c>
      <c r="D19" s="3213" t="s">
        <v>3107</v>
      </c>
      <c r="E19" s="3213" t="s">
        <v>3056</v>
      </c>
      <c r="F19" s="3213" t="s">
        <v>3108</v>
      </c>
      <c r="G19" s="3213" t="s">
        <v>3109</v>
      </c>
      <c r="H19" s="3213" t="s">
        <v>3023</v>
      </c>
      <c r="I19" s="3223" t="s">
        <v>3110</v>
      </c>
      <c r="J19" s="3203" t="s">
        <v>3111</v>
      </c>
      <c r="K19" s="3224">
        <v>29.09</v>
      </c>
      <c r="L19" s="3205">
        <v>12773.36</v>
      </c>
      <c r="M19" s="3205">
        <v>231746.85</v>
      </c>
      <c r="N19" s="3206">
        <v>244520.21000000002</v>
      </c>
      <c r="O19" s="3242">
        <v>8405.6448951529746</v>
      </c>
      <c r="P19" s="3222"/>
    </row>
    <row r="20" spans="1:16" s="3218" customFormat="1" ht="39.75" customHeight="1">
      <c r="A20" s="3220">
        <v>2018</v>
      </c>
      <c r="B20" s="3212" t="s">
        <v>3112</v>
      </c>
      <c r="C20" s="3225" t="s">
        <v>3113</v>
      </c>
      <c r="D20" s="3224" t="s">
        <v>3091</v>
      </c>
      <c r="E20" s="3224" t="s">
        <v>3056</v>
      </c>
      <c r="F20" s="3224" t="s">
        <v>3114</v>
      </c>
      <c r="G20" s="3224" t="s">
        <v>3076</v>
      </c>
      <c r="H20" s="3224" t="s">
        <v>3023</v>
      </c>
      <c r="I20" s="3224" t="s">
        <v>3115</v>
      </c>
      <c r="J20" s="3224" t="s">
        <v>3116</v>
      </c>
      <c r="K20" s="3224">
        <v>165.53</v>
      </c>
      <c r="L20" s="3205">
        <v>55495.91</v>
      </c>
      <c r="M20" s="3205">
        <v>418159.92</v>
      </c>
      <c r="N20" s="3206">
        <v>473655.82999999996</v>
      </c>
      <c r="O20" s="3242">
        <v>2861.4500694738113</v>
      </c>
      <c r="P20" s="3222"/>
    </row>
    <row r="21" spans="1:16" s="3218" customFormat="1" ht="33" customHeight="1">
      <c r="A21" s="3220">
        <v>2018</v>
      </c>
      <c r="B21" s="3212" t="s">
        <v>3117</v>
      </c>
      <c r="C21" s="3225" t="s">
        <v>3113</v>
      </c>
      <c r="D21" s="3224" t="s">
        <v>3091</v>
      </c>
      <c r="E21" s="3224" t="s">
        <v>3056</v>
      </c>
      <c r="F21" s="3224" t="s">
        <v>3118</v>
      </c>
      <c r="G21" s="3224" t="s">
        <v>3119</v>
      </c>
      <c r="H21" s="3224" t="s">
        <v>3023</v>
      </c>
      <c r="I21" s="3224" t="s">
        <v>3120</v>
      </c>
      <c r="J21" s="3224" t="s">
        <v>3121</v>
      </c>
      <c r="K21" s="3226">
        <v>175.57</v>
      </c>
      <c r="L21" s="3205">
        <v>157294.39999999999</v>
      </c>
      <c r="M21" s="3205">
        <v>394653.43</v>
      </c>
      <c r="N21" s="3206">
        <v>551947.82999999996</v>
      </c>
      <c r="O21" s="3251">
        <v>3143.7479637751321</v>
      </c>
      <c r="P21" s="3222"/>
    </row>
    <row r="22" spans="1:16" s="3211" customFormat="1" ht="83.25" customHeight="1">
      <c r="A22" s="3230">
        <v>2018</v>
      </c>
      <c r="B22" s="3219" t="s">
        <v>3122</v>
      </c>
      <c r="C22" s="3238">
        <v>12</v>
      </c>
      <c r="D22" s="3248" t="s">
        <v>3091</v>
      </c>
      <c r="E22" s="3248" t="s">
        <v>3056</v>
      </c>
      <c r="F22" s="3248" t="s">
        <v>3123</v>
      </c>
      <c r="G22" s="3248" t="s">
        <v>3076</v>
      </c>
      <c r="H22" s="3248" t="s">
        <v>3023</v>
      </c>
      <c r="I22" s="3248" t="s">
        <v>3124</v>
      </c>
      <c r="J22" s="3248" t="s">
        <v>3125</v>
      </c>
      <c r="K22" s="3231">
        <v>239.14</v>
      </c>
      <c r="L22" s="3209">
        <v>61695.44</v>
      </c>
      <c r="M22" s="3209">
        <v>859650.5</v>
      </c>
      <c r="N22" s="3210">
        <v>921345.94</v>
      </c>
      <c r="O22" s="3250">
        <v>3852.7470937526136</v>
      </c>
      <c r="P22" s="3249"/>
    </row>
    <row r="23" spans="1:16" ht="73.5" customHeight="1">
      <c r="A23" s="3220">
        <v>2018</v>
      </c>
      <c r="B23" s="3212" t="s">
        <v>3117</v>
      </c>
      <c r="C23" s="3217" t="s">
        <v>3126</v>
      </c>
      <c r="D23" s="3227" t="s">
        <v>3091</v>
      </c>
      <c r="E23" s="3227" t="s">
        <v>3056</v>
      </c>
      <c r="F23" s="3227" t="s">
        <v>3127</v>
      </c>
      <c r="G23" s="3227" t="s">
        <v>3076</v>
      </c>
      <c r="H23" s="3227" t="s">
        <v>3023</v>
      </c>
      <c r="I23" s="3227" t="s">
        <v>3128</v>
      </c>
      <c r="J23" s="3227" t="s">
        <v>3129</v>
      </c>
      <c r="K23" s="3224">
        <v>55.01</v>
      </c>
      <c r="L23" s="3205">
        <v>61454.45</v>
      </c>
      <c r="M23" s="3205">
        <v>558371.41</v>
      </c>
      <c r="N23" s="3206">
        <v>619825.86</v>
      </c>
      <c r="O23" s="3242">
        <v>11267.512452281404</v>
      </c>
      <c r="P23" s="3228"/>
    </row>
  </sheetData>
  <mergeCells count="11">
    <mergeCell ref="A6:E6"/>
    <mergeCell ref="G1:G2"/>
    <mergeCell ref="H1:H2"/>
    <mergeCell ref="I1:I2"/>
    <mergeCell ref="J1:L1"/>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{9902DB44-1E3E-4B4D-9837-D0C4AA26134A}</x14:id>
        </ext>
      </extLst>
    </cfRule>
  </conditionalFormatting>
  <conditionalFormatting sqref="B21">
    <cfRule type="dataBar" priority="3">
      <dataBar>
        <cfvo type="min"/>
        <cfvo type="max"/>
        <color rgb="FF638EC6"/>
      </dataBar>
      <extLst>
        <ext xmlns:x14="http://schemas.microsoft.com/office/spreadsheetml/2009/9/main" uri="{B025F937-C7B1-47D3-B67F-A62EFF666E3E}">
          <x14:id>{044783A3-AAEF-47B3-9B05-3DAE460EEB86}</x14:id>
        </ext>
      </extLst>
    </cfRule>
  </conditionalFormatting>
  <conditionalFormatting sqref="B22">
    <cfRule type="dataBar" priority="2">
      <dataBar>
        <cfvo type="min"/>
        <cfvo type="max"/>
        <color rgb="FF638EC6"/>
      </dataBar>
      <extLst>
        <ext xmlns:x14="http://schemas.microsoft.com/office/spreadsheetml/2009/9/main" uri="{B025F937-C7B1-47D3-B67F-A62EFF666E3E}">
          <x14:id>{214368CC-36F7-4770-A355-CE946158E19A}</x14:id>
        </ext>
      </extLst>
    </cfRule>
  </conditionalFormatting>
  <conditionalFormatting sqref="B23">
    <cfRule type="dataBar" priority="1">
      <dataBar>
        <cfvo type="min"/>
        <cfvo type="max"/>
        <color rgb="FF638EC6"/>
      </dataBar>
      <extLst>
        <ext xmlns:x14="http://schemas.microsoft.com/office/spreadsheetml/2009/9/main" uri="{B025F937-C7B1-47D3-B67F-A62EFF666E3E}">
          <x14:id>{484300A0-D40B-4DE6-AB2D-2357305FBAC7}</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902DB44-1E3E-4B4D-9837-D0C4AA26134A}">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044783A3-AAEF-47B3-9B05-3DAE460EEB86}">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214368CC-36F7-4770-A355-CE946158E19A}">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484300A0-D40B-4DE6-AB2D-2357305FBAC7}">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8" sqref="M28"/>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7" t="s">
        <v>2038</v>
      </c>
      <c r="B1" s="3257"/>
      <c r="C1" s="3257"/>
      <c r="D1" s="3257"/>
      <c r="E1" s="3257"/>
      <c r="F1" s="3257"/>
      <c r="G1" s="3257"/>
      <c r="H1" s="3257"/>
      <c r="I1" s="3257"/>
      <c r="J1" s="3257"/>
      <c r="K1" s="3257"/>
      <c r="L1" s="3257"/>
      <c r="M1" s="3257"/>
      <c r="N1" s="3257"/>
      <c r="O1" s="3257"/>
      <c r="P1" s="3257"/>
      <c r="Q1" s="3257"/>
      <c r="R1" s="3257"/>
    </row>
    <row r="2" spans="1:18">
      <c r="A2" s="1791" t="s">
        <v>2040</v>
      </c>
      <c r="B2" s="1791"/>
      <c r="C2" s="1791"/>
      <c r="D2" s="1791"/>
      <c r="E2" s="1791"/>
      <c r="F2" s="1791"/>
      <c r="G2" s="1791"/>
      <c r="H2" s="1791"/>
      <c r="I2" s="1792"/>
      <c r="J2" s="1792"/>
      <c r="K2" s="1793" t="str">
        <f>"估价期日："&amp;TEXT(项目基本情况!D3,"yyyy年m月d日;;")</f>
        <v>估价期日：2019年6月30日</v>
      </c>
      <c r="L2" s="1791"/>
      <c r="M2" s="1791"/>
      <c r="N2" s="1791"/>
      <c r="O2" s="1791"/>
      <c r="P2" s="1791"/>
      <c r="Q2" s="1791"/>
      <c r="R2" s="1793" t="str">
        <f>"估价期日的国有建设用地使用权性质："&amp;项目基本情况!B16</f>
        <v>估价期日的国有建设用地使用权性质：储备</v>
      </c>
    </row>
    <row r="3" spans="1:18" ht="23.25" customHeight="1">
      <c r="A3" s="3258" t="s">
        <v>2029</v>
      </c>
      <c r="B3" s="3258" t="s">
        <v>2731</v>
      </c>
      <c r="C3" s="3259" t="s">
        <v>2030</v>
      </c>
      <c r="D3" s="3258" t="s">
        <v>2735</v>
      </c>
      <c r="E3" s="3261" t="s">
        <v>2031</v>
      </c>
      <c r="F3" s="3261"/>
      <c r="G3" s="3261"/>
      <c r="H3" s="3261" t="s">
        <v>2032</v>
      </c>
      <c r="I3" s="3261"/>
      <c r="J3" s="3261"/>
      <c r="K3" s="3259" t="s">
        <v>2033</v>
      </c>
      <c r="L3" s="3259" t="s">
        <v>2034</v>
      </c>
      <c r="M3" s="3258" t="s">
        <v>2732</v>
      </c>
      <c r="N3" s="3260" t="str">
        <f>"（分摊）"&amp;项目基本情况!B16&amp;"国有建设用地使用权面积/㎡"</f>
        <v>（分摊）储备国有建设用地使用权面积/㎡</v>
      </c>
      <c r="O3" s="3258" t="s">
        <v>2063</v>
      </c>
      <c r="P3" s="3259" t="s">
        <v>2043</v>
      </c>
      <c r="Q3" s="3259" t="s">
        <v>2064</v>
      </c>
      <c r="R3" s="3259" t="s">
        <v>2035</v>
      </c>
    </row>
    <row r="4" spans="1:18" ht="36.75" customHeight="1">
      <c r="A4" s="3258"/>
      <c r="B4" s="3258"/>
      <c r="C4" s="3259"/>
      <c r="D4" s="3258"/>
      <c r="E4" s="2610" t="s">
        <v>2042</v>
      </c>
      <c r="F4" s="2610" t="s">
        <v>2744</v>
      </c>
      <c r="G4" s="2610" t="s">
        <v>2036</v>
      </c>
      <c r="H4" s="2610" t="s">
        <v>2037</v>
      </c>
      <c r="I4" s="2610" t="s">
        <v>2745</v>
      </c>
      <c r="J4" s="2610" t="s">
        <v>2036</v>
      </c>
      <c r="K4" s="3259"/>
      <c r="L4" s="3259"/>
      <c r="M4" s="3258"/>
      <c r="N4" s="3260"/>
      <c r="O4" s="3258"/>
      <c r="P4" s="3259"/>
      <c r="Q4" s="3259"/>
      <c r="R4" s="3259"/>
    </row>
    <row r="5" spans="1:18" ht="135" customHeight="1">
      <c r="A5" s="1927" t="s">
        <v>2655</v>
      </c>
      <c r="B5" s="2819" t="s">
        <v>2653</v>
      </c>
      <c r="C5" s="2609">
        <v>22</v>
      </c>
      <c r="D5" s="2608" t="s">
        <v>2654</v>
      </c>
      <c r="E5" s="1794">
        <f>项目基本情况!B12</f>
        <v>0</v>
      </c>
      <c r="F5" s="2608">
        <v>258</v>
      </c>
      <c r="G5" s="1794">
        <f>项目基本情况!B13</f>
        <v>0</v>
      </c>
      <c r="H5" s="2608">
        <v>1.5</v>
      </c>
      <c r="I5" s="2608">
        <v>1.5</v>
      </c>
      <c r="J5" s="2608">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v>
      </c>
      <c r="N5" s="1794">
        <f>项目基本情况!C22</f>
        <v>77720.2</v>
      </c>
      <c r="O5" s="1794">
        <f>项目基本情况!C21</f>
        <v>77720.2</v>
      </c>
      <c r="P5" s="1794">
        <f ca="1">结果表!E42</f>
        <v>4257</v>
      </c>
      <c r="Q5" s="1794">
        <f ca="1">结果表!D42</f>
        <v>4257</v>
      </c>
      <c r="R5" s="1795">
        <f ca="1">结果表!C42</f>
        <v>33082</v>
      </c>
    </row>
    <row r="6" spans="1:18">
      <c r="A6" s="3254" t="str">
        <f>IF(项目基本情况!B9="市场价格","——","抵押价格")</f>
        <v>——</v>
      </c>
      <c r="B6" s="3255"/>
      <c r="C6" s="3255"/>
      <c r="D6" s="3255"/>
      <c r="E6" s="3255"/>
      <c r="F6" s="3255"/>
      <c r="G6" s="3255"/>
      <c r="H6" s="3255"/>
      <c r="I6" s="3255"/>
      <c r="J6" s="3255"/>
      <c r="K6" s="3255"/>
      <c r="L6" s="3255"/>
      <c r="M6" s="3255"/>
      <c r="N6" s="3255"/>
      <c r="O6" s="3255"/>
      <c r="P6" s="3255"/>
      <c r="Q6" s="3256"/>
      <c r="R6" s="1796" t="str">
        <f>结果表!O39</f>
        <v>——</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796" t="str">
        <f>结果表!O40</f>
        <v>——</v>
      </c>
    </row>
    <row r="8" spans="1:18">
      <c r="A8" s="3254" t="str">
        <f>IF(项目基本情况!B9="市场价格","——",项目基本情况!E9)</f>
        <v>——</v>
      </c>
      <c r="B8" s="3255"/>
      <c r="C8" s="3255"/>
      <c r="D8" s="3255"/>
      <c r="E8" s="3255"/>
      <c r="F8" s="3255"/>
      <c r="G8" s="3255"/>
      <c r="H8" s="3255"/>
      <c r="I8" s="3255"/>
      <c r="J8" s="3255"/>
      <c r="K8" s="3255"/>
      <c r="L8" s="3255"/>
      <c r="M8" s="3255"/>
      <c r="N8" s="3255"/>
      <c r="O8" s="3255"/>
      <c r="P8" s="3255"/>
      <c r="Q8" s="325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63" t="s">
        <v>2065</v>
      </c>
      <c r="B1" s="3263"/>
      <c r="C1" s="3263"/>
      <c r="D1" s="3263"/>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3"/>
      <c r="C3" s="3263"/>
      <c r="D3" s="3263"/>
    </row>
    <row r="4" spans="1:4" ht="36.75" customHeight="1">
      <c r="A4" s="3263" t="str">
        <f>"3.估价规划限制条件：详见"&amp;项目基本情况!E21&amp;"。"</f>
        <v>3.估价规划限制条件：详见《建设工程规划许可证》[]、《出让合同》[]。</v>
      </c>
      <c r="B4" s="3263"/>
      <c r="C4" s="3263"/>
      <c r="D4" s="3263"/>
    </row>
    <row r="5" spans="1:4">
      <c r="A5" s="3262" t="s">
        <v>2066</v>
      </c>
      <c r="B5" s="3262"/>
      <c r="C5" s="3262"/>
      <c r="D5" s="3262"/>
    </row>
    <row r="6" spans="1:4">
      <c r="A6" s="3263" t="s">
        <v>2044</v>
      </c>
      <c r="B6" s="3263"/>
      <c r="C6" s="3263"/>
      <c r="D6" s="3263"/>
    </row>
    <row r="7" spans="1:4" ht="33" customHeight="1">
      <c r="A7" s="3263" t="s">
        <v>2575</v>
      </c>
      <c r="B7" s="3263"/>
      <c r="C7" s="3263"/>
      <c r="D7" s="3263"/>
    </row>
    <row r="8" spans="1:4" ht="32.25" customHeight="1">
      <c r="A8" s="32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3"/>
      <c r="C8" s="3263"/>
      <c r="D8" s="3263"/>
    </row>
    <row r="9" spans="1:4" ht="33.75" customHeight="1">
      <c r="A9" s="3263" t="str">
        <f>IF(项目基本情况!B8="抵押","3.抵押双方在办理抵押登记手续时，应使用本公司出具的正式《土地估价报告》，特提请报告使用者注意。","——")</f>
        <v>——</v>
      </c>
      <c r="B9" s="3263"/>
      <c r="C9" s="3263"/>
      <c r="D9" s="3263"/>
    </row>
    <row r="10" spans="1:4">
      <c r="A10" s="3263" t="str">
        <f>IF(项目基本情况!B8="抵押","4.估价师所知悉的法定优先受偿款情况为：","——")</f>
        <v>——</v>
      </c>
      <c r="B10" s="3263"/>
      <c r="C10" s="3263"/>
      <c r="D10" s="3263"/>
    </row>
    <row r="11" spans="1:4" ht="37.5" customHeight="1">
      <c r="A11" s="3265" t="str">
        <f>IF(项目基本情况!B8="抵押","（1）"&amp;CONCATENATE(项目基本情况!L24,项目基本情况!L25,项目基本情况!L26),"——")</f>
        <v>——</v>
      </c>
      <c r="B11" s="3265"/>
      <c r="C11" s="3265"/>
      <c r="D11" s="3265"/>
    </row>
    <row r="12" spans="1:4" ht="168" customHeight="1">
      <c r="A12" s="3262" t="s">
        <v>2068</v>
      </c>
      <c r="B12" s="3262"/>
      <c r="C12" s="3262"/>
      <c r="D12" s="3262"/>
    </row>
    <row r="13" spans="1:4">
      <c r="A13" s="3266" t="s">
        <v>2746</v>
      </c>
      <c r="B13" s="3266"/>
      <c r="C13" s="3266"/>
      <c r="D13" s="3266"/>
    </row>
    <row r="14" spans="1:4">
      <c r="A14" s="3265" t="str">
        <f>IF(项目基本情况!B8="抵押","综上，"&amp;结果表!K47,"——")</f>
        <v>——</v>
      </c>
      <c r="B14" s="3265"/>
      <c r="C14" s="3265"/>
      <c r="D14" s="3265"/>
    </row>
    <row r="15" spans="1:4" ht="58.5" customHeight="1">
      <c r="A15" s="32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3"/>
      <c r="C15" s="3263"/>
      <c r="D15" s="3263"/>
    </row>
    <row r="16" spans="1:4" ht="70.5" customHeight="1">
      <c r="A16" s="32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3"/>
      <c r="C16" s="3263"/>
      <c r="D16" s="3263"/>
    </row>
    <row r="17" spans="1:4">
      <c r="A17" s="3263" t="s">
        <v>2702</v>
      </c>
      <c r="B17" s="3263"/>
      <c r="C17" s="3263"/>
      <c r="D17" s="3263"/>
    </row>
    <row r="18" spans="1:4">
      <c r="A18" s="3263" t="s">
        <v>2694</v>
      </c>
      <c r="B18" s="3263"/>
      <c r="C18" s="3263"/>
      <c r="D18" s="3263"/>
    </row>
    <row r="19" spans="1:4">
      <c r="A19" s="2820" t="s">
        <v>2695</v>
      </c>
      <c r="B19" s="2820" t="s">
        <v>2696</v>
      </c>
      <c r="C19" s="2820" t="s">
        <v>2697</v>
      </c>
      <c r="D19" s="2820" t="s">
        <v>2698</v>
      </c>
    </row>
    <row r="20" spans="1:4">
      <c r="A20" s="2820" t="str">
        <f>项目基本情况!B4</f>
        <v>土地估价师</v>
      </c>
      <c r="B20" s="2820">
        <f>项目基本情况!C4</f>
        <v>0</v>
      </c>
      <c r="C20" s="2822"/>
      <c r="D20" s="1784" t="s">
        <v>2703</v>
      </c>
    </row>
    <row r="21" spans="1:4">
      <c r="A21" s="2820" t="str">
        <f>项目基本情况!D4</f>
        <v>土地估价师</v>
      </c>
      <c r="B21" s="2820">
        <f>项目基本情况!E4</f>
        <v>0</v>
      </c>
      <c r="C21" s="2822"/>
      <c r="D21" s="1784" t="s">
        <v>2704</v>
      </c>
    </row>
    <row r="23" spans="1:4">
      <c r="A23" s="3263" t="s">
        <v>2699</v>
      </c>
      <c r="B23" s="3263"/>
      <c r="C23" s="3263"/>
      <c r="D23" s="3263"/>
    </row>
    <row r="24" spans="1:4">
      <c r="A24" s="2820" t="s">
        <v>2695</v>
      </c>
      <c r="B24" s="2820" t="s">
        <v>2700</v>
      </c>
      <c r="C24" s="2820" t="s">
        <v>2697</v>
      </c>
      <c r="D24" s="2820" t="s">
        <v>2698</v>
      </c>
    </row>
    <row r="25" spans="1:4">
      <c r="A25" s="2823" t="s">
        <v>2701</v>
      </c>
      <c r="B25" s="2820" t="s">
        <v>952</v>
      </c>
      <c r="C25" s="2822"/>
      <c r="D25" s="1784" t="s">
        <v>2704</v>
      </c>
    </row>
    <row r="29" spans="1:4">
      <c r="D29" s="2821" t="s">
        <v>2039</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74" t="s">
        <v>53</v>
      </c>
      <c r="B15" s="3275" t="s">
        <v>846</v>
      </c>
      <c r="C15" s="3271"/>
    </row>
    <row r="16" spans="1:7" ht="14.25">
      <c r="A16" s="3274"/>
      <c r="B16" s="3272" t="s">
        <v>54</v>
      </c>
      <c r="C16" s="1167" t="s">
        <v>53</v>
      </c>
    </row>
    <row r="17" spans="1:3" ht="14.25">
      <c r="A17" s="3274"/>
      <c r="B17" s="3272"/>
      <c r="C17" s="1167" t="s">
        <v>55</v>
      </c>
    </row>
    <row r="18" spans="1:3" ht="14.25">
      <c r="A18" s="3274"/>
      <c r="B18" s="3272"/>
      <c r="C18" s="1167" t="s">
        <v>56</v>
      </c>
    </row>
    <row r="19" spans="1:3" ht="14.25">
      <c r="A19" s="3274"/>
      <c r="B19" s="3270" t="s">
        <v>57</v>
      </c>
      <c r="C19" s="3271"/>
    </row>
    <row r="20" spans="1:3" ht="14.25">
      <c r="A20" s="1168" t="s">
        <v>58</v>
      </c>
      <c r="B20" s="1169"/>
      <c r="C20" s="1170"/>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1" t="s">
        <v>837</v>
      </c>
    </row>
    <row r="25" spans="1:3" ht="14.25">
      <c r="A25" s="3273"/>
      <c r="B25" s="3277"/>
      <c r="C25" s="1171" t="s">
        <v>838</v>
      </c>
    </row>
    <row r="26" spans="1:3" ht="14.25">
      <c r="A26" s="3273"/>
      <c r="B26" s="3277"/>
      <c r="C26" s="1171" t="s">
        <v>839</v>
      </c>
    </row>
    <row r="27" spans="1:3" ht="14.25">
      <c r="A27" s="3273"/>
      <c r="B27" s="3277"/>
      <c r="C27" s="1171" t="s">
        <v>840</v>
      </c>
    </row>
    <row r="28" spans="1:3" ht="14.25">
      <c r="A28" s="3273"/>
      <c r="B28" s="3277"/>
      <c r="C28" s="1171" t="s">
        <v>841</v>
      </c>
    </row>
    <row r="29" spans="1:3" ht="14.25">
      <c r="A29" s="3273"/>
      <c r="B29" s="3277"/>
      <c r="C29" s="1171" t="s">
        <v>842</v>
      </c>
    </row>
    <row r="30" spans="1:3" ht="14.25">
      <c r="A30" s="3273"/>
      <c r="B30" s="3277"/>
      <c r="C30" s="1171" t="s">
        <v>843</v>
      </c>
    </row>
    <row r="31" spans="1:3" ht="14.25">
      <c r="A31" s="3273"/>
      <c r="B31" s="3277"/>
      <c r="C31" s="1171" t="s">
        <v>844</v>
      </c>
    </row>
    <row r="32" spans="1:3" ht="14.25">
      <c r="A32" s="3273"/>
      <c r="B32" s="3277"/>
      <c r="C32" s="1171" t="s">
        <v>1646</v>
      </c>
    </row>
    <row r="33" spans="1:3" ht="14.25">
      <c r="A33" s="3273"/>
      <c r="B33" s="3267" t="s">
        <v>1652</v>
      </c>
      <c r="C33" s="1171" t="s">
        <v>1647</v>
      </c>
    </row>
    <row r="34" spans="1:3" ht="14.25">
      <c r="A34" s="3273"/>
      <c r="B34" s="3268"/>
      <c r="C34" s="1176" t="s">
        <v>1648</v>
      </c>
    </row>
    <row r="35" spans="1:3" ht="14.25">
      <c r="A35" s="3273"/>
      <c r="B35" s="3268"/>
      <c r="C35" s="1177" t="s">
        <v>1649</v>
      </c>
    </row>
    <row r="36" spans="1:3" ht="14.25">
      <c r="A36" s="3273"/>
      <c r="B36" s="3268"/>
      <c r="C36" s="1177" t="s">
        <v>1650</v>
      </c>
    </row>
    <row r="37" spans="1:3" ht="14.25">
      <c r="A37" s="3273"/>
      <c r="B37" s="3269"/>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43670</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f ca="1">IF(C10&lt;B2,"已过期",1120060040)</f>
        <v>1120060040</v>
      </c>
      <c r="C10" s="3131">
        <v>44554</v>
      </c>
      <c r="D10" s="3129" t="s">
        <v>1920</v>
      </c>
      <c r="E10" s="3129">
        <f ca="1">IF(F10&lt;B2,"已过期",2004110096)</f>
        <v>2004110096</v>
      </c>
      <c r="F10" s="3132">
        <v>47118</v>
      </c>
    </row>
    <row r="11" spans="1:6" ht="20.25" customHeight="1">
      <c r="A11" s="3129" t="s">
        <v>1921</v>
      </c>
      <c r="B11" s="3129">
        <f ca="1">IF(C11&lt;B2,"已过期",1120100036)</f>
        <v>1120100036</v>
      </c>
      <c r="C11" s="3131">
        <v>44675</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2981</v>
      </c>
      <c r="B14" s="3129">
        <f ca="1">IF(C14&lt;B2,"已过期",1120040230)</f>
        <v>1120040230</v>
      </c>
      <c r="C14" s="3133">
        <v>43835</v>
      </c>
      <c r="D14" s="3134" t="s">
        <v>2982</v>
      </c>
      <c r="E14" s="3129">
        <f ca="1">IF(F14&lt;B2,"已过期",98030020)</f>
        <v>98030020</v>
      </c>
      <c r="F14" s="3132">
        <v>47118</v>
      </c>
    </row>
    <row r="15" spans="1:6" ht="20.25" customHeight="1">
      <c r="A15" s="3129" t="s">
        <v>2574</v>
      </c>
      <c r="B15" s="3129">
        <f ca="1">IF(C15&lt;B2,"已过期",1120070085)</f>
        <v>1120070085</v>
      </c>
      <c r="C15" s="3133">
        <v>43814</v>
      </c>
      <c r="D15" s="3129" t="s">
        <v>2983</v>
      </c>
      <c r="E15" s="3129">
        <f ca="1">IF(F15&lt;B2,"已过期",2004110128)</f>
        <v>2004110128</v>
      </c>
      <c r="F15" s="3135">
        <v>47118</v>
      </c>
    </row>
    <row r="16" spans="1:6" ht="20.25" customHeight="1">
      <c r="A16" s="3129" t="s">
        <v>1923</v>
      </c>
      <c r="B16" s="3129">
        <f ca="1">IF(C16&lt;B2,"已过期",1120140022)</f>
        <v>1120140022</v>
      </c>
      <c r="C16" s="3131">
        <v>44029</v>
      </c>
      <c r="D16" s="3129" t="s">
        <v>2984</v>
      </c>
      <c r="E16" s="3129">
        <f ca="1">IF(F16&lt;B2,"已过期",2008110059)</f>
        <v>2008110059</v>
      </c>
      <c r="F16" s="3132">
        <v>47177</v>
      </c>
    </row>
    <row r="17" spans="1:7" ht="20.25" customHeight="1">
      <c r="A17" s="3129"/>
      <c r="B17" s="3129"/>
      <c r="C17" s="3131"/>
      <c r="D17" s="3134" t="s">
        <v>2985</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2053</v>
      </c>
      <c r="B24" s="3128" t="s">
        <v>2053</v>
      </c>
      <c r="C24" s="3131"/>
      <c r="D24" s="3136" t="s">
        <v>2053</v>
      </c>
      <c r="E24" s="3128" t="s">
        <v>2053</v>
      </c>
      <c r="F24" s="3135"/>
    </row>
    <row r="25" spans="1:7" ht="20.25" customHeight="1">
      <c r="A25" s="3278" t="s">
        <v>1926</v>
      </c>
      <c r="B25" s="3278"/>
      <c r="C25" s="3278"/>
      <c r="D25" s="3278"/>
      <c r="E25" s="3278"/>
      <c r="F25" s="3278"/>
      <c r="G25" s="3278"/>
    </row>
    <row r="26" spans="1:7" ht="20.25" customHeight="1">
      <c r="A26" s="3279" t="s">
        <v>1927</v>
      </c>
      <c r="B26" s="3279"/>
      <c r="C26" s="3279"/>
      <c r="D26" s="3279" t="s">
        <v>1928</v>
      </c>
      <c r="E26" s="3279"/>
      <c r="F26" s="3279"/>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0" t="s">
        <v>2994</v>
      </c>
      <c r="F29" s="3141">
        <v>43646</v>
      </c>
    </row>
    <row r="30" spans="1:7" ht="20.25" customHeight="1">
      <c r="C30" s="3143"/>
      <c r="D30" s="3143"/>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2955</v>
      </c>
      <c r="C18" s="1539"/>
    </row>
    <row r="19" spans="1:3">
      <c r="A19" s="8" t="s">
        <v>120</v>
      </c>
      <c r="B19" s="3061" t="s">
        <v>2963</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751"/>
    </row>
    <row r="52" spans="1:5">
      <c r="A52" s="1749" t="s">
        <v>1986</v>
      </c>
      <c r="B52" s="1752" t="s">
        <v>1987</v>
      </c>
      <c r="C52" s="1750" t="s">
        <v>1988</v>
      </c>
      <c r="D52" s="1750" t="s">
        <v>1989</v>
      </c>
      <c r="E52" s="1751"/>
    </row>
    <row r="53" spans="1:5">
      <c r="A53" s="328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51"/>
      <c r="E53" s="1751"/>
    </row>
    <row r="54" spans="1:5">
      <c r="A54" s="328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751"/>
      <c r="E54" s="1751"/>
    </row>
    <row r="55" spans="1:5">
      <c r="A55" s="328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751"/>
      <c r="E55" s="1751"/>
    </row>
    <row r="56" spans="1:5">
      <c r="A56" s="328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751"/>
      <c r="E56" s="1751"/>
    </row>
    <row r="57" spans="1:5">
      <c r="A57" s="328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2019-07-24T06:42:19Z</dcterms:modified>
</cp:coreProperties>
</file>