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E18" i="77" l="1"/>
  <c r="B5" i="4" l="1"/>
  <c r="N6" i="1" l="1"/>
  <c r="E46" i="39" l="1"/>
  <c r="E38" i="39"/>
  <c r="E7" i="39"/>
  <c r="E5" i="39"/>
  <c r="H9" i="77"/>
  <c r="I13" i="3" l="1"/>
  <c r="I38" i="39" l="1"/>
  <c r="I7" i="39"/>
  <c r="I5" i="39"/>
  <c r="G38" i="39"/>
  <c r="G7" i="39"/>
  <c r="G5" i="39"/>
  <c r="D71" i="39"/>
  <c r="E71" i="39" s="1"/>
  <c r="F71" i="39" s="1"/>
  <c r="G71" i="39" s="1"/>
  <c r="H71" i="39" s="1"/>
  <c r="I71" i="39" s="1"/>
  <c r="J71" i="39" s="1"/>
  <c r="K71" i="39" s="1"/>
  <c r="L71" i="39" s="1"/>
  <c r="M71" i="39" s="1"/>
  <c r="N71" i="39" s="1"/>
  <c r="O71" i="39" s="1"/>
  <c r="F19" i="6" l="1"/>
  <c r="D9" i="77"/>
  <c r="C9" i="77"/>
  <c r="E4" i="77" l="1"/>
  <c r="E5" i="77"/>
  <c r="E6" i="77"/>
  <c r="E7" i="77"/>
  <c r="E8" i="77"/>
  <c r="E3" i="77"/>
  <c r="C11" i="4"/>
  <c r="D3" i="4"/>
  <c r="E9" i="77" l="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Y7" i="71" s="1"/>
  <c r="Z7" i="71" s="1"/>
  <c r="N9" i="71"/>
  <c r="AH10" i="71"/>
  <c r="AG10" i="71"/>
  <c r="AE10" i="71"/>
  <c r="AF10" i="71" s="1"/>
  <c r="AD10" i="71"/>
  <c r="Q11" i="71"/>
  <c r="Q12" i="71"/>
  <c r="P11" i="71"/>
  <c r="P12" i="71"/>
  <c r="O11" i="71"/>
  <c r="Y10" i="71" s="1"/>
  <c r="Z10" i="71" s="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Y14" i="71" s="1"/>
  <c r="Z14" i="71" s="1"/>
  <c r="O15" i="71"/>
  <c r="N14" i="71"/>
  <c r="N15" i="71"/>
  <c r="N16" i="71"/>
  <c r="AH15" i="71"/>
  <c r="AG15" i="71"/>
  <c r="AE15" i="71"/>
  <c r="AF15" i="71"/>
  <c r="AD15" i="71"/>
  <c r="Q16" i="71"/>
  <c r="P16" i="71"/>
  <c r="O16" i="71"/>
  <c r="M19" i="43"/>
  <c r="D18" i="71"/>
  <c r="AH16" i="71"/>
  <c r="AG16" i="71"/>
  <c r="AE16" i="71"/>
  <c r="AF16" i="71"/>
  <c r="AD16" i="71"/>
  <c r="AD17" i="71"/>
  <c r="AG17" i="71"/>
  <c r="AH17" i="71"/>
  <c r="AE17" i="71"/>
  <c r="AF17" i="71"/>
  <c r="N17" i="71"/>
  <c r="B17" i="71" s="1"/>
  <c r="B16" i="71" s="1"/>
  <c r="B15" i="71" s="1"/>
  <c r="B14" i="71" s="1"/>
  <c r="B13" i="71" s="1"/>
  <c r="B12" i="71" s="1"/>
  <c r="B11" i="71" s="1"/>
  <c r="B10" i="71" s="1"/>
  <c r="Q17" i="71"/>
  <c r="P17" i="71"/>
  <c r="O17" i="71"/>
  <c r="C17" i="71" s="1"/>
  <c r="C16" i="71" s="1"/>
  <c r="Q18" i="71"/>
  <c r="F17" i="71"/>
  <c r="F16" i="71"/>
  <c r="F15" i="71" s="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c r="A120" i="9"/>
  <c r="H2" i="52"/>
  <c r="A1" i="52"/>
  <c r="A3" i="53"/>
  <c r="Q19" i="71"/>
  <c r="P19" i="71"/>
  <c r="O19" i="71"/>
  <c r="Y17" i="71" s="1"/>
  <c r="Z17" i="71" s="1"/>
  <c r="N19"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H12" i="43"/>
  <c r="AG9" i="43"/>
  <c r="AG12" i="43" s="1"/>
  <c r="AF9" i="43"/>
  <c r="AF12" i="43" s="1"/>
  <c r="AE9" i="43"/>
  <c r="AE12" i="43"/>
  <c r="AD9" i="43"/>
  <c r="AD12" i="43" s="1"/>
  <c r="AC9" i="43"/>
  <c r="AC12" i="43" s="1"/>
  <c r="AB9" i="43"/>
  <c r="AB12" i="43"/>
  <c r="AA9" i="43"/>
  <c r="AA12" i="43" s="1"/>
  <c r="Z9" i="43"/>
  <c r="Z12" i="43" s="1"/>
  <c r="AC10" i="43"/>
  <c r="AE10" i="43"/>
  <c r="AI10" i="43"/>
  <c r="AB10" i="43"/>
  <c r="AD10" i="43"/>
  <c r="AF10" i="43"/>
  <c r="AH10" i="43"/>
  <c r="K49" i="9"/>
  <c r="E107" i="9"/>
  <c r="A122" i="9"/>
  <c r="A8" i="52" s="1"/>
  <c r="B54" i="72" s="1"/>
  <c r="E111" i="9"/>
  <c r="A126" i="9" s="1"/>
  <c r="E109" i="9"/>
  <c r="A124" i="9" s="1"/>
  <c r="B44" i="72"/>
  <c r="B42" i="72"/>
  <c r="B69" i="72"/>
  <c r="B68" i="72"/>
  <c r="B63" i="72"/>
  <c r="B62" i="72"/>
  <c r="B60" i="72"/>
  <c r="B67" i="72"/>
  <c r="B66" i="72"/>
  <c r="B10" i="72"/>
  <c r="C53" i="10"/>
  <c r="B51" i="10"/>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D77" i="71" s="1"/>
  <c r="B77" i="71"/>
  <c r="B76" i="71" s="1"/>
  <c r="B75" i="71" s="1"/>
  <c r="D74" i="71"/>
  <c r="Q73" i="71"/>
  <c r="P73" i="71"/>
  <c r="O73" i="71"/>
  <c r="N73" i="71"/>
  <c r="F73" i="71"/>
  <c r="V73" i="71" s="1"/>
  <c r="E73" i="71"/>
  <c r="U73" i="71" s="1"/>
  <c r="C73" i="71"/>
  <c r="C72" i="71" s="1"/>
  <c r="D72" i="71" s="1"/>
  <c r="T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c r="C69" i="71"/>
  <c r="T69" i="71" s="1"/>
  <c r="B69" i="71"/>
  <c r="S69" i="71" s="1"/>
  <c r="Q68" i="71"/>
  <c r="P68" i="71"/>
  <c r="O68" i="71"/>
  <c r="N68" i="71"/>
  <c r="F68" i="71"/>
  <c r="F67" i="71" s="1"/>
  <c r="Q67" i="71"/>
  <c r="P67" i="71"/>
  <c r="O67" i="71"/>
  <c r="N67" i="71"/>
  <c r="Q66" i="71"/>
  <c r="P66" i="71"/>
  <c r="O66" i="71"/>
  <c r="N66" i="71"/>
  <c r="D66" i="71"/>
  <c r="Q65" i="71"/>
  <c r="P65" i="71"/>
  <c r="O65" i="71"/>
  <c r="N65" i="71"/>
  <c r="F65" i="71"/>
  <c r="V65" i="71"/>
  <c r="E65" i="71"/>
  <c r="U65" i="71" s="1"/>
  <c r="C65" i="71"/>
  <c r="B65" i="71"/>
  <c r="S65" i="71"/>
  <c r="Q64" i="71"/>
  <c r="P64" i="71"/>
  <c r="O64" i="71"/>
  <c r="N64" i="71"/>
  <c r="F64" i="71"/>
  <c r="F63" i="71"/>
  <c r="B64" i="71"/>
  <c r="B63" i="71" s="1"/>
  <c r="Q63" i="71"/>
  <c r="P63" i="71"/>
  <c r="O63" i="71"/>
  <c r="N63" i="71"/>
  <c r="Q62" i="71"/>
  <c r="P62" i="71"/>
  <c r="O62" i="71"/>
  <c r="N62" i="71"/>
  <c r="D62" i="71"/>
  <c r="F61" i="71"/>
  <c r="Q61" i="71" s="1"/>
  <c r="E61" i="71"/>
  <c r="P61" i="71"/>
  <c r="C61" i="71"/>
  <c r="T61" i="71" s="1"/>
  <c r="B61" i="71"/>
  <c r="S61" i="71"/>
  <c r="B60" i="71"/>
  <c r="B59" i="71" s="1"/>
  <c r="N59" i="71" s="1"/>
  <c r="D58" i="71"/>
  <c r="Q57" i="71"/>
  <c r="P57" i="71"/>
  <c r="O57" i="71"/>
  <c r="N57" i="71"/>
  <c r="Q56" i="71"/>
  <c r="P56" i="71"/>
  <c r="O56" i="71"/>
  <c r="N56" i="71"/>
  <c r="Q55" i="71"/>
  <c r="P55" i="71"/>
  <c r="O55" i="71"/>
  <c r="N55" i="71"/>
  <c r="Q54" i="71"/>
  <c r="F55" i="71" s="1"/>
  <c r="F56" i="71" s="1"/>
  <c r="F57" i="71" s="1"/>
  <c r="V57" i="71" s="1"/>
  <c r="P54" i="71"/>
  <c r="E55" i="71"/>
  <c r="O54" i="71"/>
  <c r="C55" i="71" s="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c r="S53" i="71" s="1"/>
  <c r="D50" i="71"/>
  <c r="Q49" i="71"/>
  <c r="P49" i="71"/>
  <c r="O49" i="71"/>
  <c r="N49" i="71"/>
  <c r="Q48" i="71"/>
  <c r="P48" i="71"/>
  <c r="O48" i="71"/>
  <c r="N48" i="71"/>
  <c r="Q47" i="71"/>
  <c r="P47" i="71"/>
  <c r="O47" i="71"/>
  <c r="N47" i="71"/>
  <c r="C47" i="71"/>
  <c r="D47" i="71" s="1"/>
  <c r="Q46" i="71"/>
  <c r="F47" i="71" s="1"/>
  <c r="F48" i="71"/>
  <c r="F49" i="71" s="1"/>
  <c r="V49" i="71" s="1"/>
  <c r="P46" i="71"/>
  <c r="E47" i="71" s="1"/>
  <c r="O46" i="71"/>
  <c r="N46" i="71"/>
  <c r="B47" i="71" s="1"/>
  <c r="B48" i="71" s="1"/>
  <c r="B49" i="71" s="1"/>
  <c r="S49" i="71" s="1"/>
  <c r="D46" i="71"/>
  <c r="Q45" i="71"/>
  <c r="P45" i="71"/>
  <c r="O45" i="71"/>
  <c r="N45" i="71"/>
  <c r="Q44" i="71"/>
  <c r="P44" i="71"/>
  <c r="O44" i="71"/>
  <c r="N44" i="71"/>
  <c r="Q43" i="71"/>
  <c r="P43" i="71"/>
  <c r="O43" i="71"/>
  <c r="N43" i="71"/>
  <c r="Q42" i="71"/>
  <c r="F43" i="71" s="1"/>
  <c r="F44" i="71" s="1"/>
  <c r="F45" i="71" s="1"/>
  <c r="P42" i="71"/>
  <c r="E43" i="71"/>
  <c r="E44" i="71" s="1"/>
  <c r="E45" i="71" s="1"/>
  <c r="U45" i="71"/>
  <c r="O42" i="71"/>
  <c r="C43" i="71" s="1"/>
  <c r="N42" i="71"/>
  <c r="B43" i="71" s="1"/>
  <c r="B44" i="71" s="1"/>
  <c r="B45" i="71"/>
  <c r="S45" i="71" s="1"/>
  <c r="D42" i="71"/>
  <c r="T41" i="71"/>
  <c r="Q41" i="71"/>
  <c r="P41" i="71"/>
  <c r="O41" i="71"/>
  <c r="N41" i="71"/>
  <c r="D41" i="71"/>
  <c r="Q40" i="71"/>
  <c r="P40" i="71"/>
  <c r="O40" i="71"/>
  <c r="N40" i="71"/>
  <c r="Q39" i="71"/>
  <c r="P39" i="71"/>
  <c r="O39" i="71"/>
  <c r="N39" i="71"/>
  <c r="F40" i="71"/>
  <c r="F41" i="71" s="1"/>
  <c r="V41" i="71" s="1"/>
  <c r="Q38" i="71"/>
  <c r="F39" i="71" s="1"/>
  <c r="P38" i="71"/>
  <c r="E39" i="71" s="1"/>
  <c r="E40" i="71" s="1"/>
  <c r="E41" i="71" s="1"/>
  <c r="U41" i="71" s="1"/>
  <c r="O38" i="71"/>
  <c r="C39" i="71" s="1"/>
  <c r="D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c r="E37" i="71" s="1"/>
  <c r="U37" i="71" s="1"/>
  <c r="O34" i="71"/>
  <c r="C35" i="71" s="1"/>
  <c r="N34" i="71"/>
  <c r="B35" i="71"/>
  <c r="B36" i="71" s="1"/>
  <c r="B37" i="71" s="1"/>
  <c r="S37" i="71" s="1"/>
  <c r="D34" i="71"/>
  <c r="Q33" i="71"/>
  <c r="P33" i="71"/>
  <c r="O33" i="71"/>
  <c r="N33" i="71"/>
  <c r="AB32" i="71"/>
  <c r="Q32" i="71"/>
  <c r="P32" i="71"/>
  <c r="AA32" i="71"/>
  <c r="O32" i="71"/>
  <c r="Y32" i="71" s="1"/>
  <c r="Z32" i="71" s="1"/>
  <c r="N32" i="71"/>
  <c r="X32" i="71" s="1"/>
  <c r="Q31" i="71"/>
  <c r="P31" i="71"/>
  <c r="O31" i="71"/>
  <c r="Y31" i="71" s="1"/>
  <c r="Z31" i="71" s="1"/>
  <c r="N31" i="71"/>
  <c r="F31" i="71"/>
  <c r="F32" i="71" s="1"/>
  <c r="F33" i="71" s="1"/>
  <c r="V33" i="71" s="1"/>
  <c r="Q30" i="71"/>
  <c r="P30" i="71"/>
  <c r="E31" i="71" s="1"/>
  <c r="E32" i="71" s="1"/>
  <c r="E33" i="71" s="1"/>
  <c r="U33" i="71" s="1"/>
  <c r="O30" i="71"/>
  <c r="C31" i="71" s="1"/>
  <c r="N30" i="71"/>
  <c r="D30" i="71"/>
  <c r="Q29" i="71"/>
  <c r="AB29" i="71" s="1"/>
  <c r="P29" i="71"/>
  <c r="O29" i="71"/>
  <c r="Y29" i="71" s="1"/>
  <c r="Z29" i="71" s="1"/>
  <c r="N29" i="71"/>
  <c r="Q28" i="71"/>
  <c r="AB28" i="71"/>
  <c r="P28" i="71"/>
  <c r="O28" i="71"/>
  <c r="N28" i="71"/>
  <c r="Q27" i="71"/>
  <c r="P27" i="71"/>
  <c r="O27" i="71"/>
  <c r="Y27" i="71" s="1"/>
  <c r="Z27" i="71" s="1"/>
  <c r="N27" i="71"/>
  <c r="F27" i="71"/>
  <c r="Q26" i="71"/>
  <c r="P26" i="71"/>
  <c r="E27" i="71" s="1"/>
  <c r="E28" i="71" s="1"/>
  <c r="E29" i="71" s="1"/>
  <c r="U29" i="71" s="1"/>
  <c r="O26" i="71"/>
  <c r="C27" i="71" s="1"/>
  <c r="D27" i="71" s="1"/>
  <c r="N26" i="71"/>
  <c r="D26" i="71"/>
  <c r="Q25" i="71"/>
  <c r="P25" i="71"/>
  <c r="AA25" i="71" s="1"/>
  <c r="O25" i="71"/>
  <c r="Y25" i="71" s="1"/>
  <c r="Z25" i="71" s="1"/>
  <c r="N25" i="71"/>
  <c r="Q24" i="71"/>
  <c r="AB24" i="71"/>
  <c r="P24" i="71"/>
  <c r="O24" i="71"/>
  <c r="N24" i="71"/>
  <c r="Q23" i="71"/>
  <c r="P23" i="71"/>
  <c r="O23" i="71"/>
  <c r="Y23" i="71" s="1"/>
  <c r="Z23" i="71" s="1"/>
  <c r="N23" i="71"/>
  <c r="F23" i="71"/>
  <c r="F24" i="71" s="1"/>
  <c r="F25" i="71" s="1"/>
  <c r="V25" i="71" s="1"/>
  <c r="Q22" i="71"/>
  <c r="P22" i="71"/>
  <c r="O22" i="71"/>
  <c r="Y22" i="71" s="1"/>
  <c r="Z22" i="71" s="1"/>
  <c r="N22" i="71"/>
  <c r="D22" i="71"/>
  <c r="O21" i="71"/>
  <c r="Y21" i="71" s="1"/>
  <c r="Z21" i="71" s="1"/>
  <c r="N21" i="71"/>
  <c r="B23" i="71"/>
  <c r="B24" i="71" s="1"/>
  <c r="B25" i="71" s="1"/>
  <c r="S25" i="71" s="1"/>
  <c r="B27" i="71"/>
  <c r="B28" i="71" s="1"/>
  <c r="B29" i="71" s="1"/>
  <c r="S29" i="71" s="1"/>
  <c r="B31" i="71"/>
  <c r="B32" i="71" s="1"/>
  <c r="B33" i="71" s="1"/>
  <c r="S33" i="71" s="1"/>
  <c r="N61" i="71"/>
  <c r="AA26" i="71"/>
  <c r="C23" i="71"/>
  <c r="C24" i="71" s="1"/>
  <c r="AA23" i="71"/>
  <c r="C28" i="71"/>
  <c r="C29" i="71" s="1"/>
  <c r="Y26" i="71"/>
  <c r="Z26" i="71" s="1"/>
  <c r="X28" i="71"/>
  <c r="AA31" i="71"/>
  <c r="V45" i="71"/>
  <c r="C21" i="71"/>
  <c r="T21" i="71" s="1"/>
  <c r="Y20" i="71"/>
  <c r="Z20" i="71" s="1"/>
  <c r="B21" i="71"/>
  <c r="B20" i="71" s="1"/>
  <c r="B19" i="71"/>
  <c r="D23" i="71"/>
  <c r="C40" i="71"/>
  <c r="D40" i="71" s="1"/>
  <c r="P21" i="71"/>
  <c r="E48" i="71"/>
  <c r="E49" i="71" s="1"/>
  <c r="U49" i="71" s="1"/>
  <c r="E56" i="71"/>
  <c r="E57" i="71" s="1"/>
  <c r="U57" i="71" s="1"/>
  <c r="U61" i="71"/>
  <c r="E60" i="71"/>
  <c r="Q21" i="71"/>
  <c r="AB19" i="71" s="1"/>
  <c r="C48" i="71"/>
  <c r="D48" i="71" s="1"/>
  <c r="D55" i="71"/>
  <c r="N60" i="71"/>
  <c r="D61" i="71"/>
  <c r="C60" i="71"/>
  <c r="O60" i="71" s="1"/>
  <c r="E64" i="71"/>
  <c r="E63" i="71" s="1"/>
  <c r="D65" i="71"/>
  <c r="C68" i="71"/>
  <c r="D68" i="71" s="1"/>
  <c r="E68" i="71"/>
  <c r="E67" i="71"/>
  <c r="E72" i="71"/>
  <c r="E71" i="71" s="1"/>
  <c r="D73" i="71"/>
  <c r="C76" i="71"/>
  <c r="C80" i="71"/>
  <c r="D80" i="71" s="1"/>
  <c r="C20" i="71"/>
  <c r="S21" i="71"/>
  <c r="E21" i="71"/>
  <c r="E20" i="71" s="1"/>
  <c r="E19" i="71" s="1"/>
  <c r="AA3" i="71"/>
  <c r="C59" i="71"/>
  <c r="O59" i="71" s="1"/>
  <c r="D76" i="71"/>
  <c r="C75" i="71"/>
  <c r="D75" i="71" s="1"/>
  <c r="N58" i="71"/>
  <c r="C79" i="71"/>
  <c r="D79" i="71" s="1"/>
  <c r="C71" i="71"/>
  <c r="D71" i="71" s="1"/>
  <c r="C49" i="71"/>
  <c r="T49" i="71" s="1"/>
  <c r="P60" i="71"/>
  <c r="E59" i="71"/>
  <c r="P59" i="71" s="1"/>
  <c r="D28" i="71"/>
  <c r="V21" i="71"/>
  <c r="P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25" i="40"/>
  <c r="AA25" i="40" s="1"/>
  <c r="Q29" i="39"/>
  <c r="Z29" i="39" s="1"/>
  <c r="D103" i="39"/>
  <c r="E103" i="39" s="1"/>
  <c r="F103" i="39" s="1"/>
  <c r="G103" i="39" s="1"/>
  <c r="F29" i="39"/>
  <c r="AA29" i="39" s="1"/>
  <c r="Q18" i="36"/>
  <c r="Z18" i="36" s="1"/>
  <c r="D66" i="36"/>
  <c r="E66" i="36"/>
  <c r="F66" i="36" s="1"/>
  <c r="G66" i="36" s="1"/>
  <c r="H18" i="36"/>
  <c r="U18" i="36" s="1"/>
  <c r="AB18" i="36"/>
  <c r="F18" i="36"/>
  <c r="AA18" i="36" s="1"/>
  <c r="C18" i="36"/>
  <c r="Q18" i="35"/>
  <c r="Z18" i="35" s="1"/>
  <c r="D68" i="35"/>
  <c r="E68" i="35" s="1"/>
  <c r="F68" i="35" s="1"/>
  <c r="G68" i="35" s="1"/>
  <c r="F18" i="35"/>
  <c r="S18" i="35" s="1"/>
  <c r="AA18" i="35"/>
  <c r="C18" i="35"/>
  <c r="Q21" i="37"/>
  <c r="Z21" i="37" s="1"/>
  <c r="D77" i="37"/>
  <c r="E77" i="37"/>
  <c r="C21" i="37"/>
  <c r="Q21" i="34"/>
  <c r="Z21" i="34" s="1"/>
  <c r="D84" i="34"/>
  <c r="E84" i="34" s="1"/>
  <c r="F84" i="34" s="1"/>
  <c r="G84" i="34" s="1"/>
  <c r="F21" i="34"/>
  <c r="AA21" i="34"/>
  <c r="C21" i="34"/>
  <c r="Q21" i="33"/>
  <c r="Z21" i="33" s="1"/>
  <c r="D83" i="33"/>
  <c r="E83" i="33"/>
  <c r="C21" i="33"/>
  <c r="C21" i="21"/>
  <c r="Q21" i="21"/>
  <c r="Z21" i="21"/>
  <c r="H19" i="21"/>
  <c r="D83" i="21"/>
  <c r="F21" i="21"/>
  <c r="D81" i="21"/>
  <c r="G20" i="20"/>
  <c r="C25" i="40" s="1"/>
  <c r="C22" i="20"/>
  <c r="B75" i="43"/>
  <c r="C29" i="39"/>
  <c r="S25" i="40"/>
  <c r="S18" i="36"/>
  <c r="S21" i="34"/>
  <c r="F94" i="40"/>
  <c r="G94" i="40" s="1"/>
  <c r="H25" i="40"/>
  <c r="U25" i="40" s="1"/>
  <c r="J25" i="40"/>
  <c r="W25" i="40" s="1"/>
  <c r="H29" i="39"/>
  <c r="AB29" i="39" s="1"/>
  <c r="J29" i="39"/>
  <c r="AC29" i="39" s="1"/>
  <c r="J18" i="36"/>
  <c r="AC18" i="36" s="1"/>
  <c r="H18" i="35"/>
  <c r="AB18" i="35" s="1"/>
  <c r="J18" i="35"/>
  <c r="AC18" i="35" s="1"/>
  <c r="F77" i="37"/>
  <c r="H21" i="37"/>
  <c r="AB21" i="37" s="1"/>
  <c r="F21" i="37"/>
  <c r="AA21" i="37" s="1"/>
  <c r="H21" i="34"/>
  <c r="AB21" i="34" s="1"/>
  <c r="F83" i="33"/>
  <c r="H21" i="33"/>
  <c r="AB21" i="33" s="1"/>
  <c r="F21" i="33"/>
  <c r="S21" i="33" s="1"/>
  <c r="E83" i="21"/>
  <c r="H1" i="69"/>
  <c r="AC25" i="40"/>
  <c r="AB25" i="40"/>
  <c r="W18" i="36"/>
  <c r="U21" i="37"/>
  <c r="S21" i="37"/>
  <c r="U21" i="33"/>
  <c r="AA21" i="33"/>
  <c r="W18" i="35"/>
  <c r="G77" i="37"/>
  <c r="J21" i="37"/>
  <c r="AC21" i="37" s="1"/>
  <c r="J21" i="34"/>
  <c r="W21" i="34" s="1"/>
  <c r="G83" i="33"/>
  <c r="J21" i="33"/>
  <c r="W21" i="33" s="1"/>
  <c r="F83" i="21"/>
  <c r="H21" i="21"/>
  <c r="F38" i="69"/>
  <c r="E37" i="69"/>
  <c r="F36" i="69"/>
  <c r="F35" i="69"/>
  <c r="F21" i="69"/>
  <c r="F40" i="69" s="1"/>
  <c r="F20" i="69"/>
  <c r="F39" i="69" s="1"/>
  <c r="E10" i="69"/>
  <c r="E9" i="69"/>
  <c r="C7" i="69"/>
  <c r="AC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5" i="66" s="1"/>
  <c r="I12" i="66"/>
  <c r="I9" i="66"/>
  <c r="I8" i="66"/>
  <c r="I7" i="66"/>
  <c r="I6" i="66"/>
  <c r="I10" i="66" s="1"/>
  <c r="I21" i="66" s="1"/>
  <c r="I5" i="66"/>
  <c r="I4" i="66"/>
  <c r="I3" i="66"/>
  <c r="D1" i="43"/>
  <c r="F113" i="43"/>
  <c r="N99" i="43"/>
  <c r="N108" i="43" s="1"/>
  <c r="D99" i="43"/>
  <c r="D100"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c r="D77" i="43"/>
  <c r="M76" i="43"/>
  <c r="N76" i="43" s="1"/>
  <c r="K76" i="43"/>
  <c r="J76" i="43" s="1"/>
  <c r="D76" i="43"/>
  <c r="M75" i="43"/>
  <c r="N75" i="43" s="1"/>
  <c r="K75" i="43"/>
  <c r="J75" i="43"/>
  <c r="D75" i="43"/>
  <c r="M74" i="43"/>
  <c r="N74" i="43"/>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s="1"/>
  <c r="M65" i="43"/>
  <c r="N65" i="43"/>
  <c r="K65" i="43"/>
  <c r="J65" i="43"/>
  <c r="M64" i="43"/>
  <c r="N64" i="43" s="1"/>
  <c r="K64" i="43"/>
  <c r="J64" i="43"/>
  <c r="M63" i="43"/>
  <c r="N63" i="43"/>
  <c r="K63" i="43"/>
  <c r="J63" i="43" s="1"/>
  <c r="M62" i="43"/>
  <c r="N62" i="43"/>
  <c r="K62" i="43"/>
  <c r="J62" i="43"/>
  <c r="M61" i="43"/>
  <c r="N61" i="43" s="1"/>
  <c r="K61" i="43"/>
  <c r="J61" i="43"/>
  <c r="M60" i="43"/>
  <c r="N60" i="43"/>
  <c r="K60" i="43"/>
  <c r="J60" i="43" s="1"/>
  <c r="M59" i="43"/>
  <c r="N59" i="43"/>
  <c r="K59" i="43"/>
  <c r="J59" i="43"/>
  <c r="M56" i="43"/>
  <c r="N56" i="43" s="1"/>
  <c r="K56" i="43"/>
  <c r="J56" i="43"/>
  <c r="D56" i="43"/>
  <c r="M55" i="43"/>
  <c r="N55" i="43"/>
  <c r="K55" i="43"/>
  <c r="J55" i="43" s="1"/>
  <c r="D55" i="43"/>
  <c r="M54" i="43"/>
  <c r="N54" i="43"/>
  <c r="K54" i="43"/>
  <c r="J54" i="43" s="1"/>
  <c r="D54" i="43"/>
  <c r="M53" i="43"/>
  <c r="N53" i="43" s="1"/>
  <c r="K53" i="43"/>
  <c r="J53" i="43"/>
  <c r="D53" i="43"/>
  <c r="M52" i="43"/>
  <c r="N52" i="43"/>
  <c r="K52" i="43"/>
  <c r="J52" i="43"/>
  <c r="D52" i="43"/>
  <c r="M51" i="43"/>
  <c r="N51" i="43" s="1"/>
  <c r="K51" i="43"/>
  <c r="J51" i="43" s="1"/>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c r="I12" i="31" s="1"/>
  <c r="J12" i="31" s="1"/>
  <c r="K12" i="31" s="1"/>
  <c r="L12" i="31" s="1"/>
  <c r="M12" i="31" s="1"/>
  <c r="N12" i="3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c r="I6" i="31" s="1"/>
  <c r="J6" i="31" s="1"/>
  <c r="K6" i="31" s="1"/>
  <c r="L6" i="31" s="1"/>
  <c r="M6" i="31" s="1"/>
  <c r="N6" i="31"/>
  <c r="O6" i="31" s="1"/>
  <c r="P6" i="31" s="1"/>
  <c r="Q6" i="31" s="1"/>
  <c r="R6" i="31" s="1"/>
  <c r="S6" i="31" s="1"/>
  <c r="B2" i="1"/>
  <c r="F15" i="4"/>
  <c r="F6" i="1" s="1"/>
  <c r="G6" i="1" s="1"/>
  <c r="F8" i="1"/>
  <c r="F9" i="1"/>
  <c r="F10" i="1"/>
  <c r="F11" i="1"/>
  <c r="F12" i="1"/>
  <c r="F13" i="1"/>
  <c r="G13" i="1" s="1"/>
  <c r="D6" i="1"/>
  <c r="D9" i="1"/>
  <c r="D10" i="1"/>
  <c r="D11" i="1"/>
  <c r="D12" i="1"/>
  <c r="D13" i="1"/>
  <c r="D7" i="1"/>
  <c r="D8" i="1"/>
  <c r="A7" i="1"/>
  <c r="A8" i="1"/>
  <c r="B8" i="1"/>
  <c r="E8" i="1" s="1"/>
  <c r="A9" i="1"/>
  <c r="A10" i="1"/>
  <c r="A11" i="1"/>
  <c r="A12" i="1"/>
  <c r="A13" i="1"/>
  <c r="A6" i="1"/>
  <c r="F3" i="35" s="1"/>
  <c r="B11" i="1"/>
  <c r="E11" i="1" s="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A112" i="3" s="1"/>
  <c r="AZ112" i="3" s="1"/>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L110" i="3" s="1"/>
  <c r="BP110" i="3"/>
  <c r="BO110" i="3"/>
  <c r="BN110" i="3"/>
  <c r="BM110" i="3"/>
  <c r="BK110" i="3"/>
  <c r="BJ110" i="3"/>
  <c r="BI110" i="3"/>
  <c r="BH110" i="3"/>
  <c r="BG110" i="3"/>
  <c r="BF110" i="3"/>
  <c r="BE110" i="3"/>
  <c r="BA110" i="3" s="1"/>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L105" i="3" s="1"/>
  <c r="BP105" i="3"/>
  <c r="BO105" i="3"/>
  <c r="BN105" i="3"/>
  <c r="BM105" i="3"/>
  <c r="BK105" i="3"/>
  <c r="BJ105" i="3"/>
  <c r="BI105" i="3"/>
  <c r="BH105" i="3"/>
  <c r="BG105" i="3"/>
  <c r="BF105" i="3"/>
  <c r="BE105" i="3"/>
  <c r="BA105" i="3" s="1"/>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G101" i="3" s="1"/>
  <c r="H101" i="3"/>
  <c r="BT100" i="3"/>
  <c r="BS100" i="3"/>
  <c r="BR100" i="3"/>
  <c r="BQ100" i="3"/>
  <c r="BL100" i="3" s="1"/>
  <c r="BP100" i="3"/>
  <c r="BO100" i="3"/>
  <c r="BN100" i="3"/>
  <c r="BM100" i="3"/>
  <c r="BK100" i="3"/>
  <c r="BJ100" i="3"/>
  <c r="BI100" i="3"/>
  <c r="BH100" i="3"/>
  <c r="BG100" i="3"/>
  <c r="BF100" i="3"/>
  <c r="BE100" i="3"/>
  <c r="BA100" i="3" s="1"/>
  <c r="AZ100" i="3" s="1"/>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L96" i="3" s="1"/>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A93" i="3" s="1"/>
  <c r="BE93" i="3"/>
  <c r="BD93" i="3"/>
  <c r="BC93" i="3"/>
  <c r="BB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L91" i="3" s="1"/>
  <c r="AZ91" i="3" s="1"/>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L89" i="3" s="1"/>
  <c r="BP89" i="3"/>
  <c r="BO89" i="3"/>
  <c r="BN89" i="3"/>
  <c r="BM89" i="3"/>
  <c r="BK89" i="3"/>
  <c r="BJ89" i="3"/>
  <c r="BI89" i="3"/>
  <c r="BH89" i="3"/>
  <c r="BG89" i="3"/>
  <c r="BF89" i="3"/>
  <c r="BE89" i="3"/>
  <c r="BA89" i="3" s="1"/>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A86" i="3" s="1"/>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A83" i="3" s="1"/>
  <c r="BE83" i="3"/>
  <c r="BD83" i="3"/>
  <c r="BC83" i="3"/>
  <c r="BB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L81" i="3" s="1"/>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L68" i="3" s="1"/>
  <c r="BK68" i="3"/>
  <c r="BJ68" i="3"/>
  <c r="BI68" i="3"/>
  <c r="BH68" i="3"/>
  <c r="BG68" i="3"/>
  <c r="BF68" i="3"/>
  <c r="BE68" i="3"/>
  <c r="BA68" i="3" s="1"/>
  <c r="BD68" i="3"/>
  <c r="BC68" i="3"/>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BT66" i="3"/>
  <c r="BS66" i="3"/>
  <c r="BR66" i="3"/>
  <c r="BQ66" i="3"/>
  <c r="BP66" i="3"/>
  <c r="BL66" i="3" s="1"/>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AX55" i="3"/>
  <c r="AW55" i="3"/>
  <c r="AV55" i="3"/>
  <c r="AC55" i="3"/>
  <c r="H55" i="3"/>
  <c r="BT54" i="3"/>
  <c r="BS54" i="3"/>
  <c r="BR54" i="3"/>
  <c r="BQ54" i="3"/>
  <c r="BP54" i="3"/>
  <c r="BL54" i="3" s="1"/>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L49" i="3" s="1"/>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A48" i="3" s="1"/>
  <c r="BD48" i="3"/>
  <c r="BC48" i="3"/>
  <c r="BB48" i="3"/>
  <c r="AX48" i="3"/>
  <c r="AW48" i="3"/>
  <c r="AV48" i="3"/>
  <c r="AC48" i="3"/>
  <c r="H48" i="3"/>
  <c r="BT47" i="3"/>
  <c r="BS47" i="3"/>
  <c r="BR47" i="3"/>
  <c r="BQ47" i="3"/>
  <c r="BL47" i="3" s="1"/>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c r="BT43" i="3"/>
  <c r="BS43" i="3"/>
  <c r="BR43" i="3"/>
  <c r="BQ43" i="3"/>
  <c r="BP43" i="3"/>
  <c r="BO43" i="3"/>
  <c r="BN43" i="3"/>
  <c r="BM43" i="3"/>
  <c r="BL43" i="3"/>
  <c r="BK43" i="3"/>
  <c r="BJ43" i="3"/>
  <c r="BI43" i="3"/>
  <c r="BH43" i="3"/>
  <c r="BG43" i="3"/>
  <c r="BF43" i="3"/>
  <c r="BA43" i="3" s="1"/>
  <c r="BE43" i="3"/>
  <c r="BD43" i="3"/>
  <c r="BC43" i="3"/>
  <c r="BB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L34" i="3"/>
  <c r="BK34" i="3"/>
  <c r="BJ34" i="3"/>
  <c r="BI34" i="3"/>
  <c r="BH34" i="3"/>
  <c r="BG34" i="3"/>
  <c r="BF34" i="3"/>
  <c r="BA34" i="3" s="1"/>
  <c r="BE34" i="3"/>
  <c r="BD34" i="3"/>
  <c r="BC34" i="3"/>
  <c r="BB34" i="3"/>
  <c r="AZ34" i="3"/>
  <c r="AX34" i="3"/>
  <c r="AW34" i="3"/>
  <c r="AV34" i="3"/>
  <c r="AC34" i="3"/>
  <c r="H34" i="3"/>
  <c r="G34" i="3"/>
  <c r="BT33" i="3"/>
  <c r="BS33" i="3"/>
  <c r="BR33" i="3"/>
  <c r="BQ33" i="3"/>
  <c r="BP33" i="3"/>
  <c r="BO33" i="3"/>
  <c r="BL33" i="3" s="1"/>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A32" i="3" s="1"/>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L27" i="3" s="1"/>
  <c r="BO27" i="3"/>
  <c r="BN27" i="3"/>
  <c r="BM27" i="3"/>
  <c r="BK27" i="3"/>
  <c r="BJ27" i="3"/>
  <c r="BI27" i="3"/>
  <c r="BH27" i="3"/>
  <c r="BG27" i="3"/>
  <c r="BF27" i="3"/>
  <c r="BE27" i="3"/>
  <c r="BD27" i="3"/>
  <c r="BA27" i="3" s="1"/>
  <c r="AZ27" i="3" s="1"/>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L25" i="3" s="1"/>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K22" i="3"/>
  <c r="BJ22" i="3"/>
  <c r="BI22" i="3"/>
  <c r="BH22" i="3"/>
  <c r="BG22" i="3"/>
  <c r="BF22" i="3"/>
  <c r="BE22" i="3"/>
  <c r="BA22" i="3" s="1"/>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L20" i="3" s="1"/>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L205" i="3" s="1"/>
  <c r="BO205" i="3"/>
  <c r="BN205" i="3"/>
  <c r="BM205" i="3"/>
  <c r="BK205" i="3"/>
  <c r="BJ205" i="3"/>
  <c r="BI205" i="3"/>
  <c r="BH205" i="3"/>
  <c r="BG205" i="3"/>
  <c r="BF205" i="3"/>
  <c r="BE205" i="3"/>
  <c r="BD205" i="3"/>
  <c r="BA205" i="3" s="1"/>
  <c r="AZ205" i="3" s="1"/>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s="1"/>
  <c r="BK197" i="3"/>
  <c r="BJ197" i="3"/>
  <c r="BI197" i="3"/>
  <c r="BH197" i="3"/>
  <c r="BG197" i="3"/>
  <c r="BF197" i="3"/>
  <c r="BE197" i="3"/>
  <c r="BA197" i="3" s="1"/>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A196" i="3" s="1"/>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L193" i="3" s="1"/>
  <c r="BO193" i="3"/>
  <c r="BN193" i="3"/>
  <c r="BM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L189" i="3" s="1"/>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A170" i="3" s="1"/>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A162" i="3" s="1"/>
  <c r="BC162" i="3"/>
  <c r="BB162" i="3"/>
  <c r="AX162" i="3"/>
  <c r="AW162" i="3"/>
  <c r="AV162" i="3"/>
  <c r="AC162" i="3"/>
  <c r="H162" i="3"/>
  <c r="G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A149" i="3" s="1"/>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A148" i="3" s="1"/>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s="1"/>
  <c r="AZ122" i="3" s="1"/>
  <c r="BN122" i="3"/>
  <c r="BM122" i="3"/>
  <c r="BK122" i="3"/>
  <c r="BJ122" i="3"/>
  <c r="BI122" i="3"/>
  <c r="BH122" i="3"/>
  <c r="BG122" i="3"/>
  <c r="BF122" i="3"/>
  <c r="BE122" i="3"/>
  <c r="BD122" i="3"/>
  <c r="BC122" i="3"/>
  <c r="BA122" i="3" s="1"/>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L114" i="3" s="1"/>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F292" i="3"/>
  <c r="BE292" i="3"/>
  <c r="BA292" i="3" s="1"/>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L270" i="3" s="1"/>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L265" i="3" s="1"/>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L260" i="3" s="1"/>
  <c r="BO260" i="3"/>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A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L354" i="3" s="1"/>
  <c r="BO354" i="3"/>
  <c r="BN354" i="3"/>
  <c r="BM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A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L330" i="3" s="1"/>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L328" i="3" s="1"/>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L314" i="3" s="1"/>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L312" i="3" s="1"/>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A303" i="3" s="1"/>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A490" i="3" s="1"/>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L488" i="3" s="1"/>
  <c r="BP488" i="3"/>
  <c r="BO488" i="3"/>
  <c r="BN488" i="3"/>
  <c r="BM488" i="3"/>
  <c r="BK488" i="3"/>
  <c r="BJ488" i="3"/>
  <c r="BI488" i="3"/>
  <c r="BH488" i="3"/>
  <c r="BG488" i="3"/>
  <c r="BF488" i="3"/>
  <c r="BE488" i="3"/>
  <c r="BD488" i="3"/>
  <c r="BA488" i="3" s="1"/>
  <c r="AZ488" i="3" s="1"/>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L482" i="3" s="1"/>
  <c r="BO482" i="3"/>
  <c r="BN482" i="3"/>
  <c r="BM482" i="3"/>
  <c r="BK482" i="3"/>
  <c r="BJ482" i="3"/>
  <c r="BI482" i="3"/>
  <c r="BH482" i="3"/>
  <c r="BG482" i="3"/>
  <c r="BF482" i="3"/>
  <c r="BE482" i="3"/>
  <c r="BD482" i="3"/>
  <c r="BA482" i="3" s="1"/>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A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A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s="1"/>
  <c r="C60" i="40" s="1"/>
  <c r="H59" i="40"/>
  <c r="I59" i="40"/>
  <c r="C59" i="40"/>
  <c r="H58" i="40"/>
  <c r="I58" i="40" s="1"/>
  <c r="C58" i="40"/>
  <c r="H57" i="40"/>
  <c r="I57" i="40"/>
  <c r="C57" i="40" s="1"/>
  <c r="H56" i="40"/>
  <c r="I56" i="40" s="1"/>
  <c r="C56" i="40" s="1"/>
  <c r="H55" i="40"/>
  <c r="I55" i="40"/>
  <c r="C55" i="40" s="1"/>
  <c r="H54" i="40"/>
  <c r="I54" i="40" s="1"/>
  <c r="C54" i="40"/>
  <c r="H53" i="40"/>
  <c r="I53" i="40"/>
  <c r="C53" i="40" s="1"/>
  <c r="H52" i="40"/>
  <c r="I52" i="40" s="1"/>
  <c r="C52" i="40" s="1"/>
  <c r="H65" i="39"/>
  <c r="I65" i="39"/>
  <c r="C65" i="39"/>
  <c r="H64" i="39"/>
  <c r="I64" i="39" s="1"/>
  <c r="C64" i="39" s="1"/>
  <c r="H60" i="39"/>
  <c r="I60" i="39"/>
  <c r="C60" i="39" s="1"/>
  <c r="H59" i="39"/>
  <c r="I59" i="39" s="1"/>
  <c r="C59" i="39" s="1"/>
  <c r="H58" i="39"/>
  <c r="I58" i="39"/>
  <c r="C58" i="39"/>
  <c r="H57" i="39"/>
  <c r="I57" i="39" s="1"/>
  <c r="C57" i="39"/>
  <c r="H61" i="39"/>
  <c r="I61" i="39"/>
  <c r="C61" i="39" s="1"/>
  <c r="H63" i="39"/>
  <c r="I63" i="39" s="1"/>
  <c r="C63" i="39" s="1"/>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AC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s="1"/>
  <c r="H76" i="40" s="1"/>
  <c r="I76" i="40" s="1"/>
  <c r="J76" i="40" s="1"/>
  <c r="K76" i="40" s="1"/>
  <c r="L76" i="40" s="1"/>
  <c r="M76" i="40" s="1"/>
  <c r="B120" i="40"/>
  <c r="F40" i="40" s="1"/>
  <c r="AA40" i="40" s="1"/>
  <c r="B118" i="40"/>
  <c r="J39" i="40" s="1"/>
  <c r="B116" i="40"/>
  <c r="F38" i="40"/>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Q39" i="40"/>
  <c r="Z39" i="40" s="1"/>
  <c r="Q38" i="40"/>
  <c r="Z38" i="40"/>
  <c r="J38" i="40"/>
  <c r="AC38" i="40" s="1"/>
  <c r="H38" i="40"/>
  <c r="AB38" i="40"/>
  <c r="Q37" i="40"/>
  <c r="Z37" i="40"/>
  <c r="Q36" i="40"/>
  <c r="Z36" i="40" s="1"/>
  <c r="Q35" i="40"/>
  <c r="Z35" i="40"/>
  <c r="Q34" i="40"/>
  <c r="Z34" i="40"/>
  <c r="J34" i="40"/>
  <c r="AC34" i="40" s="1"/>
  <c r="H34" i="40"/>
  <c r="AB34" i="40"/>
  <c r="F34" i="40"/>
  <c r="AA34" i="40"/>
  <c r="Q33" i="40"/>
  <c r="Z33" i="40" s="1"/>
  <c r="Q32" i="40"/>
  <c r="Z32" i="40"/>
  <c r="Q31" i="40"/>
  <c r="Z31" i="40"/>
  <c r="Q30" i="40"/>
  <c r="Z30" i="40" s="1"/>
  <c r="Q28" i="40"/>
  <c r="Z28" i="40"/>
  <c r="Q27" i="40"/>
  <c r="Z27" i="40"/>
  <c r="Q23" i="40"/>
  <c r="Z23" i="40" s="1"/>
  <c r="Q21" i="40"/>
  <c r="Z21" i="40"/>
  <c r="Q19" i="40"/>
  <c r="Z19" i="40"/>
  <c r="Q17" i="40"/>
  <c r="Z17" i="40" s="1"/>
  <c r="Q15" i="40"/>
  <c r="Z15" i="40"/>
  <c r="Q14" i="40"/>
  <c r="Z14" i="40"/>
  <c r="Q13" i="40"/>
  <c r="Z13" i="40" s="1"/>
  <c r="Q12" i="40"/>
  <c r="Z12" i="40"/>
  <c r="Q11" i="40"/>
  <c r="Z11" i="40"/>
  <c r="Q10" i="40"/>
  <c r="Z10" i="40" s="1"/>
  <c r="Q9" i="40"/>
  <c r="Z9" i="40"/>
  <c r="J9" i="40"/>
  <c r="W9" i="40"/>
  <c r="H9" i="40"/>
  <c r="AB9" i="40" s="1"/>
  <c r="F9" i="40"/>
  <c r="S9" i="40"/>
  <c r="J8" i="40"/>
  <c r="AC8" i="40"/>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s="1"/>
  <c r="Q42" i="39"/>
  <c r="Z42" i="39"/>
  <c r="Q43" i="39"/>
  <c r="Z43" i="39" s="1"/>
  <c r="Q44" i="39"/>
  <c r="Z44" i="39" s="1"/>
  <c r="Q45" i="39"/>
  <c r="Z45" i="39" s="1"/>
  <c r="Q38" i="39"/>
  <c r="Z38" i="39"/>
  <c r="Q36" i="39"/>
  <c r="Z36" i="39" s="1"/>
  <c r="Q37" i="39"/>
  <c r="Z37" i="39"/>
  <c r="B131" i="39"/>
  <c r="H45"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c r="Q23" i="39"/>
  <c r="Z23" i="39"/>
  <c r="Q21" i="39"/>
  <c r="Z21" i="39" s="1"/>
  <c r="Q19" i="39"/>
  <c r="Z19" i="39"/>
  <c r="Q17" i="39"/>
  <c r="Z17" i="39"/>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s="1"/>
  <c r="Q36" i="37"/>
  <c r="Z36" i="37"/>
  <c r="Q35" i="37"/>
  <c r="Z35" i="37"/>
  <c r="Q34" i="37"/>
  <c r="Z34" i="37" s="1"/>
  <c r="Q33" i="37"/>
  <c r="Z33" i="37"/>
  <c r="Q32" i="37"/>
  <c r="Z32" i="37"/>
  <c r="Q31" i="37"/>
  <c r="Z31" i="37" s="1"/>
  <c r="J31" i="37"/>
  <c r="AC31" i="37"/>
  <c r="Q30" i="37"/>
  <c r="Z30" i="37"/>
  <c r="J30" i="37"/>
  <c r="AC30" i="37" s="1"/>
  <c r="H30" i="37"/>
  <c r="AB30" i="37"/>
  <c r="F30" i="37"/>
  <c r="AA30" i="37"/>
  <c r="Q29" i="37"/>
  <c r="Z29" i="37" s="1"/>
  <c r="H29" i="37"/>
  <c r="AB29" i="37"/>
  <c r="Q28" i="37"/>
  <c r="Z28" i="37"/>
  <c r="Q27" i="37"/>
  <c r="Z27" i="37" s="1"/>
  <c r="Q26" i="37"/>
  <c r="Z26" i="37"/>
  <c r="J26" i="37"/>
  <c r="AC26" i="37"/>
  <c r="H26" i="37"/>
  <c r="AB26" i="37" s="1"/>
  <c r="F26" i="37"/>
  <c r="AA26" i="37"/>
  <c r="Q25" i="37"/>
  <c r="Z25" i="37"/>
  <c r="J25" i="37"/>
  <c r="AC25" i="37" s="1"/>
  <c r="F25" i="37"/>
  <c r="AA25" i="37"/>
  <c r="Q23" i="37"/>
  <c r="Z23" i="37"/>
  <c r="Q19" i="37"/>
  <c r="Z19" i="37" s="1"/>
  <c r="Q17" i="37"/>
  <c r="Z17" i="37"/>
  <c r="Q15" i="37"/>
  <c r="Z15" i="37"/>
  <c r="Q14" i="37"/>
  <c r="Z14" i="37" s="1"/>
  <c r="Q13" i="37"/>
  <c r="Z13" i="37"/>
  <c r="Q12" i="37"/>
  <c r="Z12" i="37"/>
  <c r="Q11" i="37"/>
  <c r="Z11" i="37" s="1"/>
  <c r="Q10" i="37"/>
  <c r="Z10" i="37"/>
  <c r="F10" i="37"/>
  <c r="AA10" i="37" s="1"/>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c r="I78" i="36" s="1"/>
  <c r="J78" i="36" s="1"/>
  <c r="K78" i="36" s="1"/>
  <c r="L78" i="36" s="1"/>
  <c r="M78" i="36" s="1"/>
  <c r="B75" i="36"/>
  <c r="B73" i="36"/>
  <c r="J24" i="36" s="1"/>
  <c r="AC24" i="36"/>
  <c r="B71" i="36"/>
  <c r="J23" i="36" s="1"/>
  <c r="D70" i="36"/>
  <c r="H22" i="36"/>
  <c r="AB22" i="36" s="1"/>
  <c r="D68" i="36"/>
  <c r="E68" i="36"/>
  <c r="F68" i="36" s="1"/>
  <c r="G68" i="36" s="1"/>
  <c r="D64" i="36"/>
  <c r="E64" i="36" s="1"/>
  <c r="F64" i="36" s="1"/>
  <c r="G64" i="36"/>
  <c r="J16" i="36"/>
  <c r="W16" i="36" s="1"/>
  <c r="D62" i="36"/>
  <c r="E62" i="36" s="1"/>
  <c r="F62" i="36" s="1"/>
  <c r="G62" i="36" s="1"/>
  <c r="B59" i="36"/>
  <c r="B57" i="36"/>
  <c r="J12" i="36"/>
  <c r="B55" i="36"/>
  <c r="F54" i="36"/>
  <c r="G54" i="36"/>
  <c r="H54" i="36" s="1"/>
  <c r="I54" i="36" s="1"/>
  <c r="C51" i="36"/>
  <c r="J9" i="36" s="1"/>
  <c r="AC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c r="H26" i="36"/>
  <c r="AB26" i="36" s="1"/>
  <c r="Q25" i="36"/>
  <c r="Z25" i="36" s="1"/>
  <c r="Q24" i="36"/>
  <c r="Z24" i="36"/>
  <c r="H24" i="36"/>
  <c r="AB24" i="36" s="1"/>
  <c r="Q23" i="36"/>
  <c r="Z23" i="36" s="1"/>
  <c r="AC23" i="36"/>
  <c r="H23" i="36"/>
  <c r="AB23" i="36" s="1"/>
  <c r="F23" i="36"/>
  <c r="AA23" i="36" s="1"/>
  <c r="Q22" i="36"/>
  <c r="Z22" i="36"/>
  <c r="J22" i="36"/>
  <c r="AC22" i="36" s="1"/>
  <c r="Q20" i="36"/>
  <c r="Z20" i="36" s="1"/>
  <c r="Q16" i="36"/>
  <c r="Z16" i="36"/>
  <c r="Q14" i="36"/>
  <c r="Z14" i="36" s="1"/>
  <c r="Q13" i="36"/>
  <c r="Z13" i="36" s="1"/>
  <c r="Q12" i="36"/>
  <c r="Z12" i="36"/>
  <c r="H12" i="36"/>
  <c r="U12" i="36" s="1"/>
  <c r="Q11" i="36"/>
  <c r="Z11" i="36" s="1"/>
  <c r="Q10" i="36"/>
  <c r="Z10" i="36"/>
  <c r="F10" i="36"/>
  <c r="AA10" i="36" s="1"/>
  <c r="Q9" i="36"/>
  <c r="Z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c r="AC24" i="35" s="1"/>
  <c r="B73" i="35"/>
  <c r="H23" i="35"/>
  <c r="U23" i="35" s="1"/>
  <c r="B57" i="35"/>
  <c r="B61" i="35"/>
  <c r="B59" i="35"/>
  <c r="J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c r="F94" i="35" s="1"/>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c r="G66" i="35" s="1"/>
  <c r="D64" i="35"/>
  <c r="E64" i="35"/>
  <c r="F64" i="35" s="1"/>
  <c r="G64" i="35" s="1"/>
  <c r="J14" i="35"/>
  <c r="W14" i="35" s="1"/>
  <c r="F56" i="35"/>
  <c r="G56" i="35"/>
  <c r="H56" i="35" s="1"/>
  <c r="I56" i="35" s="1"/>
  <c r="C53" i="35"/>
  <c r="J9" i="35"/>
  <c r="P39" i="35"/>
  <c r="P38" i="35"/>
  <c r="V37" i="35"/>
  <c r="T37" i="35"/>
  <c r="R37" i="35"/>
  <c r="P37" i="35"/>
  <c r="Q36" i="35"/>
  <c r="Z36" i="35"/>
  <c r="J36" i="35"/>
  <c r="AC36" i="35" s="1"/>
  <c r="Q35" i="35"/>
  <c r="Z35" i="35" s="1"/>
  <c r="Q34" i="35"/>
  <c r="Z34" i="35"/>
  <c r="Q33" i="35"/>
  <c r="Z33" i="35" s="1"/>
  <c r="Q32" i="35"/>
  <c r="Z32" i="35"/>
  <c r="H32" i="35"/>
  <c r="AB32" i="35"/>
  <c r="F32" i="35"/>
  <c r="AA32" i="35" s="1"/>
  <c r="Q31" i="35"/>
  <c r="Z31" i="35"/>
  <c r="AB31" i="35"/>
  <c r="AA31" i="35"/>
  <c r="Q30" i="35"/>
  <c r="Z30" i="35"/>
  <c r="Q29" i="35"/>
  <c r="Z29" i="35" s="1"/>
  <c r="Q28" i="35"/>
  <c r="Z28" i="35"/>
  <c r="J28" i="35"/>
  <c r="AC28" i="35"/>
  <c r="H28" i="35"/>
  <c r="AB28" i="35" s="1"/>
  <c r="F28" i="35"/>
  <c r="AA28" i="35"/>
  <c r="Q27" i="35"/>
  <c r="Z27" i="35"/>
  <c r="Q26" i="35"/>
  <c r="Z26" i="35" s="1"/>
  <c r="Q25" i="35"/>
  <c r="Z25" i="35" s="1"/>
  <c r="Q24" i="35"/>
  <c r="Z24" i="35"/>
  <c r="Q23" i="35"/>
  <c r="Z23" i="35" s="1"/>
  <c r="J23" i="35"/>
  <c r="AC23" i="35"/>
  <c r="Q22" i="35"/>
  <c r="Z22" i="35"/>
  <c r="Q20" i="35"/>
  <c r="Z20" i="35" s="1"/>
  <c r="Q16" i="35"/>
  <c r="Z16" i="35"/>
  <c r="Q14" i="35"/>
  <c r="Z14" i="35"/>
  <c r="Q13" i="35"/>
  <c r="Z13" i="35" s="1"/>
  <c r="Q12" i="35"/>
  <c r="Z12" i="35" s="1"/>
  <c r="W12" i="35"/>
  <c r="H12" i="35"/>
  <c r="U12" i="35" s="1"/>
  <c r="Q11" i="35"/>
  <c r="Z11" i="35"/>
  <c r="Q10" i="35"/>
  <c r="Z10" i="35" s="1"/>
  <c r="Q9" i="35"/>
  <c r="Z9" i="35" s="1"/>
  <c r="J8" i="35"/>
  <c r="W8" i="35"/>
  <c r="H8" i="35"/>
  <c r="AB8" i="35" s="1"/>
  <c r="F8" i="35"/>
  <c r="AA8" i="35" s="1"/>
  <c r="D120" i="34"/>
  <c r="E120" i="34"/>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s="1"/>
  <c r="D124" i="34"/>
  <c r="E124" i="34"/>
  <c r="F124" i="34"/>
  <c r="G124" i="34" s="1"/>
  <c r="H124" i="34" s="1"/>
  <c r="I124" i="34" s="1"/>
  <c r="J124" i="34" s="1"/>
  <c r="K124" i="34" s="1"/>
  <c r="L124" i="34" s="1"/>
  <c r="M124" i="34" s="1"/>
  <c r="H43" i="34"/>
  <c r="AB43" i="34"/>
  <c r="D118" i="34"/>
  <c r="E118" i="34"/>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s="1"/>
  <c r="G82" i="34"/>
  <c r="D80" i="34"/>
  <c r="E80" i="34"/>
  <c r="F80" i="34" s="1"/>
  <c r="G80" i="34" s="1"/>
  <c r="D78" i="34"/>
  <c r="E78" i="34"/>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c r="Q43" i="34"/>
  <c r="Z43" i="34"/>
  <c r="Q42" i="34"/>
  <c r="Z42" i="34" s="1"/>
  <c r="Q41" i="34"/>
  <c r="Z41" i="34"/>
  <c r="Q40" i="34"/>
  <c r="Z40" i="34"/>
  <c r="Q39" i="34"/>
  <c r="Z39" i="34" s="1"/>
  <c r="H39" i="34"/>
  <c r="AB39" i="34"/>
  <c r="Q38" i="34"/>
  <c r="Z38" i="34"/>
  <c r="Q37" i="34"/>
  <c r="Z37" i="34" s="1"/>
  <c r="Q36" i="34"/>
  <c r="Z36" i="34"/>
  <c r="Q35" i="34"/>
  <c r="Z35" i="34"/>
  <c r="Q34" i="34"/>
  <c r="Z34" i="34" s="1"/>
  <c r="J34" i="34"/>
  <c r="AC34" i="34"/>
  <c r="H34" i="34"/>
  <c r="AB34" i="34"/>
  <c r="F34" i="34"/>
  <c r="AA34" i="34" s="1"/>
  <c r="Q33" i="34"/>
  <c r="Z33" i="34"/>
  <c r="Q32" i="34"/>
  <c r="Z32" i="34"/>
  <c r="Q31" i="34"/>
  <c r="Z31" i="34" s="1"/>
  <c r="Q30" i="34"/>
  <c r="Z30" i="34"/>
  <c r="Q29" i="34"/>
  <c r="Z29" i="34"/>
  <c r="Q28" i="34"/>
  <c r="Z28" i="34" s="1"/>
  <c r="Q27" i="34"/>
  <c r="Z27" i="34"/>
  <c r="Q25" i="34"/>
  <c r="Z25" i="34"/>
  <c r="Q23" i="34"/>
  <c r="Z23" i="34" s="1"/>
  <c r="C23" i="34"/>
  <c r="Q19" i="34"/>
  <c r="Z19" i="34" s="1"/>
  <c r="C19" i="34"/>
  <c r="Q17" i="34"/>
  <c r="Z17" i="34" s="1"/>
  <c r="C17" i="34"/>
  <c r="Q15" i="34"/>
  <c r="Z15" i="34" s="1"/>
  <c r="Q14" i="34"/>
  <c r="Z14" i="34" s="1"/>
  <c r="Q13" i="34"/>
  <c r="Z13" i="34" s="1"/>
  <c r="Q12" i="34"/>
  <c r="Z12" i="34"/>
  <c r="J12" i="34"/>
  <c r="W12" i="34"/>
  <c r="H12" i="34"/>
  <c r="S12" i="34"/>
  <c r="Q11" i="34"/>
  <c r="Z11" i="34"/>
  <c r="Q10" i="34"/>
  <c r="Z10" i="34"/>
  <c r="F10" i="34"/>
  <c r="AA10" i="34"/>
  <c r="Q9" i="34"/>
  <c r="Z9" i="34"/>
  <c r="J9" i="34"/>
  <c r="AC9" i="34" s="1"/>
  <c r="F9" i="34"/>
  <c r="AA9" i="34" s="1"/>
  <c r="J8" i="34"/>
  <c r="AC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s="1"/>
  <c r="AC41" i="33"/>
  <c r="W41" i="33"/>
  <c r="Q41" i="33"/>
  <c r="Z41" i="33" s="1"/>
  <c r="Q40" i="33"/>
  <c r="Z40" i="33" s="1"/>
  <c r="J40" i="33"/>
  <c r="AC40" i="33"/>
  <c r="H40" i="33"/>
  <c r="AB40" i="33" s="1"/>
  <c r="AA40" i="33"/>
  <c r="Q39" i="33"/>
  <c r="Z39" i="33"/>
  <c r="J39" i="33"/>
  <c r="AC39" i="33" s="1"/>
  <c r="Q38" i="33"/>
  <c r="Z38" i="33" s="1"/>
  <c r="J38" i="33"/>
  <c r="AC38" i="33"/>
  <c r="H38" i="33"/>
  <c r="AB38" i="33" s="1"/>
  <c r="F38" i="33"/>
  <c r="AA38" i="33" s="1"/>
  <c r="Q37" i="33"/>
  <c r="Z37" i="33"/>
  <c r="Q36" i="33"/>
  <c r="Z36" i="33" s="1"/>
  <c r="Q35" i="33"/>
  <c r="Z35" i="33" s="1"/>
  <c r="H35" i="33"/>
  <c r="AB35" i="33"/>
  <c r="Q34" i="33"/>
  <c r="Z34" i="33" s="1"/>
  <c r="Q33" i="33"/>
  <c r="Z33" i="33" s="1"/>
  <c r="J33" i="33"/>
  <c r="AC33" i="33"/>
  <c r="H33" i="33"/>
  <c r="AB33" i="33" s="1"/>
  <c r="F33" i="33"/>
  <c r="AA33" i="33" s="1"/>
  <c r="Q32" i="33"/>
  <c r="Z32" i="33"/>
  <c r="Q31" i="33"/>
  <c r="Z31" i="33" s="1"/>
  <c r="Q30" i="33"/>
  <c r="Z30" i="33" s="1"/>
  <c r="Q29" i="33"/>
  <c r="Z29" i="33"/>
  <c r="Q28" i="33"/>
  <c r="Z28" i="33" s="1"/>
  <c r="Q27" i="33"/>
  <c r="Z27" i="33" s="1"/>
  <c r="Q26" i="33"/>
  <c r="Z26" i="33"/>
  <c r="Q25" i="33"/>
  <c r="Z25" i="33" s="1"/>
  <c r="Q23" i="33"/>
  <c r="Z23" i="33" s="1"/>
  <c r="Q19" i="33"/>
  <c r="Z19" i="33"/>
  <c r="Q17" i="33"/>
  <c r="Z17" i="33" s="1"/>
  <c r="Q15" i="33"/>
  <c r="Z15" i="33" s="1"/>
  <c r="F15" i="33"/>
  <c r="AA15" i="33"/>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s="1"/>
  <c r="F43" i="21"/>
  <c r="S43" i="21"/>
  <c r="H38" i="21"/>
  <c r="U38" i="21"/>
  <c r="H43" i="21"/>
  <c r="AB43" i="21" s="1"/>
  <c r="F38" i="21"/>
  <c r="S38" i="21"/>
  <c r="F36" i="21"/>
  <c r="S36" i="21"/>
  <c r="F39" i="21"/>
  <c r="AA39" i="21" s="1"/>
  <c r="J40" i="21"/>
  <c r="W40" i="21"/>
  <c r="H35" i="21"/>
  <c r="AB35" i="21"/>
  <c r="J8" i="21"/>
  <c r="AC8" i="21" s="1"/>
  <c r="H8" i="21"/>
  <c r="U8" i="21" s="1"/>
  <c r="H10" i="21"/>
  <c r="AB10" i="21"/>
  <c r="H39" i="21"/>
  <c r="U39" i="21" s="1"/>
  <c r="J34" i="21"/>
  <c r="W34" i="21" s="1"/>
  <c r="H36" i="21"/>
  <c r="U36" i="21"/>
  <c r="F35" i="21"/>
  <c r="AA35" i="21" s="1"/>
  <c r="J10" i="21"/>
  <c r="AC10" i="21" s="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F36" i="34"/>
  <c r="J35" i="34"/>
  <c r="W9" i="34"/>
  <c r="S34" i="34"/>
  <c r="U34" i="34"/>
  <c r="H39" i="33"/>
  <c r="AB39" i="33"/>
  <c r="F26" i="33"/>
  <c r="AA26" i="33"/>
  <c r="S9" i="33"/>
  <c r="U33" i="33"/>
  <c r="U35" i="33"/>
  <c r="S40" i="33"/>
  <c r="W33" i="33"/>
  <c r="W39" i="33"/>
  <c r="H39" i="37"/>
  <c r="AB39" i="37"/>
  <c r="S27" i="35"/>
  <c r="F11" i="40"/>
  <c r="AA11" i="40"/>
  <c r="H11" i="40"/>
  <c r="AB11" i="40" s="1"/>
  <c r="W8"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F101" i="39" s="1"/>
  <c r="J23" i="40"/>
  <c r="AC23" i="40" s="1"/>
  <c r="F21" i="40"/>
  <c r="AA21" i="40"/>
  <c r="J21" i="40"/>
  <c r="W21" i="40" s="1"/>
  <c r="H42" i="39"/>
  <c r="AB42" i="39" s="1"/>
  <c r="J34" i="39"/>
  <c r="AC34" i="39"/>
  <c r="F109" i="39"/>
  <c r="G109" i="39"/>
  <c r="H109" i="39" s="1"/>
  <c r="I109" i="39" s="1"/>
  <c r="J109" i="39" s="1"/>
  <c r="K109" i="39" s="1"/>
  <c r="L109" i="39" s="1"/>
  <c r="M109" i="39" s="1"/>
  <c r="J31" i="39"/>
  <c r="F11" i="21"/>
  <c r="S11" i="21" s="1"/>
  <c r="S40" i="21"/>
  <c r="U34" i="21"/>
  <c r="S34" i="21"/>
  <c r="C25" i="39"/>
  <c r="C27" i="39"/>
  <c r="C21" i="39"/>
  <c r="C15" i="39"/>
  <c r="H32" i="33"/>
  <c r="AB32" i="33"/>
  <c r="H11" i="21"/>
  <c r="U11" i="21" s="1"/>
  <c r="J11" i="21"/>
  <c r="W11" i="21"/>
  <c r="H37" i="40"/>
  <c r="U37" i="40"/>
  <c r="H36" i="40"/>
  <c r="AB36" i="40" s="1"/>
  <c r="F35" i="40"/>
  <c r="AA35" i="40" s="1"/>
  <c r="H23" i="40"/>
  <c r="AB23" i="40"/>
  <c r="H17" i="40"/>
  <c r="U17" i="40" s="1"/>
  <c r="J15" i="40"/>
  <c r="W15" i="40" s="1"/>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J42" i="21"/>
  <c r="AC42" i="21"/>
  <c r="H42" i="21"/>
  <c r="U42" i="21" s="1"/>
  <c r="J44" i="34"/>
  <c r="F44" i="34"/>
  <c r="AA44" i="34" s="1"/>
  <c r="J10" i="35"/>
  <c r="W10" i="35" s="1"/>
  <c r="BL587" i="3"/>
  <c r="J14" i="21"/>
  <c r="W14" i="21"/>
  <c r="F14" i="21"/>
  <c r="S14" i="21"/>
  <c r="H14" i="21"/>
  <c r="U14" i="21" s="1"/>
  <c r="H28" i="21"/>
  <c r="AB28" i="21"/>
  <c r="F28" i="21"/>
  <c r="AA28" i="21"/>
  <c r="J28" i="21"/>
  <c r="W28" i="21" s="1"/>
  <c r="H30" i="21"/>
  <c r="U30" i="21"/>
  <c r="F30" i="21"/>
  <c r="S30" i="21"/>
  <c r="J30" i="21"/>
  <c r="AC30" i="21" s="1"/>
  <c r="J44" i="21"/>
  <c r="AC44" i="21"/>
  <c r="H44" i="21"/>
  <c r="U44" i="21"/>
  <c r="F44" i="21"/>
  <c r="AA44" i="21" s="1"/>
  <c r="H46" i="21"/>
  <c r="U46" i="2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c r="J33" i="35"/>
  <c r="AC33" i="35" s="1"/>
  <c r="F30" i="35"/>
  <c r="S30" i="35" s="1"/>
  <c r="E89" i="35"/>
  <c r="F89" i="35"/>
  <c r="G89" i="35"/>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c r="J13" i="33"/>
  <c r="H13" i="33"/>
  <c r="AB13" i="33" s="1"/>
  <c r="F13" i="33"/>
  <c r="S13" i="33"/>
  <c r="J29" i="33"/>
  <c r="AC29" i="33" s="1"/>
  <c r="H29" i="33"/>
  <c r="U29" i="33" s="1"/>
  <c r="F29" i="33"/>
  <c r="S29" i="33"/>
  <c r="J31" i="33"/>
  <c r="W31" i="33" s="1"/>
  <c r="H31" i="33"/>
  <c r="AB31" i="33" s="1"/>
  <c r="F31" i="33"/>
  <c r="H45" i="33"/>
  <c r="U45" i="33"/>
  <c r="J45" i="33"/>
  <c r="W45" i="33" s="1"/>
  <c r="F45" i="33"/>
  <c r="AA45" i="33" s="1"/>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AB11" i="36" s="1"/>
  <c r="F11" i="36"/>
  <c r="AA11" i="36"/>
  <c r="H13" i="36"/>
  <c r="AB13" i="36" s="1"/>
  <c r="J13" i="36"/>
  <c r="AC13" i="36" s="1"/>
  <c r="F13" i="36"/>
  <c r="S13" i="36" s="1"/>
  <c r="E89" i="37"/>
  <c r="F89" i="37"/>
  <c r="G89" i="37" s="1"/>
  <c r="H89" i="37" s="1"/>
  <c r="I89" i="37" s="1"/>
  <c r="J89" i="37" s="1"/>
  <c r="K89" i="37" s="1"/>
  <c r="L89" i="37" s="1"/>
  <c r="M89" i="37" s="1"/>
  <c r="J29" i="37"/>
  <c r="W29" i="37" s="1"/>
  <c r="F29" i="37"/>
  <c r="S29" i="37"/>
  <c r="F105" i="37"/>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AC44" i="33" s="1"/>
  <c r="F44" i="33"/>
  <c r="S44" i="33"/>
  <c r="J46" i="33"/>
  <c r="AC46" i="33" s="1"/>
  <c r="F46" i="33"/>
  <c r="AA46" i="33" s="1"/>
  <c r="H46" i="33"/>
  <c r="AB46" i="33"/>
  <c r="H13" i="34"/>
  <c r="U13" i="34" s="1"/>
  <c r="J13" i="34"/>
  <c r="W13" i="34" s="1"/>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J36" i="37"/>
  <c r="AC36" i="37" s="1"/>
  <c r="G105" i="37"/>
  <c r="AB11" i="35"/>
  <c r="J10" i="36"/>
  <c r="AC10" i="36" s="1"/>
  <c r="AB30" i="21"/>
  <c r="W31" i="34"/>
  <c r="S11" i="36"/>
  <c r="W11" i="36"/>
  <c r="AB46" i="34"/>
  <c r="AB45" i="33"/>
  <c r="U31" i="33"/>
  <c r="AC28" i="21"/>
  <c r="S44" i="34"/>
  <c r="BA586" i="3"/>
  <c r="BA585" i="3"/>
  <c r="F17" i="21"/>
  <c r="AA17" i="21" s="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AZ566" i="3" s="1"/>
  <c r="BL562" i="3"/>
  <c r="BL556" i="3"/>
  <c r="AZ556" i="3" s="1"/>
  <c r="BL552" i="3"/>
  <c r="BL544" i="3"/>
  <c r="BL540" i="3"/>
  <c r="BL536" i="3"/>
  <c r="G533" i="3"/>
  <c r="BL532" i="3"/>
  <c r="G529" i="3"/>
  <c r="BL528" i="3"/>
  <c r="G525" i="3"/>
  <c r="BL524" i="3"/>
  <c r="AZ524" i="3" s="1"/>
  <c r="BL518" i="3"/>
  <c r="BL514" i="3"/>
  <c r="BL510" i="3"/>
  <c r="BL504" i="3"/>
  <c r="BL500" i="3"/>
  <c r="BL496" i="3"/>
  <c r="G493" i="3"/>
  <c r="BA584" i="3"/>
  <c r="AZ584" i="3" s="1"/>
  <c r="BA582" i="3"/>
  <c r="AZ582" i="3" s="1"/>
  <c r="BA580" i="3"/>
  <c r="AZ580" i="3"/>
  <c r="BA578" i="3"/>
  <c r="AZ578" i="3"/>
  <c r="BA576" i="3"/>
  <c r="AZ576" i="3" s="1"/>
  <c r="BA574" i="3"/>
  <c r="AZ574" i="3"/>
  <c r="BA572" i="3"/>
  <c r="AZ572" i="3"/>
  <c r="BA570" i="3"/>
  <c r="AZ570" i="3" s="1"/>
  <c r="BA568" i="3"/>
  <c r="AZ568" i="3"/>
  <c r="BA566" i="3"/>
  <c r="BA564" i="3"/>
  <c r="AZ564" i="3" s="1"/>
  <c r="BA562" i="3"/>
  <c r="AZ562" i="3"/>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c r="BA524" i="3"/>
  <c r="BA522" i="3"/>
  <c r="BA520" i="3"/>
  <c r="BA518" i="3"/>
  <c r="AZ518" i="3"/>
  <c r="BA516" i="3"/>
  <c r="AZ516" i="3"/>
  <c r="BA514" i="3"/>
  <c r="BA512" i="3"/>
  <c r="BA510" i="3"/>
  <c r="AZ510" i="3" s="1"/>
  <c r="BA508" i="3"/>
  <c r="BA506" i="3"/>
  <c r="BA504" i="3"/>
  <c r="AZ504" i="3"/>
  <c r="BA502" i="3"/>
  <c r="AZ502" i="3" s="1"/>
  <c r="BA500" i="3"/>
  <c r="BA498" i="3"/>
  <c r="AZ498" i="3" s="1"/>
  <c r="BA496" i="3"/>
  <c r="BA494" i="3"/>
  <c r="BA587" i="3"/>
  <c r="AZ587" i="3" s="1"/>
  <c r="BA583" i="3"/>
  <c r="AZ583" i="3" s="1"/>
  <c r="BA581" i="3"/>
  <c r="BA579" i="3"/>
  <c r="BA577" i="3"/>
  <c r="AZ577" i="3" s="1"/>
  <c r="BA575" i="3"/>
  <c r="BA573" i="3"/>
  <c r="AZ573" i="3" s="1"/>
  <c r="BA571" i="3"/>
  <c r="BA569" i="3"/>
  <c r="BA567" i="3"/>
  <c r="BA565" i="3"/>
  <c r="AZ565" i="3" s="1"/>
  <c r="BA563" i="3"/>
  <c r="BA561" i="3"/>
  <c r="BA559" i="3"/>
  <c r="BA555" i="3"/>
  <c r="BA553" i="3"/>
  <c r="BA549" i="3"/>
  <c r="BA547" i="3"/>
  <c r="AZ547" i="3" s="1"/>
  <c r="BA545" i="3"/>
  <c r="BA543" i="3"/>
  <c r="BA541" i="3"/>
  <c r="BA539" i="3"/>
  <c r="BA537" i="3"/>
  <c r="BA535" i="3"/>
  <c r="AZ535" i="3" s="1"/>
  <c r="BA533" i="3"/>
  <c r="BA531" i="3"/>
  <c r="BA529" i="3"/>
  <c r="BA527" i="3"/>
  <c r="BA525" i="3"/>
  <c r="BA523" i="3"/>
  <c r="AZ523" i="3" s="1"/>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c r="AZ579" i="3"/>
  <c r="BQ577" i="3"/>
  <c r="BL577" i="3"/>
  <c r="BQ575" i="3"/>
  <c r="BL575" i="3"/>
  <c r="AZ575" i="3"/>
  <c r="BQ573" i="3"/>
  <c r="BL573" i="3"/>
  <c r="BQ571" i="3"/>
  <c r="BL571" i="3"/>
  <c r="AZ571" i="3"/>
  <c r="BQ569" i="3"/>
  <c r="BL569" i="3"/>
  <c r="AZ569" i="3" s="1"/>
  <c r="BQ567" i="3"/>
  <c r="BL567" i="3"/>
  <c r="AZ567" i="3"/>
  <c r="BQ565" i="3"/>
  <c r="BL565" i="3"/>
  <c r="BQ563" i="3"/>
  <c r="BL563" i="3"/>
  <c r="BQ561" i="3"/>
  <c r="BL561" i="3" s="1"/>
  <c r="AZ561" i="3" s="1"/>
  <c r="BQ559" i="3"/>
  <c r="BL559" i="3" s="1"/>
  <c r="G559" i="3"/>
  <c r="G555" i="3"/>
  <c r="G553" i="3"/>
  <c r="G549" i="3"/>
  <c r="G547" i="3"/>
  <c r="G545" i="3"/>
  <c r="G543" i="3"/>
  <c r="G541" i="3"/>
  <c r="G539" i="3"/>
  <c r="G537" i="3"/>
  <c r="BQ555" i="3"/>
  <c r="BL555" i="3"/>
  <c r="AZ555" i="3"/>
  <c r="BQ553" i="3"/>
  <c r="BL553" i="3"/>
  <c r="AZ553" i="3" s="1"/>
  <c r="BQ551" i="3"/>
  <c r="BL551" i="3"/>
  <c r="BQ549" i="3"/>
  <c r="BQ547" i="3"/>
  <c r="BL547" i="3"/>
  <c r="BQ545" i="3"/>
  <c r="BL545" i="3"/>
  <c r="AZ545" i="3"/>
  <c r="BQ543" i="3"/>
  <c r="BL543" i="3"/>
  <c r="AZ543" i="3" s="1"/>
  <c r="BQ541" i="3"/>
  <c r="BL541" i="3"/>
  <c r="AZ541" i="3"/>
  <c r="BQ539" i="3"/>
  <c r="BL539" i="3"/>
  <c r="AZ539" i="3" s="1"/>
  <c r="BQ537" i="3"/>
  <c r="BL537" i="3"/>
  <c r="AZ537" i="3"/>
  <c r="BQ535" i="3"/>
  <c r="BL535" i="3"/>
  <c r="BQ533" i="3"/>
  <c r="BL533" i="3"/>
  <c r="AZ533" i="3"/>
  <c r="BQ531" i="3"/>
  <c r="BL531" i="3"/>
  <c r="AZ531" i="3" s="1"/>
  <c r="BQ529" i="3"/>
  <c r="BL529" i="3"/>
  <c r="AZ529" i="3"/>
  <c r="BQ527" i="3"/>
  <c r="BL527" i="3"/>
  <c r="AZ527" i="3" s="1"/>
  <c r="BQ525" i="3"/>
  <c r="BL525" i="3"/>
  <c r="AZ525" i="3"/>
  <c r="BQ523" i="3"/>
  <c r="BL523" i="3"/>
  <c r="BA521" i="3"/>
  <c r="AC521" i="3"/>
  <c r="G521" i="3" s="1"/>
  <c r="BQ521" i="3"/>
  <c r="BL521" i="3" s="1"/>
  <c r="AZ521" i="3" s="1"/>
  <c r="BL520" i="3"/>
  <c r="AZ520" i="3"/>
  <c r="G519" i="3"/>
  <c r="G517" i="3"/>
  <c r="G515" i="3"/>
  <c r="G513" i="3"/>
  <c r="G511" i="3"/>
  <c r="BQ519" i="3"/>
  <c r="BL519" i="3"/>
  <c r="BQ517" i="3"/>
  <c r="BL517" i="3" s="1"/>
  <c r="BQ515" i="3"/>
  <c r="BL515" i="3"/>
  <c r="AZ515" i="3" s="1"/>
  <c r="BQ513" i="3"/>
  <c r="BL513" i="3" s="1"/>
  <c r="BQ511" i="3"/>
  <c r="BL511" i="3"/>
  <c r="BA509" i="3"/>
  <c r="AZ509" i="3" s="1"/>
  <c r="AC509" i="3"/>
  <c r="BQ509" i="3"/>
  <c r="BL509" i="3"/>
  <c r="BL508" i="3"/>
  <c r="G507" i="3"/>
  <c r="G505" i="3"/>
  <c r="G503" i="3"/>
  <c r="G501" i="3"/>
  <c r="G499" i="3"/>
  <c r="G497" i="3"/>
  <c r="G495" i="3"/>
  <c r="BQ507" i="3"/>
  <c r="BL507" i="3" s="1"/>
  <c r="BQ505" i="3"/>
  <c r="BL505" i="3" s="1"/>
  <c r="AZ505" i="3" s="1"/>
  <c r="BQ503" i="3"/>
  <c r="BL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H43" i="33"/>
  <c r="AB43" i="33" s="1"/>
  <c r="H17" i="37"/>
  <c r="U17" i="37" s="1"/>
  <c r="AB27" i="37"/>
  <c r="U32" i="33"/>
  <c r="AA36" i="39"/>
  <c r="F39" i="33"/>
  <c r="AA39" i="33" s="1"/>
  <c r="E123" i="33"/>
  <c r="F42" i="33"/>
  <c r="AA42" i="33"/>
  <c r="H28" i="34"/>
  <c r="AB28" i="34" s="1"/>
  <c r="F14" i="36"/>
  <c r="AA14" i="36" s="1"/>
  <c r="F22" i="36"/>
  <c r="S22" i="36"/>
  <c r="F26" i="36"/>
  <c r="S26" i="36" s="1"/>
  <c r="H27" i="34"/>
  <c r="AB27" i="34" s="1"/>
  <c r="H35" i="34"/>
  <c r="U35" i="34"/>
  <c r="F41" i="34"/>
  <c r="S41" i="34" s="1"/>
  <c r="H41" i="34"/>
  <c r="U41" i="34" s="1"/>
  <c r="J41" i="34"/>
  <c r="AC41" i="34"/>
  <c r="F10" i="35"/>
  <c r="S10" i="35" s="1"/>
  <c r="F24" i="35"/>
  <c r="AA24" i="35" s="1"/>
  <c r="H24" i="35"/>
  <c r="AB24" i="35"/>
  <c r="H23" i="37"/>
  <c r="AB23" i="37" s="1"/>
  <c r="J32" i="37"/>
  <c r="AC32" i="37" s="1"/>
  <c r="F36" i="37"/>
  <c r="AA36" i="37"/>
  <c r="F37" i="37"/>
  <c r="AA37" i="37" s="1"/>
  <c r="F31" i="40"/>
  <c r="AA31" i="40" s="1"/>
  <c r="H31" i="40"/>
  <c r="U31" i="40"/>
  <c r="F32" i="40"/>
  <c r="S32" i="40" s="1"/>
  <c r="H32" i="40"/>
  <c r="AB32" i="40" s="1"/>
  <c r="J36" i="40"/>
  <c r="W36" i="40"/>
  <c r="AA41" i="34"/>
  <c r="H19" i="37"/>
  <c r="AB19" i="37" s="1"/>
  <c r="F123" i="33"/>
  <c r="G123" i="33"/>
  <c r="H123" i="33"/>
  <c r="I123" i="33" s="1"/>
  <c r="J123" i="33" s="1"/>
  <c r="K123" i="33" s="1"/>
  <c r="L123" i="33" s="1"/>
  <c r="M123" i="33" s="1"/>
  <c r="H42" i="33"/>
  <c r="AB42" i="33"/>
  <c r="G125" i="33"/>
  <c r="J43" i="33"/>
  <c r="AC43" i="33" s="1"/>
  <c r="S28" i="31"/>
  <c r="S27" i="31"/>
  <c r="S26" i="31"/>
  <c r="U14" i="40"/>
  <c r="AC32" i="36"/>
  <c r="AC33" i="36"/>
  <c r="U35" i="35"/>
  <c r="W23" i="35"/>
  <c r="W14" i="37"/>
  <c r="AB28" i="37"/>
  <c r="U33" i="37"/>
  <c r="U39" i="37"/>
  <c r="W26" i="37"/>
  <c r="AC8" i="37"/>
  <c r="U26" i="37"/>
  <c r="W47" i="34"/>
  <c r="W37" i="34"/>
  <c r="AB37" i="34"/>
  <c r="AC36" i="34"/>
  <c r="AA13" i="33"/>
  <c r="W44" i="33"/>
  <c r="U11" i="33"/>
  <c r="U19" i="21"/>
  <c r="W44" i="21"/>
  <c r="U26" i="21"/>
  <c r="AC46" i="21"/>
  <c r="U12" i="21"/>
  <c r="AB38" i="21"/>
  <c r="F43" i="33"/>
  <c r="AA43" i="33" s="1"/>
  <c r="W15" i="34"/>
  <c r="AC15" i="34"/>
  <c r="W16" i="35"/>
  <c r="W40" i="37"/>
  <c r="G107" i="37"/>
  <c r="H107" i="37" s="1"/>
  <c r="I107" i="37" s="1"/>
  <c r="J107" i="37" s="1"/>
  <c r="K107" i="37"/>
  <c r="L107" i="37" s="1"/>
  <c r="M107" i="37" s="1"/>
  <c r="H37" i="21"/>
  <c r="U37" i="21" s="1"/>
  <c r="S42" i="21"/>
  <c r="H19" i="34"/>
  <c r="AB19" i="34"/>
  <c r="F36" i="35"/>
  <c r="S36" i="35" s="1"/>
  <c r="J9" i="37"/>
  <c r="W9" i="37"/>
  <c r="H9" i="37"/>
  <c r="AB9" i="37" s="1"/>
  <c r="F9" i="37"/>
  <c r="S9" i="37" s="1"/>
  <c r="J12" i="37"/>
  <c r="W12" i="37"/>
  <c r="H12" i="37"/>
  <c r="U12" i="37" s="1"/>
  <c r="AB12" i="37"/>
  <c r="F12" i="37"/>
  <c r="S12" i="37" s="1"/>
  <c r="E71" i="37"/>
  <c r="F15" i="37"/>
  <c r="AA15" i="37"/>
  <c r="E94" i="37"/>
  <c r="F94" i="37" s="1"/>
  <c r="G94" i="37" s="1"/>
  <c r="H94" i="37" s="1"/>
  <c r="F31" i="37"/>
  <c r="S31" i="37" s="1"/>
  <c r="F12" i="39"/>
  <c r="S12" i="39" s="1"/>
  <c r="J42" i="39"/>
  <c r="AC42" i="39" s="1"/>
  <c r="H21" i="40"/>
  <c r="AB21" i="40"/>
  <c r="AC12" i="37"/>
  <c r="I94" i="37"/>
  <c r="J94" i="37" s="1"/>
  <c r="K94" i="37" s="1"/>
  <c r="L94" i="37" s="1"/>
  <c r="M94" i="37" s="1"/>
  <c r="H31" i="37"/>
  <c r="U31" i="37"/>
  <c r="F71" i="37"/>
  <c r="G71" i="37"/>
  <c r="J15" i="37"/>
  <c r="W15" i="37" s="1"/>
  <c r="AT6" i="3"/>
  <c r="H5" i="3"/>
  <c r="AA25" i="21"/>
  <c r="C12" i="43"/>
  <c r="H19" i="40"/>
  <c r="U19" i="40"/>
  <c r="F88" i="40"/>
  <c r="G88" i="40" s="1"/>
  <c r="F19" i="40"/>
  <c r="S19" i="40" s="1"/>
  <c r="S14" i="40"/>
  <c r="AC13" i="40"/>
  <c r="AB33" i="40"/>
  <c r="W23" i="39"/>
  <c r="AC43" i="39"/>
  <c r="W43" i="39"/>
  <c r="U45" i="39"/>
  <c r="AB45" i="39"/>
  <c r="G101" i="39"/>
  <c r="H37" i="39"/>
  <c r="AB37" i="39" s="1"/>
  <c r="AC37" i="39"/>
  <c r="W37" i="39"/>
  <c r="F15" i="39"/>
  <c r="AA15" i="39" s="1"/>
  <c r="H15" i="39"/>
  <c r="U15" i="39" s="1"/>
  <c r="J15" i="39"/>
  <c r="W15" i="39" s="1"/>
  <c r="AB34" i="39"/>
  <c r="W14" i="39"/>
  <c r="W9" i="39"/>
  <c r="W8" i="39"/>
  <c r="J19" i="40"/>
  <c r="AC19" i="40" s="1"/>
  <c r="J50" i="40"/>
  <c r="H103" i="9"/>
  <c r="D8" i="53" s="1"/>
  <c r="B16" i="53"/>
  <c r="B33" i="72" s="1"/>
  <c r="C7" i="37"/>
  <c r="C7" i="34"/>
  <c r="C7" i="36"/>
  <c r="A118" i="9"/>
  <c r="A12" i="52"/>
  <c r="B56" i="72" s="1"/>
  <c r="G4" i="4"/>
  <c r="I4" i="4"/>
  <c r="K5" i="4" s="1"/>
  <c r="B47" i="48" s="1"/>
  <c r="F59" i="43"/>
  <c r="H62" i="43" s="1"/>
  <c r="AZ20" i="3"/>
  <c r="AZ28" i="3"/>
  <c r="AZ497" i="3"/>
  <c r="BL549" i="3"/>
  <c r="AZ549" i="3" s="1"/>
  <c r="AZ494" i="3"/>
  <c r="AZ514" i="3"/>
  <c r="AZ522" i="3"/>
  <c r="AZ530" i="3"/>
  <c r="AZ546"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G121" i="3"/>
  <c r="BA123" i="3"/>
  <c r="BL124" i="3"/>
  <c r="AZ124" i="3" s="1"/>
  <c r="G125" i="3"/>
  <c r="BA127" i="3"/>
  <c r="AZ127" i="3"/>
  <c r="BL128" i="3"/>
  <c r="AZ128" i="3" s="1"/>
  <c r="G129" i="3"/>
  <c r="BA131" i="3"/>
  <c r="BL132" i="3"/>
  <c r="AZ132" i="3"/>
  <c r="G133" i="3"/>
  <c r="BA135" i="3"/>
  <c r="AZ135" i="3" s="1"/>
  <c r="BL136" i="3"/>
  <c r="AZ136" i="3" s="1"/>
  <c r="G137" i="3"/>
  <c r="BA139" i="3"/>
  <c r="AZ139" i="3"/>
  <c r="BL140" i="3"/>
  <c r="AZ140" i="3" s="1"/>
  <c r="G141" i="3"/>
  <c r="BA143" i="3"/>
  <c r="AZ143" i="3"/>
  <c r="BL144" i="3"/>
  <c r="AZ144" i="3" s="1"/>
  <c r="G145" i="3"/>
  <c r="BA147" i="3"/>
  <c r="AZ147" i="3"/>
  <c r="BL148" i="3"/>
  <c r="AZ148" i="3"/>
  <c r="G149" i="3"/>
  <c r="BA151" i="3"/>
  <c r="AZ151" i="3" s="1"/>
  <c r="BL152" i="3"/>
  <c r="AZ152" i="3" s="1"/>
  <c r="G153" i="3"/>
  <c r="BA155" i="3"/>
  <c r="AZ155" i="3"/>
  <c r="BL156" i="3"/>
  <c r="G157" i="3"/>
  <c r="BA159" i="3"/>
  <c r="BL160" i="3"/>
  <c r="G161" i="3"/>
  <c r="BA163" i="3"/>
  <c r="BL164" i="3"/>
  <c r="AZ164" i="3"/>
  <c r="G165" i="3"/>
  <c r="BA167" i="3"/>
  <c r="AZ167" i="3"/>
  <c r="BL168" i="3"/>
  <c r="G169" i="3"/>
  <c r="BA171" i="3"/>
  <c r="AZ171" i="3"/>
  <c r="BL172" i="3"/>
  <c r="G173" i="3"/>
  <c r="BA175" i="3"/>
  <c r="BL176" i="3"/>
  <c r="G177" i="3"/>
  <c r="BA179" i="3"/>
  <c r="AZ179" i="3"/>
  <c r="BL180" i="3"/>
  <c r="AZ180" i="3"/>
  <c r="G181" i="3"/>
  <c r="BA183" i="3"/>
  <c r="AZ183" i="3" s="1"/>
  <c r="BL184" i="3"/>
  <c r="AZ184" i="3" s="1"/>
  <c r="G185" i="3"/>
  <c r="BA187" i="3"/>
  <c r="AZ187" i="3"/>
  <c r="BL188" i="3"/>
  <c r="AZ188" i="3" s="1"/>
  <c r="G189" i="3"/>
  <c r="BA191" i="3"/>
  <c r="AZ191" i="3"/>
  <c r="BL192" i="3"/>
  <c r="AZ192" i="3" s="1"/>
  <c r="G193" i="3"/>
  <c r="BA195" i="3"/>
  <c r="AZ195" i="3"/>
  <c r="BL196" i="3"/>
  <c r="AZ196" i="3"/>
  <c r="G197" i="3"/>
  <c r="BA199" i="3"/>
  <c r="BL200" i="3"/>
  <c r="AZ200" i="3" s="1"/>
  <c r="G201" i="3"/>
  <c r="BA203" i="3"/>
  <c r="AZ203" i="3"/>
  <c r="BL204" i="3"/>
  <c r="AZ204" i="3" s="1"/>
  <c r="AZ39" i="3"/>
  <c r="AZ43" i="3"/>
  <c r="AZ51" i="3"/>
  <c r="AZ63" i="3"/>
  <c r="AZ75" i="3"/>
  <c r="AZ83" i="3"/>
  <c r="AZ160" i="3"/>
  <c r="AZ176" i="3"/>
  <c r="AZ85" i="3"/>
  <c r="AZ89" i="3"/>
  <c r="AZ93" i="3"/>
  <c r="AZ97"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c r="BA321" i="3"/>
  <c r="AZ321" i="3" s="1"/>
  <c r="BL321" i="3"/>
  <c r="G322" i="3"/>
  <c r="G325" i="3"/>
  <c r="BL326" i="3"/>
  <c r="BA328" i="3"/>
  <c r="AZ328" i="3" s="1"/>
  <c r="BA329" i="3"/>
  <c r="AZ329" i="3" s="1"/>
  <c r="BL329" i="3"/>
  <c r="G330" i="3"/>
  <c r="G333" i="3"/>
  <c r="BL334" i="3"/>
  <c r="BA336" i="3"/>
  <c r="BA337" i="3"/>
  <c r="BL337" i="3"/>
  <c r="AZ337" i="3" s="1"/>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AZ390" i="3" s="1"/>
  <c r="BL390" i="3"/>
  <c r="G391" i="3"/>
  <c r="G394" i="3"/>
  <c r="AZ154" i="3"/>
  <c r="AZ162" i="3"/>
  <c r="AZ174" i="3"/>
  <c r="AZ178" i="3"/>
  <c r="AZ182" i="3"/>
  <c r="AZ186" i="3"/>
  <c r="AZ190" i="3"/>
  <c r="AZ198" i="3"/>
  <c r="AZ202" i="3"/>
  <c r="AZ206" i="3"/>
  <c r="AZ500" i="3"/>
  <c r="BA16" i="3"/>
  <c r="AZ16" i="3"/>
  <c r="BL303" i="3"/>
  <c r="AZ303" i="3" s="1"/>
  <c r="G304" i="3"/>
  <c r="BA306" i="3"/>
  <c r="AZ306" i="3"/>
  <c r="BL307" i="3"/>
  <c r="AZ307" i="3"/>
  <c r="G308" i="3"/>
  <c r="BA310" i="3"/>
  <c r="AZ310" i="3" s="1"/>
  <c r="BL311" i="3"/>
  <c r="G312" i="3"/>
  <c r="BA314" i="3"/>
  <c r="AZ314" i="3" s="1"/>
  <c r="BL315" i="3"/>
  <c r="AZ315" i="3" s="1"/>
  <c r="G316" i="3"/>
  <c r="BA318" i="3"/>
  <c r="AZ318" i="3"/>
  <c r="BL319" i="3"/>
  <c r="AZ319" i="3" s="1"/>
  <c r="G320" i="3"/>
  <c r="BA322" i="3"/>
  <c r="BL323" i="3"/>
  <c r="AZ323" i="3" s="1"/>
  <c r="G324" i="3"/>
  <c r="BA326" i="3"/>
  <c r="AZ326" i="3"/>
  <c r="BL327" i="3"/>
  <c r="G328" i="3"/>
  <c r="BA330" i="3"/>
  <c r="AZ330" i="3" s="1"/>
  <c r="BL331" i="3"/>
  <c r="AZ331" i="3" s="1"/>
  <c r="G332" i="3"/>
  <c r="BA334" i="3"/>
  <c r="AZ334" i="3" s="1"/>
  <c r="BL335" i="3"/>
  <c r="G336" i="3"/>
  <c r="BA338" i="3"/>
  <c r="AZ338" i="3"/>
  <c r="BL339" i="3"/>
  <c r="AZ339" i="3" s="1"/>
  <c r="G340" i="3"/>
  <c r="BL343" i="3"/>
  <c r="G344" i="3"/>
  <c r="G348" i="3"/>
  <c r="G355" i="3"/>
  <c r="AZ209" i="3"/>
  <c r="AZ214" i="3"/>
  <c r="AZ218" i="3"/>
  <c r="AZ222" i="3"/>
  <c r="G342" i="3"/>
  <c r="BL345" i="3"/>
  <c r="AZ345" i="3" s="1"/>
  <c r="G346" i="3"/>
  <c r="BL349" i="3"/>
  <c r="AZ349" i="3" s="1"/>
  <c r="BL352" i="3"/>
  <c r="AZ352" i="3" s="1"/>
  <c r="G353" i="3"/>
  <c r="BA357" i="3"/>
  <c r="AZ357" i="3" s="1"/>
  <c r="BL358" i="3"/>
  <c r="G359" i="3"/>
  <c r="BA361" i="3"/>
  <c r="AZ361" i="3"/>
  <c r="BL362" i="3"/>
  <c r="G363" i="3"/>
  <c r="BA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BL384" i="3"/>
  <c r="AZ384" i="3" s="1"/>
  <c r="G385" i="3"/>
  <c r="BA387" i="3"/>
  <c r="AZ387" i="3" s="1"/>
  <c r="BL388" i="3"/>
  <c r="G389" i="3"/>
  <c r="BA391" i="3"/>
  <c r="AZ391" i="3"/>
  <c r="BL392" i="3"/>
  <c r="G393" i="3"/>
  <c r="AZ263" i="3"/>
  <c r="AZ275" i="3"/>
  <c r="AZ279" i="3"/>
  <c r="AZ283" i="3"/>
  <c r="AZ287" i="3"/>
  <c r="AZ299" i="3"/>
  <c r="BO5" i="3"/>
  <c r="F29" i="6" s="1"/>
  <c r="BM5" i="3"/>
  <c r="BJ5" i="3"/>
  <c r="BH5" i="3"/>
  <c r="BF5" i="3"/>
  <c r="BD5" i="3"/>
  <c r="AZ317" i="3"/>
  <c r="AZ333" i="3"/>
  <c r="AZ341" i="3"/>
  <c r="BQ5" i="3"/>
  <c r="F28" i="6" s="1"/>
  <c r="E28" i="6" s="1"/>
  <c r="K14" i="1" s="1"/>
  <c r="M14" i="1" s="1"/>
  <c r="AC5"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E8" i="6" s="1"/>
  <c r="BR5" i="3"/>
  <c r="G28" i="6"/>
  <c r="AZ392" i="3"/>
  <c r="AZ396" i="3"/>
  <c r="AZ394" i="3"/>
  <c r="AZ499" i="3"/>
  <c r="G509" i="3"/>
  <c r="BL493" i="3"/>
  <c r="AZ491" i="3"/>
  <c r="AZ376" i="3"/>
  <c r="AZ493" i="3"/>
  <c r="U36" i="40"/>
  <c r="F36" i="43"/>
  <c r="F81" i="43"/>
  <c r="H83" i="43"/>
  <c r="H113" i="43"/>
  <c r="F48" i="43"/>
  <c r="H52" i="43" s="1"/>
  <c r="F70" i="43"/>
  <c r="H73" i="43" s="1"/>
  <c r="M11" i="43"/>
  <c r="D17" i="43"/>
  <c r="F39" i="43"/>
  <c r="I17" i="43"/>
  <c r="F35" i="43"/>
  <c r="J17" i="43"/>
  <c r="S14" i="35"/>
  <c r="U43" i="21"/>
  <c r="U35" i="21"/>
  <c r="AC35" i="21"/>
  <c r="U10" i="21"/>
  <c r="G8" i="1"/>
  <c r="G9"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c r="W24" i="36"/>
  <c r="J27" i="36"/>
  <c r="W27" i="36" s="1"/>
  <c r="AB25" i="37"/>
  <c r="AC33" i="40"/>
  <c r="F111" i="40"/>
  <c r="G111" i="40" s="1"/>
  <c r="H111" i="40" s="1"/>
  <c r="I111" i="40" s="1"/>
  <c r="J111" i="40" s="1"/>
  <c r="K111" i="40" s="1"/>
  <c r="L111" i="40" s="1"/>
  <c r="M111" i="40" s="1"/>
  <c r="H35" i="40"/>
  <c r="AB35" i="40"/>
  <c r="AC29" i="35"/>
  <c r="W29" i="35"/>
  <c r="H35" i="37"/>
  <c r="U35" i="37"/>
  <c r="AC14" i="35"/>
  <c r="H20" i="35"/>
  <c r="U20" i="35" s="1"/>
  <c r="F20" i="35"/>
  <c r="AA20" i="35"/>
  <c r="AB23" i="35"/>
  <c r="AB29" i="36"/>
  <c r="U29" i="36"/>
  <c r="H32" i="37"/>
  <c r="AB32" i="37"/>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21" i="3"/>
  <c r="AZ31" i="3"/>
  <c r="AZ33" i="3"/>
  <c r="AZ42" i="3"/>
  <c r="AZ58" i="3"/>
  <c r="AZ61"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G29" i="6"/>
  <c r="AC26" i="33"/>
  <c r="W26" i="33"/>
  <c r="W27" i="34"/>
  <c r="AC27" i="34"/>
  <c r="AB34" i="36"/>
  <c r="U34" i="36"/>
  <c r="AB33" i="36"/>
  <c r="U33" i="36"/>
  <c r="AC39" i="40"/>
  <c r="W39" i="40"/>
  <c r="AZ401" i="3"/>
  <c r="AZ417"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89" i="3"/>
  <c r="AZ197" i="3"/>
  <c r="AZ26" i="3"/>
  <c r="AZ35" i="3"/>
  <c r="S12" i="1"/>
  <c r="AR12" i="1" s="1"/>
  <c r="R12" i="1"/>
  <c r="B12" i="1"/>
  <c r="E12" i="1" s="1"/>
  <c r="S10" i="1"/>
  <c r="AQ10" i="1" s="1"/>
  <c r="R10" i="1"/>
  <c r="B10" i="1"/>
  <c r="E10" i="1" s="1"/>
  <c r="D1" i="66"/>
  <c r="E10" i="66"/>
  <c r="AZ80" i="3"/>
  <c r="AZ88" i="3"/>
  <c r="AZ107" i="3"/>
  <c r="K12" i="1"/>
  <c r="M12" i="1" s="1"/>
  <c r="S13" i="1"/>
  <c r="R13" i="1"/>
  <c r="S11" i="1"/>
  <c r="R11" i="1"/>
  <c r="S9" i="1"/>
  <c r="AR9" i="1" s="1"/>
  <c r="R9" i="1"/>
  <c r="J51" i="67"/>
  <c r="C42" i="1"/>
  <c r="H100" i="43"/>
  <c r="C30" i="66"/>
  <c r="AC34" i="33"/>
  <c r="AA34" i="33"/>
  <c r="B41" i="1"/>
  <c r="F53" i="9" s="1"/>
  <c r="S22" i="31"/>
  <c r="J100" i="43"/>
  <c r="AB37" i="40"/>
  <c r="S35" i="40"/>
  <c r="U35" i="40"/>
  <c r="AC36" i="40"/>
  <c r="W38" i="40"/>
  <c r="AA32" i="40"/>
  <c r="S17" i="40"/>
  <c r="S23" i="40"/>
  <c r="AC17" i="40"/>
  <c r="AC15" i="40"/>
  <c r="AB27" i="40"/>
  <c r="S30" i="40"/>
  <c r="AA19" i="40"/>
  <c r="S28" i="40"/>
  <c r="U21" i="40"/>
  <c r="AB19" i="40"/>
  <c r="U37" i="39"/>
  <c r="S43" i="39"/>
  <c r="S37" i="39"/>
  <c r="U35" i="39"/>
  <c r="F32" i="39"/>
  <c r="AA32" i="39" s="1"/>
  <c r="U31"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s="1"/>
  <c r="H121" i="33" s="1"/>
  <c r="I121" i="33" s="1"/>
  <c r="J121" i="33" s="1"/>
  <c r="K121" i="33" s="1"/>
  <c r="L121" i="33"/>
  <c r="M121" i="33" s="1"/>
  <c r="U42" i="33"/>
  <c r="S42" i="33"/>
  <c r="F36" i="33"/>
  <c r="G111" i="33"/>
  <c r="G108" i="33"/>
  <c r="H108" i="33" s="1"/>
  <c r="I108" i="33" s="1"/>
  <c r="J108" i="33" s="1"/>
  <c r="K108" i="33" s="1"/>
  <c r="L108" i="33" s="1"/>
  <c r="M108" i="33"/>
  <c r="J35" i="33"/>
  <c r="S37" i="33"/>
  <c r="AA37" i="33"/>
  <c r="S39" i="33"/>
  <c r="F101" i="33"/>
  <c r="G101" i="33"/>
  <c r="H101" i="33" s="1"/>
  <c r="I101" i="33" s="1"/>
  <c r="J101" i="33" s="1"/>
  <c r="K101" i="33" s="1"/>
  <c r="L101" i="33" s="1"/>
  <c r="M101" i="33"/>
  <c r="J32" i="33"/>
  <c r="S46" i="33"/>
  <c r="W43" i="33"/>
  <c r="S43" i="33"/>
  <c r="F91" i="33"/>
  <c r="H27" i="33"/>
  <c r="U27" i="33" s="1"/>
  <c r="F87" i="33"/>
  <c r="H25" i="33"/>
  <c r="F25" i="33"/>
  <c r="J23" i="33"/>
  <c r="F85" i="33"/>
  <c r="H23" i="33"/>
  <c r="AB23" i="33" s="1"/>
  <c r="F81" i="33"/>
  <c r="F19" i="33"/>
  <c r="S19" i="33"/>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1" i="6"/>
  <c r="E61" i="39" s="1"/>
  <c r="BL17" i="3"/>
  <c r="AZ17" i="3" s="1"/>
  <c r="BL13" i="3"/>
  <c r="G30" i="6"/>
  <c r="G31" i="6"/>
  <c r="A24" i="51"/>
  <c r="B18" i="72"/>
  <c r="U29" i="34"/>
  <c r="E14" i="6"/>
  <c r="E64" i="39" s="1"/>
  <c r="E5" i="6"/>
  <c r="D9" i="69" s="1"/>
  <c r="C9" i="69" s="1"/>
  <c r="E32" i="6"/>
  <c r="L19" i="6"/>
  <c r="G1" i="68"/>
  <c r="K1" i="12"/>
  <c r="AQ12" i="1"/>
  <c r="T12" i="1"/>
  <c r="E19" i="69"/>
  <c r="E19" i="68"/>
  <c r="E19" i="11"/>
  <c r="E1" i="73"/>
  <c r="G22" i="69"/>
  <c r="G22" i="68"/>
  <c r="G26" i="12"/>
  <c r="G22" i="11"/>
  <c r="C100" i="43"/>
  <c r="E11" i="43"/>
  <c r="C7" i="43" s="1"/>
  <c r="E10" i="43"/>
  <c r="E9" i="43"/>
  <c r="E8"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0"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c r="F33" i="21"/>
  <c r="J33" i="21"/>
  <c r="AC33" i="21" s="1"/>
  <c r="H33" i="21"/>
  <c r="AB33" i="21"/>
  <c r="F37" i="21"/>
  <c r="AA37" i="2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s="1"/>
  <c r="F29" i="21"/>
  <c r="S29" i="21"/>
  <c r="F13" i="21"/>
  <c r="AA13" i="2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F28" i="15"/>
  <c r="T11" i="1"/>
  <c r="E59" i="40"/>
  <c r="C28" i="15"/>
  <c r="E7" i="70"/>
  <c r="AA39" i="40"/>
  <c r="S39" i="40"/>
  <c r="S12" i="33"/>
  <c r="AA12" i="33"/>
  <c r="D68" i="9"/>
  <c r="J32" i="39"/>
  <c r="H32" i="39"/>
  <c r="U32" i="39" s="1"/>
  <c r="S26" i="35"/>
  <c r="U9" i="35"/>
  <c r="AA9" i="35"/>
  <c r="S9" i="35"/>
  <c r="AC26" i="35"/>
  <c r="W26" i="35"/>
  <c r="AB26" i="35"/>
  <c r="U26" i="35"/>
  <c r="AC17" i="37"/>
  <c r="S17" i="37"/>
  <c r="J19" i="37"/>
  <c r="AC19" i="37" s="1"/>
  <c r="G75" i="37"/>
  <c r="S19" i="37"/>
  <c r="AA19" i="37"/>
  <c r="AA23" i="37"/>
  <c r="J23" i="37"/>
  <c r="G79" i="37"/>
  <c r="J10" i="37"/>
  <c r="W10" i="37" s="1"/>
  <c r="I60" i="37"/>
  <c r="G63" i="37"/>
  <c r="H11" i="37"/>
  <c r="AB10" i="37"/>
  <c r="U10" i="37"/>
  <c r="G70" i="34"/>
  <c r="H70" i="34" s="1"/>
  <c r="H11" i="34"/>
  <c r="U11" i="34" s="1"/>
  <c r="U10" i="34"/>
  <c r="J10" i="34"/>
  <c r="W10" i="34" s="1"/>
  <c r="I67" i="34"/>
  <c r="AB41" i="33"/>
  <c r="U41" i="33"/>
  <c r="W35" i="33"/>
  <c r="AC35" i="33"/>
  <c r="H111" i="33"/>
  <c r="I111" i="33" s="1"/>
  <c r="J111" i="33" s="1"/>
  <c r="K111" i="33" s="1"/>
  <c r="L111" i="33" s="1"/>
  <c r="M111" i="33" s="1"/>
  <c r="J36" i="33"/>
  <c r="H36" i="33"/>
  <c r="AB36" i="33" s="1"/>
  <c r="S36" i="33"/>
  <c r="AA36" i="33"/>
  <c r="AC32" i="33"/>
  <c r="W32" i="33"/>
  <c r="G91" i="33"/>
  <c r="H91" i="33"/>
  <c r="I91" i="33" s="1"/>
  <c r="J91" i="33"/>
  <c r="K91" i="33"/>
  <c r="L91" i="33" s="1"/>
  <c r="M91" i="33" s="1"/>
  <c r="J27" i="33"/>
  <c r="AC27" i="33" s="1"/>
  <c r="U25" i="33"/>
  <c r="AB25" i="33"/>
  <c r="S25" i="33"/>
  <c r="AA25" i="33"/>
  <c r="G87" i="33"/>
  <c r="H87" i="33" s="1"/>
  <c r="I87" i="33" s="1"/>
  <c r="J87" i="33" s="1"/>
  <c r="K87" i="33" s="1"/>
  <c r="L87" i="33" s="1"/>
  <c r="M87" i="33" s="1"/>
  <c r="J25" i="33"/>
  <c r="W25" i="33" s="1"/>
  <c r="F23" i="33"/>
  <c r="AA23" i="33" s="1"/>
  <c r="G85" i="33"/>
  <c r="AC23" i="33"/>
  <c r="W23" i="33"/>
  <c r="AA19" i="33"/>
  <c r="H19" i="33"/>
  <c r="U19" i="33" s="1"/>
  <c r="G81" i="33"/>
  <c r="H17" i="33"/>
  <c r="U17" i="33" s="1"/>
  <c r="F17" i="33"/>
  <c r="W17" i="33"/>
  <c r="AC17" i="33"/>
  <c r="AC10" i="33"/>
  <c r="W10" i="33"/>
  <c r="AC37" i="21"/>
  <c r="U33" i="21"/>
  <c r="S37" i="21"/>
  <c r="AA23" i="21"/>
  <c r="AB15" i="21"/>
  <c r="J23" i="21"/>
  <c r="F85" i="21"/>
  <c r="G85" i="21"/>
  <c r="H23" i="21"/>
  <c r="AB23" i="21" s="1"/>
  <c r="S13" i="21"/>
  <c r="D6" i="52"/>
  <c r="R22" i="31"/>
  <c r="AP7" i="1"/>
  <c r="AB45" i="21"/>
  <c r="W33" i="21"/>
  <c r="S33" i="21"/>
  <c r="AA33" i="21"/>
  <c r="W32" i="21"/>
  <c r="AC32" i="21"/>
  <c r="AB9" i="21"/>
  <c r="U9" i="21"/>
  <c r="S32" i="21"/>
  <c r="W9" i="21"/>
  <c r="AC9" i="21"/>
  <c r="AB32" i="21"/>
  <c r="U32" i="21"/>
  <c r="AC32" i="39"/>
  <c r="W32" i="39"/>
  <c r="W19" i="37"/>
  <c r="W23" i="37"/>
  <c r="AC23" i="37"/>
  <c r="AB11" i="37"/>
  <c r="U11" i="37"/>
  <c r="H63" i="37"/>
  <c r="I63" i="37" s="1"/>
  <c r="J63" i="37"/>
  <c r="K63" i="37" s="1"/>
  <c r="L63" i="37" s="1"/>
  <c r="M63" i="37" s="1"/>
  <c r="J11" i="37"/>
  <c r="AC11" i="37" s="1"/>
  <c r="AC10" i="37"/>
  <c r="AC10" i="34"/>
  <c r="I70" i="34"/>
  <c r="J70" i="34" s="1"/>
  <c r="K70" i="34" s="1"/>
  <c r="L70" i="34" s="1"/>
  <c r="M70" i="34" s="1"/>
  <c r="J11" i="34"/>
  <c r="AC36" i="33"/>
  <c r="W36" i="33"/>
  <c r="U36" i="33"/>
  <c r="W27" i="33"/>
  <c r="AC25" i="33"/>
  <c r="S23" i="33"/>
  <c r="AB19" i="33"/>
  <c r="AA17" i="33"/>
  <c r="S17" i="33"/>
  <c r="U23" i="21"/>
  <c r="AC23" i="21"/>
  <c r="W23" i="21"/>
  <c r="W11" i="37"/>
  <c r="W11" i="34"/>
  <c r="AC11" i="34"/>
  <c r="F34" i="11"/>
  <c r="F11" i="12"/>
  <c r="C23" i="12" s="1"/>
  <c r="F34" i="68"/>
  <c r="R8" i="1"/>
  <c r="AE7" i="1"/>
  <c r="AE8" i="1"/>
  <c r="AG6" i="1"/>
  <c r="H109" i="9"/>
  <c r="D124" i="9" s="1"/>
  <c r="H14" i="74" s="1"/>
  <c r="B7" i="74" s="1"/>
  <c r="H110" i="9"/>
  <c r="D18" i="53" s="1"/>
  <c r="B35" i="72" s="1"/>
  <c r="D16" i="53"/>
  <c r="B34" i="72"/>
  <c r="D10" i="52"/>
  <c r="D17" i="53"/>
  <c r="B36" i="72" s="1"/>
  <c r="D125" i="9"/>
  <c r="D11" i="52" s="1"/>
  <c r="H112" i="9"/>
  <c r="D21" i="53" s="1"/>
  <c r="B39" i="72" s="1"/>
  <c r="H111" i="9"/>
  <c r="D126" i="9"/>
  <c r="I14" i="74" s="1"/>
  <c r="B8" i="74" s="1"/>
  <c r="D19" i="53"/>
  <c r="D20" i="53" s="1"/>
  <c r="B40" i="72" s="1"/>
  <c r="B38"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D68" i="39"/>
  <c r="D70" i="39" s="1"/>
  <c r="E46" i="36"/>
  <c r="F46" i="36" s="1"/>
  <c r="G46" i="36" s="1"/>
  <c r="H46" i="36" s="1"/>
  <c r="I46" i="36" s="1"/>
  <c r="C24" i="12"/>
  <c r="C15" i="71"/>
  <c r="C14" i="71" s="1"/>
  <c r="C13" i="71" s="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s="1"/>
  <c r="G20" i="43"/>
  <c r="E41" i="43"/>
  <c r="C41" i="43" s="1"/>
  <c r="F16" i="67"/>
  <c r="E12" i="76"/>
  <c r="M23" i="67"/>
  <c r="M29" i="67"/>
  <c r="D2" i="36"/>
  <c r="F9" i="15"/>
  <c r="F36" i="15"/>
  <c r="L47" i="15"/>
  <c r="M8" i="67"/>
  <c r="M28" i="67"/>
  <c r="D2" i="37"/>
  <c r="F6" i="67"/>
  <c r="F6" i="73"/>
  <c r="D3" i="73"/>
  <c r="M9" i="67"/>
  <c r="D2" i="35"/>
  <c r="F16" i="15"/>
  <c r="F42" i="15"/>
  <c r="C76" i="15"/>
  <c r="L47" i="67"/>
  <c r="J15" i="15"/>
  <c r="F26" i="67"/>
  <c r="F20" i="31"/>
  <c r="M23" i="15"/>
  <c r="B10" i="76"/>
  <c r="F9" i="67"/>
  <c r="E13" i="76"/>
  <c r="F3" i="73"/>
  <c r="D5" i="73"/>
  <c r="D4" i="73"/>
  <c r="M22" i="67"/>
  <c r="B7" i="76"/>
  <c r="AO13" i="1"/>
  <c r="M29" i="15"/>
  <c r="M8" i="15"/>
  <c r="L48" i="67"/>
  <c r="D2" i="34"/>
  <c r="M26" i="15"/>
  <c r="F5" i="73"/>
  <c r="M26" i="67"/>
  <c r="B12" i="76"/>
  <c r="F26" i="15"/>
  <c r="M24" i="67"/>
  <c r="M28" i="15"/>
  <c r="D2" i="33"/>
  <c r="F38" i="15"/>
  <c r="AO7" i="1"/>
  <c r="F43" i="67"/>
  <c r="F13" i="67"/>
  <c r="B9" i="76"/>
  <c r="E2" i="68"/>
  <c r="D2" i="21"/>
  <c r="F42" i="67"/>
  <c r="B11" i="76"/>
  <c r="F43" i="15"/>
  <c r="M27" i="67"/>
  <c r="F36" i="67"/>
  <c r="M24" i="15"/>
  <c r="D6" i="73"/>
  <c r="F6" i="15"/>
  <c r="F8" i="67"/>
  <c r="J15" i="67"/>
  <c r="E8" i="76"/>
  <c r="B13" i="76"/>
  <c r="E10" i="76"/>
  <c r="M27" i="15"/>
  <c r="E11" i="76"/>
  <c r="F8" i="15"/>
  <c r="F41" i="67"/>
  <c r="F7" i="15"/>
  <c r="E2" i="69"/>
  <c r="F13" i="15"/>
  <c r="AO12" i="1"/>
  <c r="E9" i="76"/>
  <c r="F40" i="67"/>
  <c r="F40" i="15"/>
  <c r="C76" i="67"/>
  <c r="F37" i="15"/>
  <c r="F4" i="73"/>
  <c r="M9" i="15"/>
  <c r="B8" i="76"/>
  <c r="F38" i="67"/>
  <c r="AO10" i="1"/>
  <c r="AO11" i="1"/>
  <c r="AO8" i="1"/>
  <c r="M6" i="67"/>
  <c r="M22" i="15"/>
  <c r="AO9" i="1"/>
  <c r="F37" i="67"/>
  <c r="D7" i="73"/>
  <c r="L48" i="15"/>
  <c r="F7" i="67"/>
  <c r="F7" i="73"/>
  <c r="M6" i="15"/>
  <c r="E7" i="76"/>
  <c r="J56" i="9" l="1"/>
  <c r="J57" i="9" s="1"/>
  <c r="J59" i="9" s="1"/>
  <c r="J61" i="9" s="1"/>
  <c r="A2" i="9"/>
  <c r="A4" i="52"/>
  <c r="B41" i="72" s="1"/>
  <c r="E15" i="6"/>
  <c r="L27" i="6"/>
  <c r="C5" i="11"/>
  <c r="T8" i="1"/>
  <c r="E10" i="6"/>
  <c r="E12" i="6"/>
  <c r="E62" i="39" s="1"/>
  <c r="AQ9" i="1"/>
  <c r="E13" i="6"/>
  <c r="E12" i="71"/>
  <c r="E11" i="71" s="1"/>
  <c r="E10" i="71" s="1"/>
  <c r="E9" i="71" s="1"/>
  <c r="V13" i="71"/>
  <c r="AB17" i="33"/>
  <c r="U23" i="33"/>
  <c r="C12" i="71"/>
  <c r="T13" i="71"/>
  <c r="AB27" i="33"/>
  <c r="D9" i="11"/>
  <c r="C9" i="11" s="1"/>
  <c r="D9" i="68"/>
  <c r="C9" i="68" s="1"/>
  <c r="E68" i="39"/>
  <c r="F68" i="39" s="1"/>
  <c r="G68" i="39" s="1"/>
  <c r="E60" i="40"/>
  <c r="E65" i="39"/>
  <c r="S10" i="21"/>
  <c r="AB11" i="34"/>
  <c r="AQ8" i="1"/>
  <c r="AB10" i="33"/>
  <c r="D13" i="71"/>
  <c r="D14" i="71"/>
  <c r="D15" i="71"/>
  <c r="M7" i="1"/>
  <c r="O7" i="1" s="1"/>
  <c r="F30" i="6"/>
  <c r="E29" i="6"/>
  <c r="AZ513" i="3"/>
  <c r="AZ508" i="3"/>
  <c r="AA27" i="40"/>
  <c r="AZ389" i="3"/>
  <c r="AZ581" i="3"/>
  <c r="AA12" i="21"/>
  <c r="S12" i="21"/>
  <c r="C20" i="43"/>
  <c r="T12" i="43" s="1"/>
  <c r="V12" i="43" s="1"/>
  <c r="AZ503" i="3"/>
  <c r="AZ517" i="3"/>
  <c r="AZ559" i="3"/>
  <c r="F27" i="39"/>
  <c r="H27" i="39"/>
  <c r="J27" i="39"/>
  <c r="H50" i="43"/>
  <c r="T10" i="1"/>
  <c r="AZ311" i="3"/>
  <c r="AZ507" i="3"/>
  <c r="AR10" i="1"/>
  <c r="AB27" i="36"/>
  <c r="AZ322" i="3"/>
  <c r="AZ336" i="3"/>
  <c r="AZ511" i="3"/>
  <c r="AZ585" i="3"/>
  <c r="AB34" i="35"/>
  <c r="U34" i="35"/>
  <c r="F44" i="39"/>
  <c r="H44" i="39"/>
  <c r="AC45" i="33"/>
  <c r="AB13" i="34"/>
  <c r="U43" i="33"/>
  <c r="S45" i="33"/>
  <c r="AB26" i="33"/>
  <c r="F12" i="35"/>
  <c r="W35" i="40"/>
  <c r="AC31" i="33"/>
  <c r="U13" i="33"/>
  <c r="AA14" i="34"/>
  <c r="W13" i="36"/>
  <c r="W29" i="33"/>
  <c r="AC30" i="34"/>
  <c r="AA14" i="33"/>
  <c r="U11" i="36"/>
  <c r="W11" i="35"/>
  <c r="AA14" i="37"/>
  <c r="F34" i="35"/>
  <c r="J34" i="35"/>
  <c r="BA399" i="3"/>
  <c r="AZ399" i="3" s="1"/>
  <c r="AZ406" i="3"/>
  <c r="BL410" i="3"/>
  <c r="BA412" i="3"/>
  <c r="AZ412" i="3" s="1"/>
  <c r="AZ423" i="3"/>
  <c r="BA426" i="3"/>
  <c r="AZ426" i="3" s="1"/>
  <c r="BA428" i="3"/>
  <c r="AZ428" i="3" s="1"/>
  <c r="AZ438" i="3"/>
  <c r="AZ447" i="3"/>
  <c r="AZ451" i="3"/>
  <c r="AZ453" i="3"/>
  <c r="AZ466" i="3"/>
  <c r="AZ476" i="3"/>
  <c r="AZ482" i="3"/>
  <c r="AZ489" i="3"/>
  <c r="H39" i="40"/>
  <c r="W31" i="35"/>
  <c r="BL402" i="3"/>
  <c r="AZ402" i="3" s="1"/>
  <c r="AZ407" i="3"/>
  <c r="BL409" i="3"/>
  <c r="BA411" i="3"/>
  <c r="AZ411" i="3" s="1"/>
  <c r="G412" i="3"/>
  <c r="BA413" i="3"/>
  <c r="AZ413" i="3" s="1"/>
  <c r="AZ422" i="3"/>
  <c r="BL429" i="3"/>
  <c r="AZ429" i="3" s="1"/>
  <c r="AZ410" i="3"/>
  <c r="BL418" i="3"/>
  <c r="AZ424" i="3"/>
  <c r="AZ432" i="3"/>
  <c r="AZ445" i="3"/>
  <c r="AZ474" i="3"/>
  <c r="AZ480" i="3"/>
  <c r="AZ332" i="3"/>
  <c r="AZ405" i="3"/>
  <c r="BL407" i="3"/>
  <c r="BA409" i="3"/>
  <c r="AZ409" i="3" s="1"/>
  <c r="G410" i="3"/>
  <c r="BA415" i="3"/>
  <c r="AZ415" i="3" s="1"/>
  <c r="AZ419" i="3"/>
  <c r="AZ442" i="3"/>
  <c r="AZ448" i="3"/>
  <c r="AZ454" i="3"/>
  <c r="AZ467" i="3"/>
  <c r="AZ470" i="3"/>
  <c r="AZ472" i="3"/>
  <c r="AZ477" i="3"/>
  <c r="AZ483" i="3"/>
  <c r="AZ418" i="3"/>
  <c r="AZ420" i="3"/>
  <c r="G429" i="3"/>
  <c r="BA398" i="3"/>
  <c r="AZ398" i="3" s="1"/>
  <c r="AZ484" i="3"/>
  <c r="AZ492" i="3"/>
  <c r="BL363" i="3"/>
  <c r="AZ363" i="3" s="1"/>
  <c r="G380" i="3"/>
  <c r="BL383" i="3"/>
  <c r="AZ383" i="3" s="1"/>
  <c r="AZ385" i="3"/>
  <c r="AZ208" i="3"/>
  <c r="AZ216" i="3"/>
  <c r="AZ220" i="3"/>
  <c r="AZ225" i="3"/>
  <c r="AZ272" i="3"/>
  <c r="AZ292" i="3"/>
  <c r="BL375" i="3"/>
  <c r="AZ375" i="3" s="1"/>
  <c r="G384" i="3"/>
  <c r="AZ211" i="3"/>
  <c r="AZ242" i="3"/>
  <c r="AZ267" i="3"/>
  <c r="AZ277" i="3"/>
  <c r="AZ278" i="3"/>
  <c r="BL348" i="3"/>
  <c r="AZ348" i="3" s="1"/>
  <c r="AZ252" i="3"/>
  <c r="AZ258" i="3"/>
  <c r="AZ294" i="3"/>
  <c r="BA335" i="3"/>
  <c r="AZ335" i="3" s="1"/>
  <c r="BA358" i="3"/>
  <c r="AZ358" i="3" s="1"/>
  <c r="BL365" i="3"/>
  <c r="AZ365" i="3" s="1"/>
  <c r="BA388" i="3"/>
  <c r="AZ388" i="3" s="1"/>
  <c r="AZ219" i="3"/>
  <c r="AZ221" i="3"/>
  <c r="AZ226" i="3"/>
  <c r="AZ255" i="3"/>
  <c r="AZ262" i="3"/>
  <c r="AZ270" i="3"/>
  <c r="AZ284" i="3"/>
  <c r="AZ161" i="3"/>
  <c r="BL291" i="3"/>
  <c r="AZ291" i="3" s="1"/>
  <c r="BL295" i="3"/>
  <c r="AZ295" i="3" s="1"/>
  <c r="BA300" i="3"/>
  <c r="AZ300" i="3" s="1"/>
  <c r="G115" i="3"/>
  <c r="BL130" i="3"/>
  <c r="BA134" i="3"/>
  <c r="G150" i="3"/>
  <c r="G167" i="3"/>
  <c r="G171" i="3"/>
  <c r="BL177" i="3"/>
  <c r="BA181" i="3"/>
  <c r="AZ181" i="3" s="1"/>
  <c r="BA130" i="3"/>
  <c r="AZ130" i="3" s="1"/>
  <c r="AZ40" i="3"/>
  <c r="G295" i="3"/>
  <c r="BA302" i="3"/>
  <c r="AZ302" i="3" s="1"/>
  <c r="BL123" i="3"/>
  <c r="AZ123" i="3" s="1"/>
  <c r="BA137" i="3"/>
  <c r="AZ137" i="3" s="1"/>
  <c r="BA141" i="3"/>
  <c r="AZ141" i="3" s="1"/>
  <c r="BA145" i="3"/>
  <c r="AZ145" i="3" s="1"/>
  <c r="BL153" i="3"/>
  <c r="BA156" i="3"/>
  <c r="AZ156" i="3" s="1"/>
  <c r="BL159" i="3"/>
  <c r="AZ159" i="3" s="1"/>
  <c r="BL173" i="3"/>
  <c r="AZ173" i="3" s="1"/>
  <c r="BL175" i="3"/>
  <c r="AZ175" i="3" s="1"/>
  <c r="AZ177" i="3"/>
  <c r="G180" i="3"/>
  <c r="BL194" i="3"/>
  <c r="AZ194" i="3" s="1"/>
  <c r="G198" i="3"/>
  <c r="AZ201" i="3"/>
  <c r="BL22" i="3"/>
  <c r="BA24" i="3"/>
  <c r="AZ24" i="3" s="1"/>
  <c r="BA29" i="3"/>
  <c r="AZ29" i="3" s="1"/>
  <c r="BL32" i="3"/>
  <c r="AZ32" i="3" s="1"/>
  <c r="BL41" i="3"/>
  <c r="AZ41" i="3" s="1"/>
  <c r="AZ153" i="3"/>
  <c r="G119" i="3"/>
  <c r="BL126" i="3"/>
  <c r="BL131" i="3"/>
  <c r="AZ131" i="3" s="1"/>
  <c r="BL134" i="3"/>
  <c r="BL138" i="3"/>
  <c r="AZ138" i="3" s="1"/>
  <c r="BL142" i="3"/>
  <c r="AZ142" i="3" s="1"/>
  <c r="BL146" i="3"/>
  <c r="AZ146" i="3" s="1"/>
  <c r="G154" i="3"/>
  <c r="BA158" i="3"/>
  <c r="AZ158" i="3" s="1"/>
  <c r="BL163" i="3"/>
  <c r="AZ163" i="3" s="1"/>
  <c r="BL166" i="3"/>
  <c r="AZ166" i="3" s="1"/>
  <c r="BL170" i="3"/>
  <c r="AZ170" i="3" s="1"/>
  <c r="G176" i="3"/>
  <c r="AZ25" i="3"/>
  <c r="AZ30" i="3"/>
  <c r="AZ36" i="3"/>
  <c r="AZ65" i="3"/>
  <c r="G293" i="3"/>
  <c r="G298" i="3"/>
  <c r="BL300" i="3"/>
  <c r="BL117" i="3"/>
  <c r="AZ117" i="3" s="1"/>
  <c r="BA126" i="3"/>
  <c r="AZ126" i="3" s="1"/>
  <c r="BL133" i="3"/>
  <c r="AZ133" i="3" s="1"/>
  <c r="BA150" i="3"/>
  <c r="AZ150" i="3" s="1"/>
  <c r="BL150" i="3"/>
  <c r="BA168" i="3"/>
  <c r="AZ168" i="3" s="1"/>
  <c r="BA172" i="3"/>
  <c r="AZ172" i="3" s="1"/>
  <c r="BL199" i="3"/>
  <c r="AZ199" i="3" s="1"/>
  <c r="G202" i="3"/>
  <c r="BL207" i="3"/>
  <c r="AZ207" i="3" s="1"/>
  <c r="BA19" i="3"/>
  <c r="AZ56" i="3"/>
  <c r="AZ60" i="3"/>
  <c r="AZ68" i="3"/>
  <c r="AZ87" i="3"/>
  <c r="AZ90" i="3"/>
  <c r="BL53" i="3"/>
  <c r="AZ53" i="3" s="1"/>
  <c r="BA66" i="3"/>
  <c r="AZ66" i="3" s="1"/>
  <c r="BA67" i="3"/>
  <c r="AZ67" i="3" s="1"/>
  <c r="BL69" i="3"/>
  <c r="BA78" i="3"/>
  <c r="AZ78" i="3" s="1"/>
  <c r="AZ92" i="3"/>
  <c r="AZ95" i="3"/>
  <c r="BL101" i="3"/>
  <c r="AZ101" i="3" s="1"/>
  <c r="BA37" i="3"/>
  <c r="AZ37" i="3" s="1"/>
  <c r="BL48" i="3"/>
  <c r="AZ48" i="3" s="1"/>
  <c r="G67" i="3"/>
  <c r="BA74" i="3"/>
  <c r="BL77" i="3"/>
  <c r="AZ77" i="3" s="1"/>
  <c r="G95" i="3"/>
  <c r="AZ96" i="3"/>
  <c r="G97" i="3"/>
  <c r="BA99" i="3"/>
  <c r="AZ99" i="3" s="1"/>
  <c r="BL102" i="3"/>
  <c r="AZ102" i="3" s="1"/>
  <c r="BL104" i="3"/>
  <c r="K13" i="1"/>
  <c r="C34" i="69" s="1"/>
  <c r="B13" i="1"/>
  <c r="E13" i="1" s="1"/>
  <c r="BA47" i="3"/>
  <c r="AZ47" i="3" s="1"/>
  <c r="BL64" i="3"/>
  <c r="AZ64" i="3" s="1"/>
  <c r="BA76" i="3"/>
  <c r="AZ76" i="3" s="1"/>
  <c r="BL87" i="3"/>
  <c r="AZ104" i="3"/>
  <c r="BL108" i="3"/>
  <c r="AZ108" i="3" s="1"/>
  <c r="G48" i="3"/>
  <c r="G5" i="3" s="1"/>
  <c r="B3" i="3" s="1"/>
  <c r="BA54" i="3"/>
  <c r="AZ54" i="3" s="1"/>
  <c r="BA55" i="3"/>
  <c r="AZ55" i="3" s="1"/>
  <c r="BL60" i="3"/>
  <c r="BA69" i="3"/>
  <c r="AZ69" i="3" s="1"/>
  <c r="BL72" i="3"/>
  <c r="G77" i="3"/>
  <c r="BA103" i="3"/>
  <c r="AZ106" i="3"/>
  <c r="BL111" i="3"/>
  <c r="AZ111" i="3" s="1"/>
  <c r="BL45" i="3"/>
  <c r="AZ45" i="3" s="1"/>
  <c r="BA49" i="3"/>
  <c r="AZ49" i="3" s="1"/>
  <c r="BA50" i="3"/>
  <c r="AZ50" i="3" s="1"/>
  <c r="G55" i="3"/>
  <c r="BA59" i="3"/>
  <c r="AZ59" i="3" s="1"/>
  <c r="BA71" i="3"/>
  <c r="AZ71" i="3" s="1"/>
  <c r="BA72" i="3"/>
  <c r="AZ72" i="3" s="1"/>
  <c r="BL74" i="3"/>
  <c r="BA79" i="3"/>
  <c r="AZ79" i="3" s="1"/>
  <c r="BA81" i="3"/>
  <c r="AZ81" i="3" s="1"/>
  <c r="G82" i="3"/>
  <c r="BA84" i="3"/>
  <c r="AZ84" i="3" s="1"/>
  <c r="G85" i="3"/>
  <c r="BL90" i="3"/>
  <c r="BA98" i="3"/>
  <c r="AZ98" i="3" s="1"/>
  <c r="BL103" i="3"/>
  <c r="K100" i="43"/>
  <c r="U18" i="35"/>
  <c r="B55" i="43"/>
  <c r="B66" i="43"/>
  <c r="P27" i="6"/>
  <c r="C25" i="71"/>
  <c r="D24" i="71"/>
  <c r="X18" i="71"/>
  <c r="X19" i="71"/>
  <c r="X20" i="71"/>
  <c r="X22" i="71"/>
  <c r="X21" i="71"/>
  <c r="X23" i="71"/>
  <c r="AA24" i="71"/>
  <c r="AB25" i="71"/>
  <c r="F28" i="71"/>
  <c r="F29" i="71" s="1"/>
  <c r="V29" i="71" s="1"/>
  <c r="AA28" i="71"/>
  <c r="AA29" i="71"/>
  <c r="T65" i="71"/>
  <c r="C64" i="71"/>
  <c r="I100" i="43"/>
  <c r="E108" i="43"/>
  <c r="B86" i="43"/>
  <c r="X24" i="71"/>
  <c r="X26" i="71"/>
  <c r="X25" i="71"/>
  <c r="X27" i="71"/>
  <c r="C36" i="71"/>
  <c r="D35" i="71"/>
  <c r="C44" i="71"/>
  <c r="D43" i="71"/>
  <c r="AB18" i="71"/>
  <c r="AA16" i="71"/>
  <c r="J51" i="15"/>
  <c r="C19" i="71"/>
  <c r="D19" i="71" s="1"/>
  <c r="D20" i="71"/>
  <c r="X30" i="71"/>
  <c r="X31" i="71"/>
  <c r="AA14" i="71"/>
  <c r="AB7" i="71"/>
  <c r="X7" i="71"/>
  <c r="M108" i="43"/>
  <c r="D108" i="43"/>
  <c r="AA30" i="71"/>
  <c r="AA18" i="71"/>
  <c r="AA19" i="71"/>
  <c r="AA22" i="71"/>
  <c r="AA20" i="71"/>
  <c r="AA21" i="71"/>
  <c r="E23" i="71"/>
  <c r="E24" i="71" s="1"/>
  <c r="E25" i="71" s="1"/>
  <c r="U25" i="71" s="1"/>
  <c r="AB23" i="71"/>
  <c r="AB22" i="71"/>
  <c r="AA27" i="71"/>
  <c r="W21" i="37"/>
  <c r="AA21" i="21"/>
  <c r="S21" i="21"/>
  <c r="T29" i="71"/>
  <c r="D29" i="71"/>
  <c r="AB27" i="71"/>
  <c r="AB26" i="71"/>
  <c r="X29" i="71"/>
  <c r="C32" i="71"/>
  <c r="D31" i="71"/>
  <c r="C52" i="71"/>
  <c r="D51" i="71"/>
  <c r="C57" i="71"/>
  <c r="D56" i="71"/>
  <c r="AB14" i="71"/>
  <c r="AB17" i="71"/>
  <c r="X14" i="71"/>
  <c r="AA6" i="71"/>
  <c r="C32" i="66"/>
  <c r="E26" i="66" s="1"/>
  <c r="U21" i="34"/>
  <c r="AB20" i="71"/>
  <c r="F21" i="71"/>
  <c r="F20" i="71" s="1"/>
  <c r="F19" i="71" s="1"/>
  <c r="AB21" i="71"/>
  <c r="AB31" i="71"/>
  <c r="AB30" i="71"/>
  <c r="AA17" i="71"/>
  <c r="AB11" i="71"/>
  <c r="AB10" i="71"/>
  <c r="D49" i="71"/>
  <c r="O58" i="71"/>
  <c r="D21" i="71"/>
  <c r="U21" i="71" s="1"/>
  <c r="O61" i="71"/>
  <c r="Y30" i="71"/>
  <c r="Z30" i="71" s="1"/>
  <c r="B68" i="71"/>
  <c r="B67" i="71" s="1"/>
  <c r="AA10" i="43"/>
  <c r="V17" i="71"/>
  <c r="AA11" i="71"/>
  <c r="X8" i="71"/>
  <c r="AB6" i="71"/>
  <c r="Y5" i="71"/>
  <c r="Z5" i="71" s="1"/>
  <c r="D59" i="71"/>
  <c r="C67" i="71"/>
  <c r="D67" i="71" s="1"/>
  <c r="D69" i="71"/>
  <c r="Y19" i="71"/>
  <c r="Z19" i="71" s="1"/>
  <c r="F60" i="71"/>
  <c r="V61" i="71"/>
  <c r="Z10" i="43"/>
  <c r="K56" i="9"/>
  <c r="Y16" i="71"/>
  <c r="Z16" i="71" s="1"/>
  <c r="AB16" i="71"/>
  <c r="AA10" i="71"/>
  <c r="AB5" i="71"/>
  <c r="Y6" i="71"/>
  <c r="Z6" i="71" s="1"/>
  <c r="D60" i="71"/>
  <c r="Y24" i="71"/>
  <c r="Z24" i="71" s="1"/>
  <c r="Y28" i="71"/>
  <c r="Z28" i="71" s="1"/>
  <c r="AJ10" i="43"/>
  <c r="M56" i="9"/>
  <c r="X17" i="71"/>
  <c r="AA15" i="71"/>
  <c r="AA8" i="71"/>
  <c r="Y18" i="71"/>
  <c r="Z18" i="71" s="1"/>
  <c r="AG10" i="43"/>
  <c r="Y15" i="71"/>
  <c r="Z15" i="71" s="1"/>
  <c r="X15" i="71"/>
  <c r="AB8" i="71"/>
  <c r="X10" i="71"/>
  <c r="AA5" i="71"/>
  <c r="X6" i="71"/>
  <c r="X11" i="71"/>
  <c r="X5" i="71"/>
  <c r="Y11" i="71"/>
  <c r="Z11" i="71" s="1"/>
  <c r="AA7" i="71"/>
  <c r="U38" i="39"/>
  <c r="D5" i="43"/>
  <c r="C5" i="43"/>
  <c r="F41" i="39"/>
  <c r="S41" i="39" s="1"/>
  <c r="F124" i="39"/>
  <c r="G124" i="39" s="1"/>
  <c r="H124" i="39" s="1"/>
  <c r="I124" i="39" s="1"/>
  <c r="J124" i="39" s="1"/>
  <c r="K124" i="39" s="1"/>
  <c r="L124" i="39" s="1"/>
  <c r="M124" i="39" s="1"/>
  <c r="J41" i="39"/>
  <c r="W41" i="39" s="1"/>
  <c r="H41" i="39"/>
  <c r="W29" i="39"/>
  <c r="F99" i="39"/>
  <c r="G99" i="39" s="1"/>
  <c r="F21" i="39"/>
  <c r="H21" i="39"/>
  <c r="AB21" i="39" s="1"/>
  <c r="J21" i="39"/>
  <c r="G95" i="39"/>
  <c r="J19" i="39"/>
  <c r="F93" i="39"/>
  <c r="G93" i="39" s="1"/>
  <c r="F19" i="39"/>
  <c r="G91" i="39"/>
  <c r="F17" i="39"/>
  <c r="J17" i="39"/>
  <c r="H17" i="39"/>
  <c r="W12" i="39"/>
  <c r="AC12" i="39"/>
  <c r="U29" i="39"/>
  <c r="S29" i="39"/>
  <c r="W39" i="39"/>
  <c r="W42" i="39"/>
  <c r="S42" i="39"/>
  <c r="AC41" i="39"/>
  <c r="U40" i="39"/>
  <c r="S40" i="39"/>
  <c r="S32" i="39"/>
  <c r="AB32" i="39"/>
  <c r="S31" i="39"/>
  <c r="AC15" i="39"/>
  <c r="P61" i="15"/>
  <c r="F31" i="12"/>
  <c r="C31" i="12" s="1"/>
  <c r="C94" i="9"/>
  <c r="C92" i="9"/>
  <c r="M18" i="67"/>
  <c r="F30" i="68"/>
  <c r="F48" i="68" s="1"/>
  <c r="F48" i="9"/>
  <c r="O52" i="9" s="1"/>
  <c r="C30" i="68"/>
  <c r="C77" i="9"/>
  <c r="C74" i="9" s="1"/>
  <c r="C13" i="12"/>
  <c r="C36" i="11"/>
  <c r="F54" i="9"/>
  <c r="M18" i="15"/>
  <c r="F32" i="15"/>
  <c r="F60" i="15" s="1"/>
  <c r="F30" i="69"/>
  <c r="F32" i="67"/>
  <c r="F60" i="67" s="1"/>
  <c r="F52" i="9"/>
  <c r="F28" i="67"/>
  <c r="C28" i="67" s="1"/>
  <c r="F30" i="11"/>
  <c r="C21" i="69"/>
  <c r="D22" i="67"/>
  <c r="C36" i="69"/>
  <c r="AQ11" i="1"/>
  <c r="AR11" i="1"/>
  <c r="AR13" i="1"/>
  <c r="AQ13" i="1"/>
  <c r="T13" i="1"/>
  <c r="T9" i="1"/>
  <c r="F27" i="6"/>
  <c r="E56" i="39"/>
  <c r="E51" i="40"/>
  <c r="K15" i="1"/>
  <c r="E30" i="6"/>
  <c r="D19" i="12"/>
  <c r="C19" i="12" s="1"/>
  <c r="O12" i="1"/>
  <c r="P12" i="1" s="1"/>
  <c r="O9" i="1"/>
  <c r="P9" i="1" s="1"/>
  <c r="O8" i="1"/>
  <c r="P8" i="1" s="1"/>
  <c r="O14" i="1"/>
  <c r="P14" i="1" s="1"/>
  <c r="P6" i="1"/>
  <c r="E56" i="40"/>
  <c r="T35" i="4"/>
  <c r="A19" i="51" s="1"/>
  <c r="B14" i="72" s="1"/>
  <c r="A15" i="62"/>
  <c r="B61" i="72" s="1"/>
  <c r="T14" i="43"/>
  <c r="V14" i="43" s="1"/>
  <c r="D12" i="52"/>
  <c r="D127" i="9"/>
  <c r="D13" i="52" s="1"/>
  <c r="F70" i="39"/>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Y9" i="71"/>
  <c r="Z9" i="71" s="1"/>
  <c r="Y8" i="71"/>
  <c r="AA9" i="71"/>
  <c r="AB3" i="71"/>
  <c r="C35" i="43"/>
  <c r="E35" i="43" s="1"/>
  <c r="T9" i="43"/>
  <c r="V9" i="43" s="1"/>
  <c r="C39" i="43"/>
  <c r="C37" i="43"/>
  <c r="E37" i="43" s="1"/>
  <c r="B9" i="71"/>
  <c r="X9" i="71"/>
  <c r="AB9" i="71"/>
  <c r="T15" i="43"/>
  <c r="V15" i="43" s="1"/>
  <c r="Z8" i="71"/>
  <c r="Y3" i="71"/>
  <c r="Z3" i="71" s="1"/>
  <c r="F9" i="71"/>
  <c r="F8" i="71" s="1"/>
  <c r="F7" i="71" s="1"/>
  <c r="F6" i="71" s="1"/>
  <c r="F5" i="71" s="1"/>
  <c r="AF3" i="71"/>
  <c r="P22" i="43" s="1"/>
  <c r="T10" i="43"/>
  <c r="V10" i="43" s="1"/>
  <c r="T16" i="43"/>
  <c r="V16" i="43" s="1"/>
  <c r="T8" i="43"/>
  <c r="V8"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67"/>
  <c r="C16" i="15"/>
  <c r="G1" i="73"/>
  <c r="AA41" i="39" l="1"/>
  <c r="U21" i="39"/>
  <c r="T13" i="43"/>
  <c r="V13" i="43" s="1"/>
  <c r="C33" i="43"/>
  <c r="E33" i="43" s="1"/>
  <c r="C34" i="43"/>
  <c r="C36" i="43"/>
  <c r="E36" i="43" s="1"/>
  <c r="J7" i="37"/>
  <c r="E70" i="39"/>
  <c r="H19" i="39"/>
  <c r="U19" i="39" s="1"/>
  <c r="E16" i="6"/>
  <c r="E58" i="40"/>
  <c r="E63" i="39"/>
  <c r="E66" i="39" s="1"/>
  <c r="E57" i="40"/>
  <c r="G16" i="1"/>
  <c r="F10" i="39" s="1"/>
  <c r="S10" i="39" s="1"/>
  <c r="K16" i="1"/>
  <c r="P7" i="1"/>
  <c r="H16" i="1"/>
  <c r="F31" i="6"/>
  <c r="C35" i="69"/>
  <c r="C38" i="69"/>
  <c r="I3" i="6"/>
  <c r="H7" i="36"/>
  <c r="AB7" i="36" s="1"/>
  <c r="T36" i="36" s="1"/>
  <c r="G36" i="36" s="1"/>
  <c r="AZ74" i="3"/>
  <c r="AZ19" i="3"/>
  <c r="BA5" i="3"/>
  <c r="E27" i="6" s="1"/>
  <c r="K19" i="6" s="1"/>
  <c r="M19" i="6" s="1"/>
  <c r="AC27" i="39"/>
  <c r="W27" i="39"/>
  <c r="C11" i="71"/>
  <c r="D12" i="71"/>
  <c r="F25" i="39"/>
  <c r="S25" i="39" s="1"/>
  <c r="T57" i="71"/>
  <c r="D57" i="71"/>
  <c r="C45" i="71"/>
  <c r="D44" i="71"/>
  <c r="D25" i="71"/>
  <c r="T25" i="71"/>
  <c r="AZ103" i="3"/>
  <c r="BL5" i="3"/>
  <c r="U27" i="39"/>
  <c r="AB27" i="39"/>
  <c r="B8" i="71"/>
  <c r="B7" i="71" s="1"/>
  <c r="B6" i="71" s="1"/>
  <c r="B5" i="71" s="1"/>
  <c r="S9" i="71"/>
  <c r="H25" i="39"/>
  <c r="AZ22" i="3"/>
  <c r="AC34" i="35"/>
  <c r="W34" i="35"/>
  <c r="AA27" i="39"/>
  <c r="S27" i="39"/>
  <c r="J25" i="39"/>
  <c r="W25" i="39" s="1"/>
  <c r="C53" i="71"/>
  <c r="D52" i="71"/>
  <c r="C37" i="71"/>
  <c r="D36" i="71"/>
  <c r="AA34" i="35"/>
  <c r="S34" i="35"/>
  <c r="S12" i="35"/>
  <c r="AA12" i="35"/>
  <c r="AB44" i="39"/>
  <c r="U44" i="39"/>
  <c r="M13" i="1"/>
  <c r="Q16" i="1"/>
  <c r="AZ134" i="3"/>
  <c r="U39" i="40"/>
  <c r="AB39" i="40"/>
  <c r="AA44" i="39"/>
  <c r="S44" i="39"/>
  <c r="U13" i="71"/>
  <c r="Q60" i="71"/>
  <c r="F59" i="71"/>
  <c r="C33" i="71"/>
  <c r="D32" i="71"/>
  <c r="D64" i="71"/>
  <c r="C63" i="71"/>
  <c r="D63" i="71" s="1"/>
  <c r="E8" i="71"/>
  <c r="E7" i="71" s="1"/>
  <c r="E6" i="71" s="1"/>
  <c r="E5" i="71" s="1"/>
  <c r="V9" i="71"/>
  <c r="G35" i="43"/>
  <c r="I35" i="43" s="1"/>
  <c r="AB41" i="39"/>
  <c r="U41" i="39"/>
  <c r="W21" i="39"/>
  <c r="AC21" i="39"/>
  <c r="AA21" i="39"/>
  <c r="S21" i="39"/>
  <c r="AA19" i="39"/>
  <c r="S19" i="39"/>
  <c r="AC19" i="39"/>
  <c r="W19" i="39"/>
  <c r="AB17" i="39"/>
  <c r="U17" i="39"/>
  <c r="AA17" i="39"/>
  <c r="S17" i="39"/>
  <c r="W17" i="39"/>
  <c r="AC17" i="39"/>
  <c r="C48" i="68"/>
  <c r="C30" i="11"/>
  <c r="C48" i="11"/>
  <c r="F48" i="69"/>
  <c r="C30" i="69"/>
  <c r="C48" i="69"/>
  <c r="G36" i="43"/>
  <c r="I36" i="43" s="1"/>
  <c r="H10" i="39"/>
  <c r="AB10" i="39" s="1"/>
  <c r="G70" i="39"/>
  <c r="H68" i="39"/>
  <c r="H7" i="37"/>
  <c r="AB7" i="37" s="1"/>
  <c r="T42" i="37" s="1"/>
  <c r="G42" i="37" s="1"/>
  <c r="B40" i="1"/>
  <c r="AA10" i="39"/>
  <c r="H7" i="33"/>
  <c r="J7" i="33"/>
  <c r="D65" i="40"/>
  <c r="E63" i="40"/>
  <c r="F48" i="35"/>
  <c r="S7" i="36"/>
  <c r="AA7" i="36"/>
  <c r="R36" i="36" s="1"/>
  <c r="AC7" i="37"/>
  <c r="V42" i="37" s="1"/>
  <c r="I42" i="37" s="1"/>
  <c r="W7" i="37"/>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A25" i="39" l="1"/>
  <c r="B71" i="39"/>
  <c r="J10" i="39"/>
  <c r="AC10" i="39" s="1"/>
  <c r="J10" i="40"/>
  <c r="W10" i="40" s="1"/>
  <c r="W10" i="39"/>
  <c r="AC25" i="39"/>
  <c r="AB19" i="39"/>
  <c r="H10" i="40"/>
  <c r="F10" i="40"/>
  <c r="K26" i="6"/>
  <c r="M26" i="6" s="1"/>
  <c r="I26" i="6" s="1"/>
  <c r="S26" i="6" s="1"/>
  <c r="K23" i="6"/>
  <c r="M23" i="6" s="1"/>
  <c r="I23" i="6" s="1"/>
  <c r="S23" i="6" s="1"/>
  <c r="K20" i="6"/>
  <c r="E31" i="6"/>
  <c r="S6" i="1"/>
  <c r="E6" i="70" s="1"/>
  <c r="E2" i="70" s="1"/>
  <c r="K24" i="6"/>
  <c r="M24" i="6" s="1"/>
  <c r="I24" i="6" s="1"/>
  <c r="S24" i="6" s="1"/>
  <c r="K22" i="6"/>
  <c r="M22" i="6" s="1"/>
  <c r="I22" i="6" s="1"/>
  <c r="S22" i="6" s="1"/>
  <c r="AC10" i="40"/>
  <c r="U7" i="37"/>
  <c r="K25" i="6"/>
  <c r="M25" i="6" s="1"/>
  <c r="I25" i="6" s="1"/>
  <c r="S25" i="6" s="1"/>
  <c r="T33" i="71"/>
  <c r="D33" i="71"/>
  <c r="D37" i="71"/>
  <c r="T37" i="71"/>
  <c r="Q58" i="71"/>
  <c r="Q59" i="71"/>
  <c r="C10" i="71"/>
  <c r="D11" i="71"/>
  <c r="K21" i="6"/>
  <c r="M21" i="6" s="1"/>
  <c r="I21" i="6" s="1"/>
  <c r="S21" i="6" s="1"/>
  <c r="D53" i="71"/>
  <c r="T53" i="71"/>
  <c r="T45" i="71"/>
  <c r="D45" i="71"/>
  <c r="F27" i="69"/>
  <c r="F27" i="68"/>
  <c r="F28" i="12"/>
  <c r="C29" i="12" s="1"/>
  <c r="D28" i="12" s="1"/>
  <c r="F27" i="11"/>
  <c r="I4" i="6"/>
  <c r="E97" i="3"/>
  <c r="E423" i="3"/>
  <c r="E135" i="3"/>
  <c r="E77" i="3"/>
  <c r="E271" i="3"/>
  <c r="E167" i="3"/>
  <c r="E164" i="3"/>
  <c r="E286" i="3"/>
  <c r="E379" i="3"/>
  <c r="AD6" i="3"/>
  <c r="Z6" i="3"/>
  <c r="R6" i="3"/>
  <c r="E515" i="3"/>
  <c r="E421" i="3"/>
  <c r="E448" i="3"/>
  <c r="E466" i="3"/>
  <c r="E548" i="3"/>
  <c r="E398" i="3"/>
  <c r="E400" i="3"/>
  <c r="E449" i="3"/>
  <c r="E477" i="3"/>
  <c r="E374" i="3"/>
  <c r="E558" i="3"/>
  <c r="AP6" i="3"/>
  <c r="E547" i="3"/>
  <c r="E582" i="3"/>
  <c r="E531" i="3"/>
  <c r="E435" i="3"/>
  <c r="E476" i="3"/>
  <c r="E520" i="3"/>
  <c r="E404" i="3"/>
  <c r="E479" i="3"/>
  <c r="E71" i="3"/>
  <c r="E90" i="3"/>
  <c r="E70" i="3"/>
  <c r="E95" i="3"/>
  <c r="E162" i="3"/>
  <c r="E187" i="3"/>
  <c r="E166" i="3"/>
  <c r="E192" i="3"/>
  <c r="E272" i="3"/>
  <c r="E297" i="3"/>
  <c r="E273" i="3"/>
  <c r="E292" i="3"/>
  <c r="E331" i="3"/>
  <c r="E378" i="3"/>
  <c r="E334" i="3"/>
  <c r="E389" i="3"/>
  <c r="AM6" i="3"/>
  <c r="E58" i="3"/>
  <c r="E109" i="3"/>
  <c r="E59" i="3"/>
  <c r="E441" i="3"/>
  <c r="E521" i="3"/>
  <c r="E467" i="3"/>
  <c r="E98" i="3"/>
  <c r="E103" i="3"/>
  <c r="E195" i="3"/>
  <c r="E200" i="3"/>
  <c r="E209" i="3"/>
  <c r="E300" i="3"/>
  <c r="E386" i="3"/>
  <c r="E492" i="3"/>
  <c r="E66" i="3"/>
  <c r="E67" i="3"/>
  <c r="E87" i="3"/>
  <c r="E184" i="3"/>
  <c r="E284" i="3"/>
  <c r="E381" i="3"/>
  <c r="E51" i="3"/>
  <c r="E81" i="3"/>
  <c r="E179" i="3"/>
  <c r="E283" i="3"/>
  <c r="E373" i="3"/>
  <c r="E21" i="3"/>
  <c r="E574" i="3"/>
  <c r="AI6" i="3"/>
  <c r="E61" i="3"/>
  <c r="E149" i="3"/>
  <c r="E223" i="3"/>
  <c r="E204" i="3"/>
  <c r="E193" i="3"/>
  <c r="E313" i="3"/>
  <c r="E575" i="3"/>
  <c r="E493" i="3"/>
  <c r="U6" i="3"/>
  <c r="E560" i="3"/>
  <c r="E437" i="3"/>
  <c r="E464" i="3"/>
  <c r="E469" i="3"/>
  <c r="P6" i="3"/>
  <c r="E438" i="3"/>
  <c r="E457" i="3"/>
  <c r="E255" i="3"/>
  <c r="E376" i="3"/>
  <c r="E505" i="3"/>
  <c r="AE6" i="3"/>
  <c r="E577" i="3"/>
  <c r="E413" i="3"/>
  <c r="E452" i="3"/>
  <c r="E489" i="3"/>
  <c r="E433" i="3"/>
  <c r="E475" i="3"/>
  <c r="E56" i="3"/>
  <c r="E25" i="3"/>
  <c r="E92" i="3"/>
  <c r="E146" i="3"/>
  <c r="E203" i="3"/>
  <c r="E155" i="3"/>
  <c r="E225" i="3"/>
  <c r="E295" i="3"/>
  <c r="E257" i="3"/>
  <c r="E351" i="3"/>
  <c r="E363" i="3"/>
  <c r="E333" i="3"/>
  <c r="E384" i="3"/>
  <c r="E580" i="3"/>
  <c r="E74" i="3"/>
  <c r="E110" i="3"/>
  <c r="E488" i="3"/>
  <c r="E484" i="3"/>
  <c r="E455" i="3"/>
  <c r="E38" i="3"/>
  <c r="E138" i="3"/>
  <c r="E174" i="3"/>
  <c r="E267" i="3"/>
  <c r="E299" i="3"/>
  <c r="E325" i="3"/>
  <c r="E584" i="3"/>
  <c r="E86" i="3"/>
  <c r="E33" i="3"/>
  <c r="E147" i="3"/>
  <c r="E340" i="3"/>
  <c r="Y6" i="3"/>
  <c r="E80" i="3"/>
  <c r="E118" i="3"/>
  <c r="E265" i="3"/>
  <c r="E524" i="3"/>
  <c r="E382" i="3"/>
  <c r="E478" i="3"/>
  <c r="W6" i="3"/>
  <c r="E496" i="3"/>
  <c r="E54" i="3"/>
  <c r="E186" i="3"/>
  <c r="E332" i="3"/>
  <c r="E544" i="3"/>
  <c r="E15" i="3"/>
  <c r="E160" i="3"/>
  <c r="E23" i="3"/>
  <c r="E370" i="3"/>
  <c r="E323" i="3"/>
  <c r="E359" i="3"/>
  <c r="E578" i="3"/>
  <c r="E290" i="3"/>
  <c r="E120" i="3"/>
  <c r="E212" i="3"/>
  <c r="E197" i="3"/>
  <c r="E173" i="3"/>
  <c r="E327" i="3"/>
  <c r="E519" i="3"/>
  <c r="E499" i="3"/>
  <c r="E564" i="3"/>
  <c r="E543" i="3"/>
  <c r="E411" i="3"/>
  <c r="E472" i="3"/>
  <c r="E487" i="3"/>
  <c r="E512" i="3"/>
  <c r="E408" i="3"/>
  <c r="E443" i="3"/>
  <c r="E288" i="3"/>
  <c r="AH6" i="3"/>
  <c r="J6" i="3"/>
  <c r="AS6" i="3"/>
  <c r="E429" i="3"/>
  <c r="E460" i="3"/>
  <c r="E470" i="3"/>
  <c r="E420" i="3"/>
  <c r="E28" i="3"/>
  <c r="E72" i="3"/>
  <c r="E37" i="3"/>
  <c r="E108" i="3"/>
  <c r="E178" i="3"/>
  <c r="E126" i="3"/>
  <c r="E171" i="3"/>
  <c r="E240" i="3"/>
  <c r="E281" i="3"/>
  <c r="E243" i="3"/>
  <c r="E316" i="3"/>
  <c r="E357" i="3"/>
  <c r="E349" i="3"/>
  <c r="E372" i="3"/>
  <c r="L6" i="3"/>
  <c r="E44" i="3"/>
  <c r="E32" i="3"/>
  <c r="E540" i="3"/>
  <c r="E482" i="3"/>
  <c r="E18" i="3"/>
  <c r="E46" i="3"/>
  <c r="E170" i="3"/>
  <c r="E163" i="3"/>
  <c r="E275" i="3"/>
  <c r="E324" i="3"/>
  <c r="E310" i="3"/>
  <c r="AQ6" i="3"/>
  <c r="E24" i="3"/>
  <c r="E49" i="3"/>
  <c r="E232" i="3"/>
  <c r="E355" i="3"/>
  <c r="E50" i="3"/>
  <c r="E19" i="3"/>
  <c r="E158" i="3"/>
  <c r="E308" i="3"/>
  <c r="E513" i="3"/>
  <c r="E285" i="3"/>
  <c r="E161" i="3"/>
  <c r="E207" i="3"/>
  <c r="E277" i="3"/>
  <c r="E177" i="3"/>
  <c r="E141" i="3"/>
  <c r="E576" i="3"/>
  <c r="E532" i="3"/>
  <c r="E573" i="3"/>
  <c r="E502" i="3"/>
  <c r="E427" i="3"/>
  <c r="E481" i="3"/>
  <c r="E416" i="3"/>
  <c r="E451" i="3"/>
  <c r="E345" i="3"/>
  <c r="E554" i="3"/>
  <c r="E498" i="3"/>
  <c r="E468" i="3"/>
  <c r="E436" i="3"/>
  <c r="E88" i="3"/>
  <c r="E111" i="3"/>
  <c r="E119" i="3"/>
  <c r="E256" i="3"/>
  <c r="E259" i="3"/>
  <c r="E377" i="3"/>
  <c r="E14" i="3"/>
  <c r="E29" i="3"/>
  <c r="E409" i="3"/>
  <c r="E78" i="3"/>
  <c r="E219" i="3"/>
  <c r="E307" i="3"/>
  <c r="E36" i="3"/>
  <c r="E250" i="3"/>
  <c r="E68" i="3"/>
  <c r="E218" i="3"/>
  <c r="E22" i="3"/>
  <c r="E263" i="3"/>
  <c r="E117" i="3"/>
  <c r="E85" i="3"/>
  <c r="E238" i="3"/>
  <c r="E145" i="3"/>
  <c r="E133" i="3"/>
  <c r="E312" i="3"/>
  <c r="E525" i="3"/>
  <c r="E534" i="3"/>
  <c r="AG6" i="3"/>
  <c r="E529" i="3"/>
  <c r="E442" i="3"/>
  <c r="E486" i="3"/>
  <c r="E507" i="3"/>
  <c r="E414" i="3"/>
  <c r="E424" i="3"/>
  <c r="E459" i="3"/>
  <c r="E360" i="3"/>
  <c r="E556" i="3"/>
  <c r="E557" i="3"/>
  <c r="E571" i="3"/>
  <c r="E517" i="3"/>
  <c r="E419" i="3"/>
  <c r="E483" i="3"/>
  <c r="E546" i="3"/>
  <c r="E454" i="3"/>
  <c r="E39" i="3"/>
  <c r="E104" i="3"/>
  <c r="E41" i="3"/>
  <c r="E121" i="3"/>
  <c r="E168" i="3"/>
  <c r="E132" i="3"/>
  <c r="E202" i="3"/>
  <c r="E242" i="3"/>
  <c r="E210" i="3"/>
  <c r="E274" i="3"/>
  <c r="E348" i="3"/>
  <c r="E391" i="3"/>
  <c r="E356" i="3"/>
  <c r="E572" i="3"/>
  <c r="E31" i="3"/>
  <c r="E76" i="3"/>
  <c r="E43" i="3"/>
  <c r="E428" i="3"/>
  <c r="E425" i="3"/>
  <c r="E79" i="3"/>
  <c r="E65" i="3"/>
  <c r="E190" i="3"/>
  <c r="E220" i="3"/>
  <c r="E249" i="3"/>
  <c r="E339" i="3"/>
  <c r="E354" i="3"/>
  <c r="E35" i="3"/>
  <c r="E34" i="3"/>
  <c r="E144" i="3"/>
  <c r="E289" i="3"/>
  <c r="E341" i="3"/>
  <c r="E102" i="3"/>
  <c r="E113" i="3"/>
  <c r="E264" i="3"/>
  <c r="E365" i="3"/>
  <c r="E82" i="3"/>
  <c r="E106" i="3"/>
  <c r="E315" i="3"/>
  <c r="E30" i="3"/>
  <c r="E75" i="3"/>
  <c r="E412" i="3"/>
  <c r="E100" i="3"/>
  <c r="E137" i="3"/>
  <c r="E235" i="3"/>
  <c r="E392" i="3"/>
  <c r="E52" i="3"/>
  <c r="E206" i="3"/>
  <c r="E364" i="3"/>
  <c r="E20" i="3"/>
  <c r="E287" i="3"/>
  <c r="E309" i="3"/>
  <c r="E369" i="3"/>
  <c r="E406" i="3"/>
  <c r="E562" i="3"/>
  <c r="E403" i="3"/>
  <c r="E26" i="3"/>
  <c r="E152" i="3"/>
  <c r="E214" i="3"/>
  <c r="E318" i="3"/>
  <c r="E60" i="3"/>
  <c r="E47" i="3"/>
  <c r="E194" i="3"/>
  <c r="E342" i="3"/>
  <c r="E123" i="3"/>
  <c r="E62" i="3"/>
  <c r="E385" i="3"/>
  <c r="E245" i="3"/>
  <c r="E45" i="3"/>
  <c r="E253" i="3"/>
  <c r="E116" i="3"/>
  <c r="E107" i="3"/>
  <c r="E330" i="3"/>
  <c r="K6" i="3"/>
  <c r="E542" i="3"/>
  <c r="T6" i="3"/>
  <c r="AO6" i="3"/>
  <c r="E458" i="3"/>
  <c r="E474" i="3"/>
  <c r="E541" i="3"/>
  <c r="E422" i="3"/>
  <c r="E432" i="3"/>
  <c r="E465" i="3"/>
  <c r="E344" i="3"/>
  <c r="E566" i="3"/>
  <c r="E497" i="3"/>
  <c r="E581" i="3"/>
  <c r="E537" i="3"/>
  <c r="E450" i="3"/>
  <c r="E491" i="3"/>
  <c r="E401" i="3"/>
  <c r="E447" i="3"/>
  <c r="E55" i="3"/>
  <c r="E57" i="3"/>
  <c r="E115" i="3"/>
  <c r="E182" i="3"/>
  <c r="E150" i="3"/>
  <c r="E208" i="3"/>
  <c r="E258" i="3"/>
  <c r="E226" i="3"/>
  <c r="E291" i="3"/>
  <c r="E394" i="3"/>
  <c r="E375" i="3"/>
  <c r="AL6" i="3"/>
  <c r="E93" i="3"/>
  <c r="E462" i="3"/>
  <c r="E64" i="3"/>
  <c r="E248" i="3"/>
  <c r="E371" i="3"/>
  <c r="E48" i="3"/>
  <c r="E233" i="3"/>
  <c r="E154" i="3"/>
  <c r="E101" i="3"/>
  <c r="O6" i="3"/>
  <c r="E518" i="3"/>
  <c r="E191" i="3"/>
  <c r="E140" i="3"/>
  <c r="E252" i="3"/>
  <c r="E224" i="3"/>
  <c r="E199" i="3"/>
  <c r="E105" i="3"/>
  <c r="E393" i="3"/>
  <c r="E585" i="3"/>
  <c r="Q6" i="3"/>
  <c r="E552" i="3"/>
  <c r="E405" i="3"/>
  <c r="E456" i="3"/>
  <c r="E485" i="3"/>
  <c r="E527" i="3"/>
  <c r="E430" i="3"/>
  <c r="E440" i="3"/>
  <c r="E490" i="3"/>
  <c r="E367" i="3"/>
  <c r="E587" i="3"/>
  <c r="E500" i="3"/>
  <c r="E13" i="3"/>
  <c r="E494" i="3"/>
  <c r="E444" i="3"/>
  <c r="E471" i="3"/>
  <c r="E417" i="3"/>
  <c r="E463" i="3"/>
  <c r="E40" i="3"/>
  <c r="E27" i="3"/>
  <c r="E73" i="3"/>
  <c r="E131" i="3"/>
  <c r="E198" i="3"/>
  <c r="E139" i="3"/>
  <c r="E211" i="3"/>
  <c r="E279" i="3"/>
  <c r="E241" i="3"/>
  <c r="E276" i="3"/>
  <c r="E346" i="3"/>
  <c r="E317" i="3"/>
  <c r="E362" i="3"/>
  <c r="E504" i="3"/>
  <c r="E42" i="3"/>
  <c r="E94" i="3"/>
  <c r="E480" i="3"/>
  <c r="E473" i="3"/>
  <c r="E446" i="3"/>
  <c r="E96" i="3"/>
  <c r="E129" i="3"/>
  <c r="E142" i="3"/>
  <c r="E234" i="3"/>
  <c r="E266" i="3"/>
  <c r="E383" i="3"/>
  <c r="E522" i="3"/>
  <c r="E84" i="3"/>
  <c r="E112" i="3"/>
  <c r="E127" i="3"/>
  <c r="E251" i="3"/>
  <c r="AF6" i="3"/>
  <c r="E63" i="3"/>
  <c r="E176" i="3"/>
  <c r="E222" i="3"/>
  <c r="E326" i="3"/>
  <c r="E83" i="3"/>
  <c r="E388" i="3"/>
  <c r="E495" i="3"/>
  <c r="E301" i="3"/>
  <c r="E180" i="3"/>
  <c r="E175" i="3"/>
  <c r="E501" i="3"/>
  <c r="E305" i="3"/>
  <c r="E328" i="3"/>
  <c r="AA6" i="3"/>
  <c r="E336" i="3"/>
  <c r="E124" i="3"/>
  <c r="E390" i="3"/>
  <c r="AR6" i="3"/>
  <c r="E506" i="3"/>
  <c r="E439" i="3"/>
  <c r="E321" i="3"/>
  <c r="E216" i="3"/>
  <c r="E237" i="3"/>
  <c r="E528" i="3"/>
  <c r="E213" i="3"/>
  <c r="E503" i="3"/>
  <c r="E228" i="3"/>
  <c r="E136" i="3"/>
  <c r="E306" i="3"/>
  <c r="E16" i="3"/>
  <c r="E151" i="3"/>
  <c r="E569" i="3"/>
  <c r="E555" i="3"/>
  <c r="AN6" i="3"/>
  <c r="E159" i="3"/>
  <c r="E217" i="3"/>
  <c r="E553" i="3"/>
  <c r="E322" i="3"/>
  <c r="E329" i="3"/>
  <c r="E567" i="3"/>
  <c r="E352" i="3"/>
  <c r="E165" i="3"/>
  <c r="E358" i="3"/>
  <c r="E570" i="3"/>
  <c r="V6" i="3"/>
  <c r="E387" i="3"/>
  <c r="E294" i="3"/>
  <c r="E189" i="3"/>
  <c r="E114" i="3"/>
  <c r="E563" i="3"/>
  <c r="E260" i="3"/>
  <c r="E535" i="3"/>
  <c r="E89" i="3"/>
  <c r="E148" i="3"/>
  <c r="E196" i="3"/>
  <c r="E453" i="3"/>
  <c r="I6" i="3"/>
  <c r="E201" i="3"/>
  <c r="E579" i="3"/>
  <c r="E410" i="3"/>
  <c r="E586" i="3"/>
  <c r="E134" i="3"/>
  <c r="E319" i="3"/>
  <c r="E343" i="3"/>
  <c r="E426" i="3"/>
  <c r="E347" i="3"/>
  <c r="X6" i="3"/>
  <c r="E280" i="3"/>
  <c r="E293" i="3"/>
  <c r="E533" i="3"/>
  <c r="E523" i="3"/>
  <c r="E538" i="3"/>
  <c r="E338" i="3"/>
  <c r="E231" i="3"/>
  <c r="E169" i="3"/>
  <c r="E261" i="3"/>
  <c r="E565" i="3"/>
  <c r="E361" i="3"/>
  <c r="E302" i="3"/>
  <c r="E157" i="3"/>
  <c r="E188" i="3"/>
  <c r="E262" i="3"/>
  <c r="E434" i="3"/>
  <c r="E511" i="3"/>
  <c r="E229" i="3"/>
  <c r="E516" i="3"/>
  <c r="E337" i="3"/>
  <c r="E402" i="3"/>
  <c r="E254" i="3"/>
  <c r="E366" i="3"/>
  <c r="E268" i="3"/>
  <c r="N6" i="3"/>
  <c r="E539" i="3"/>
  <c r="E510" i="3"/>
  <c r="E227" i="3"/>
  <c r="E128" i="3"/>
  <c r="E514" i="3"/>
  <c r="E551" i="3"/>
  <c r="AB6" i="3"/>
  <c r="E320" i="3"/>
  <c r="E215" i="3"/>
  <c r="E130" i="3"/>
  <c r="E278" i="3"/>
  <c r="E395" i="3"/>
  <c r="E445" i="3"/>
  <c r="E122" i="3"/>
  <c r="E236" i="3"/>
  <c r="E244" i="3"/>
  <c r="E549" i="3"/>
  <c r="E568" i="3"/>
  <c r="E247" i="3"/>
  <c r="E509" i="3"/>
  <c r="E143" i="3"/>
  <c r="E350" i="3"/>
  <c r="E91" i="3"/>
  <c r="E53" i="3"/>
  <c r="E530" i="3"/>
  <c r="E153" i="3"/>
  <c r="E508" i="3"/>
  <c r="E583" i="3"/>
  <c r="E399" i="3"/>
  <c r="E246" i="3"/>
  <c r="E270" i="3"/>
  <c r="S6" i="3"/>
  <c r="E561" i="3"/>
  <c r="E418" i="3"/>
  <c r="E380" i="3"/>
  <c r="E298" i="3"/>
  <c r="E185" i="3"/>
  <c r="E304" i="3"/>
  <c r="E183" i="3"/>
  <c r="E17" i="3"/>
  <c r="E181" i="3"/>
  <c r="E99" i="3"/>
  <c r="E296" i="3"/>
  <c r="AK6" i="3"/>
  <c r="E314" i="3"/>
  <c r="E396" i="3"/>
  <c r="E239" i="3"/>
  <c r="E353" i="3"/>
  <c r="E303" i="3"/>
  <c r="E221" i="3"/>
  <c r="E125" i="3"/>
  <c r="E526" i="3"/>
  <c r="E282" i="3"/>
  <c r="AJ6" i="3"/>
  <c r="E545" i="3"/>
  <c r="E461" i="3"/>
  <c r="E205" i="3"/>
  <c r="E311" i="3"/>
  <c r="E559" i="3"/>
  <c r="M6" i="3"/>
  <c r="E407" i="3"/>
  <c r="E335" i="3"/>
  <c r="E230" i="3"/>
  <c r="E69" i="3"/>
  <c r="E415" i="3"/>
  <c r="E172" i="3"/>
  <c r="E550" i="3"/>
  <c r="E269" i="3"/>
  <c r="E156" i="3"/>
  <c r="E368" i="3"/>
  <c r="E536" i="3"/>
  <c r="E397" i="3"/>
  <c r="E431" i="3"/>
  <c r="O13" i="1"/>
  <c r="M16" i="1"/>
  <c r="AB25" i="39"/>
  <c r="U25" i="39"/>
  <c r="U7" i="36"/>
  <c r="AZ5" i="3"/>
  <c r="E3" i="6" s="1"/>
  <c r="K27" i="6"/>
  <c r="AQ6" i="1"/>
  <c r="T6" i="1"/>
  <c r="I19" i="6"/>
  <c r="U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7" i="15"/>
  <c r="F41" i="15"/>
  <c r="M20" i="6" l="1"/>
  <c r="I20" i="6" s="1"/>
  <c r="S20" i="6" s="1"/>
  <c r="S7" i="1"/>
  <c r="M27" i="6"/>
  <c r="S10" i="40"/>
  <c r="AA10" i="40"/>
  <c r="AB10" i="40"/>
  <c r="U10" i="40"/>
  <c r="S16" i="1"/>
  <c r="AR6" i="1"/>
  <c r="C15" i="15"/>
  <c r="C18" i="15"/>
  <c r="F45" i="68"/>
  <c r="C29" i="68"/>
  <c r="D27" i="68" s="1"/>
  <c r="C47" i="68"/>
  <c r="D45" i="68" s="1"/>
  <c r="C34" i="68"/>
  <c r="N16" i="1"/>
  <c r="C34" i="11"/>
  <c r="L16" i="1"/>
  <c r="C29" i="69"/>
  <c r="D27" i="69" s="1"/>
  <c r="C47" i="69"/>
  <c r="D45" i="69" s="1"/>
  <c r="F45" i="69"/>
  <c r="AY6" i="3"/>
  <c r="D3" i="21"/>
  <c r="E6" i="6"/>
  <c r="D19" i="11"/>
  <c r="C19" i="11" s="1"/>
  <c r="C20" i="11" s="1"/>
  <c r="C28" i="11" s="1"/>
  <c r="C27" i="11" s="1"/>
  <c r="D14" i="12"/>
  <c r="C17" i="4"/>
  <c r="B4" i="52" s="1"/>
  <c r="B43" i="72" s="1"/>
  <c r="D3" i="33"/>
  <c r="L18" i="9"/>
  <c r="D37" i="11"/>
  <c r="C37" i="11" s="1"/>
  <c r="D3" i="37"/>
  <c r="M18" i="9"/>
  <c r="B118" i="9" s="1"/>
  <c r="B14" i="74" s="1"/>
  <c r="B1" i="74" s="1"/>
  <c r="D3" i="34"/>
  <c r="P13" i="1"/>
  <c r="P16" i="1" s="1"/>
  <c r="C11" i="12" s="1"/>
  <c r="O16" i="1"/>
  <c r="G3" i="43"/>
  <c r="C11" i="39"/>
  <c r="D10" i="71"/>
  <c r="C9" i="71"/>
  <c r="C47" i="11"/>
  <c r="D45" i="11" s="1"/>
  <c r="C29" i="11"/>
  <c r="D27" i="11" s="1"/>
  <c r="H6" i="3"/>
  <c r="AC6" i="3"/>
  <c r="F69" i="15"/>
  <c r="J29" i="15"/>
  <c r="I27" i="6"/>
  <c r="S19" i="6"/>
  <c r="S27" i="6"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7" i="67"/>
  <c r="C14" i="67"/>
  <c r="C15" i="67" l="1"/>
  <c r="C18" i="67"/>
  <c r="T7" i="1"/>
  <c r="T16" i="1" s="1"/>
  <c r="AQ7" i="1"/>
  <c r="AR7" i="1"/>
  <c r="C25" i="11"/>
  <c r="C19" i="15"/>
  <c r="C20" i="15" s="1"/>
  <c r="C26" i="15" s="1"/>
  <c r="E6" i="3"/>
  <c r="F101" i="43"/>
  <c r="L101" i="43"/>
  <c r="AC11" i="43"/>
  <c r="AC13" i="43" s="1"/>
  <c r="S4" i="43"/>
  <c r="T4" i="43" s="1"/>
  <c r="V4" i="43" s="1"/>
  <c r="E22" i="43"/>
  <c r="D101" i="43"/>
  <c r="S2" i="43"/>
  <c r="T2" i="43" s="1"/>
  <c r="V2" i="43" s="1"/>
  <c r="C26" i="43" s="1"/>
  <c r="B2" i="43" s="1"/>
  <c r="B3" i="43" s="1"/>
  <c r="AH11" i="43"/>
  <c r="AH13" i="43" s="1"/>
  <c r="Y11" i="43"/>
  <c r="Y13" i="43" s="1"/>
  <c r="C101" i="43"/>
  <c r="I101" i="43"/>
  <c r="AD11" i="43"/>
  <c r="AD13" i="43" s="1"/>
  <c r="N104" i="46"/>
  <c r="G22" i="43"/>
  <c r="Z11" i="43"/>
  <c r="Z13" i="43" s="1"/>
  <c r="S5" i="43"/>
  <c r="T5" i="43" s="1"/>
  <c r="V5" i="43" s="1"/>
  <c r="B113" i="43"/>
  <c r="AG11" i="43"/>
  <c r="AG13" i="43" s="1"/>
  <c r="S6" i="43"/>
  <c r="T6" i="43" s="1"/>
  <c r="V6" i="43" s="1"/>
  <c r="S7" i="43"/>
  <c r="T7" i="43" s="1"/>
  <c r="V7" i="43" s="1"/>
  <c r="H22" i="43"/>
  <c r="AB11" i="43"/>
  <c r="AB13" i="43" s="1"/>
  <c r="S3" i="43"/>
  <c r="T3" i="43" s="1"/>
  <c r="V3" i="43" s="1"/>
  <c r="F22" i="43"/>
  <c r="H101" i="43"/>
  <c r="Z7" i="43"/>
  <c r="J22" i="43"/>
  <c r="K101" i="43"/>
  <c r="M101" i="43"/>
  <c r="AI11" i="43"/>
  <c r="AI13" i="43" s="1"/>
  <c r="N101" i="43"/>
  <c r="E101" i="43"/>
  <c r="AE11" i="43"/>
  <c r="AE13" i="43" s="1"/>
  <c r="G101" i="43"/>
  <c r="AJ11" i="43"/>
  <c r="AJ13" i="43" s="1"/>
  <c r="AA11" i="43"/>
  <c r="AA13" i="43" s="1"/>
  <c r="J101" i="43"/>
  <c r="AF11" i="43"/>
  <c r="AF13" i="43" s="1"/>
  <c r="C23" i="43"/>
  <c r="C21" i="43" s="1"/>
  <c r="D10" i="69"/>
  <c r="D20" i="12"/>
  <c r="C20" i="12" s="1"/>
  <c r="D10" i="68"/>
  <c r="D10" i="11"/>
  <c r="C10" i="11" s="1"/>
  <c r="C24" i="11"/>
  <c r="AY83" i="3"/>
  <c r="AY176" i="3"/>
  <c r="AY59" i="3"/>
  <c r="AY276" i="3"/>
  <c r="AY268" i="3"/>
  <c r="AY335" i="3"/>
  <c r="AY67" i="3"/>
  <c r="AY74" i="3"/>
  <c r="AY252" i="3"/>
  <c r="AY444" i="3"/>
  <c r="AY199" i="3"/>
  <c r="AY390" i="3"/>
  <c r="AY481" i="3"/>
  <c r="AY535" i="3"/>
  <c r="BO6" i="3"/>
  <c r="AY85" i="3"/>
  <c r="AY36" i="3"/>
  <c r="AY178" i="3"/>
  <c r="AY126" i="3"/>
  <c r="AY271" i="3"/>
  <c r="AY132" i="3"/>
  <c r="AY147" i="3"/>
  <c r="AY486" i="3"/>
  <c r="AY106" i="3"/>
  <c r="AY228" i="3"/>
  <c r="AY342" i="3"/>
  <c r="AY433" i="3"/>
  <c r="AY569" i="3"/>
  <c r="AY108" i="3"/>
  <c r="AY60" i="3"/>
  <c r="AY201" i="3"/>
  <c r="AY149" i="3"/>
  <c r="AY294" i="3"/>
  <c r="AY238" i="3"/>
  <c r="AY373" i="3"/>
  <c r="BB6" i="3"/>
  <c r="AY29" i="3"/>
  <c r="AY121" i="3"/>
  <c r="AY215" i="3"/>
  <c r="AY309" i="3"/>
  <c r="AY480" i="3"/>
  <c r="AY406" i="3"/>
  <c r="AY580" i="3"/>
  <c r="AY520" i="3"/>
  <c r="AY532" i="3"/>
  <c r="AY81" i="3"/>
  <c r="AY174" i="3"/>
  <c r="AY267" i="3"/>
  <c r="AY361" i="3"/>
  <c r="AY320" i="3"/>
  <c r="AY445" i="3"/>
  <c r="AY415" i="3"/>
  <c r="AY522" i="3"/>
  <c r="AY545" i="3"/>
  <c r="AY79" i="3"/>
  <c r="AY172" i="3"/>
  <c r="AY265" i="3"/>
  <c r="AY359" i="3"/>
  <c r="AY451" i="3"/>
  <c r="AY547" i="3"/>
  <c r="AY71"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164" i="3"/>
  <c r="AY257" i="3"/>
  <c r="AY351" i="3"/>
  <c r="AY443" i="3"/>
  <c r="AY566" i="3"/>
  <c r="AY27" i="3"/>
  <c r="AY119" i="3"/>
  <c r="AY213" i="3"/>
  <c r="AY306" i="3"/>
  <c r="AY550" i="3"/>
  <c r="AY498" i="3"/>
  <c r="AY395" i="3"/>
  <c r="AY170" i="3"/>
  <c r="AY255" i="3"/>
  <c r="AY368" i="3"/>
  <c r="AY275" i="3"/>
  <c r="AY370" i="3"/>
  <c r="AY324" i="3"/>
  <c r="AY419" i="3"/>
  <c r="AY572" i="3"/>
  <c r="AY552" i="3"/>
  <c r="AY64" i="3"/>
  <c r="AY153" i="3"/>
  <c r="AY337" i="3"/>
  <c r="AY479" i="3"/>
  <c r="AY505" i="3"/>
  <c r="AY515" i="3"/>
  <c r="AY62" i="3"/>
  <c r="AY151" i="3"/>
  <c r="AY315" i="3"/>
  <c r="AY54" i="3"/>
  <c r="AY381" i="3"/>
  <c r="AY24" i="3"/>
  <c r="AY210" i="3"/>
  <c r="AY488" i="3"/>
  <c r="AY546" i="3"/>
  <c r="AY96" i="3"/>
  <c r="AY282" i="3"/>
  <c r="AY328" i="3"/>
  <c r="AY423" i="3"/>
  <c r="BR6" i="3"/>
  <c r="AY94" i="3"/>
  <c r="AY376" i="3"/>
  <c r="AY466" i="3"/>
  <c r="AY55" i="3"/>
  <c r="AY143" i="3"/>
  <c r="AY307" i="3"/>
  <c r="BT6" i="3"/>
  <c r="AY273" i="3"/>
  <c r="AY459" i="3"/>
  <c r="AY51" i="3"/>
  <c r="AY144" i="3"/>
  <c r="AY42" i="3"/>
  <c r="AY111" i="3"/>
  <c r="AY236" i="3"/>
  <c r="AY303" i="3"/>
  <c r="AY50" i="3"/>
  <c r="AY183" i="3"/>
  <c r="AY209" i="3"/>
  <c r="AY412" i="3"/>
  <c r="AY116" i="3"/>
  <c r="AY379" i="3"/>
  <c r="AY478" i="3"/>
  <c r="AY557" i="3"/>
  <c r="AY539" i="3"/>
  <c r="AY69" i="3"/>
  <c r="AY20" i="3"/>
  <c r="AY162" i="3"/>
  <c r="AY134" i="3"/>
  <c r="AY98" i="3"/>
  <c r="AY90" i="3"/>
  <c r="AY237" i="3"/>
  <c r="AY460" i="3"/>
  <c r="AY26" i="3"/>
  <c r="AY217" i="3"/>
  <c r="AY310" i="3"/>
  <c r="AY401" i="3"/>
  <c r="AY533" i="3"/>
  <c r="AY92" i="3"/>
  <c r="AY44" i="3"/>
  <c r="AY185" i="3"/>
  <c r="AY133" i="3"/>
  <c r="AY278" i="3"/>
  <c r="AY222" i="3"/>
  <c r="AY365" i="3"/>
  <c r="AY93" i="3"/>
  <c r="AY186" i="3"/>
  <c r="AY279" i="3"/>
  <c r="AY393" i="3"/>
  <c r="AY340" i="3"/>
  <c r="AY464" i="3"/>
  <c r="AY435" i="3"/>
  <c r="AY516" i="3"/>
  <c r="AY518" i="3"/>
  <c r="AY556" i="3"/>
  <c r="AY49" i="3"/>
  <c r="AY142" i="3"/>
  <c r="AY235" i="3"/>
  <c r="AY352" i="3"/>
  <c r="AY304" i="3"/>
  <c r="AY450" i="3"/>
  <c r="AY399" i="3"/>
  <c r="AY575" i="3"/>
  <c r="AY548" i="3"/>
  <c r="AY47" i="3"/>
  <c r="AY140" i="3"/>
  <c r="AY233" i="3"/>
  <c r="AY347" i="3"/>
  <c r="AY440" i="3"/>
  <c r="AY528" i="3"/>
  <c r="AY39"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75" i="3"/>
  <c r="AY272" i="3"/>
  <c r="AY339" i="3"/>
  <c r="AY432" i="3"/>
  <c r="AY583" i="3"/>
  <c r="AY184" i="3"/>
  <c r="AY277" i="3"/>
  <c r="AY391" i="3"/>
  <c r="AY490" i="3"/>
  <c r="BD6" i="3"/>
  <c r="AY66" i="3"/>
  <c r="AY88" i="3"/>
  <c r="AY250" i="3"/>
  <c r="BP6" i="3"/>
  <c r="AY248" i="3"/>
  <c r="AY568" i="3"/>
  <c r="AY246" i="3"/>
  <c r="BJ6" i="3"/>
  <c r="AY114" i="3"/>
  <c r="AY317" i="3"/>
  <c r="BM6" i="3"/>
  <c r="AY584" i="3"/>
  <c r="AY189" i="3"/>
  <c r="AY369" i="3"/>
  <c r="AY453" i="3"/>
  <c r="D3" i="6"/>
  <c r="AY280" i="3"/>
  <c r="AY517" i="3"/>
  <c r="AY240" i="3"/>
  <c r="AY400" i="3"/>
  <c r="AY179" i="3"/>
  <c r="AY367" i="3"/>
  <c r="BC6" i="3"/>
  <c r="AY155" i="3"/>
  <c r="AY188" i="3"/>
  <c r="AY58" i="3"/>
  <c r="AY225" i="3"/>
  <c r="AY318" i="3"/>
  <c r="AY196" i="3"/>
  <c r="AY123" i="3"/>
  <c r="AY363" i="3"/>
  <c r="AY425" i="3"/>
  <c r="AY269" i="3"/>
  <c r="AY355" i="3"/>
  <c r="AY447" i="3"/>
  <c r="AY562" i="3"/>
  <c r="AY555" i="3"/>
  <c r="AY53" i="3"/>
  <c r="AY25" i="3"/>
  <c r="AY146" i="3"/>
  <c r="AY117" i="3"/>
  <c r="AY82" i="3"/>
  <c r="AY31" i="3"/>
  <c r="AY220" i="3"/>
  <c r="AY428" i="3"/>
  <c r="AY180" i="3"/>
  <c r="AY465" i="3"/>
  <c r="AY513" i="3"/>
  <c r="AY541" i="3"/>
  <c r="AY77" i="3"/>
  <c r="AY28" i="3"/>
  <c r="AY118" i="3"/>
  <c r="AY227" i="3"/>
  <c r="AY181" i="3"/>
  <c r="AY449" i="3"/>
  <c r="AY496" i="3"/>
  <c r="AY434" i="3"/>
  <c r="AY408" i="3"/>
  <c r="AY414" i="3"/>
  <c r="AY187" i="3"/>
  <c r="AY34" i="3"/>
  <c r="AY124" i="3"/>
  <c r="AY152" i="3"/>
  <c r="AY168" i="3"/>
  <c r="AY382" i="3"/>
  <c r="AY473" i="3"/>
  <c r="AY160" i="3"/>
  <c r="AY261" i="3"/>
  <c r="AY319" i="3"/>
  <c r="AY497" i="3"/>
  <c r="AY229" i="3"/>
  <c r="AY343" i="3"/>
  <c r="AY436" i="3"/>
  <c r="AY573" i="3"/>
  <c r="AY105" i="3"/>
  <c r="AY84" i="3"/>
  <c r="AY198" i="3"/>
  <c r="AY173" i="3"/>
  <c r="AY291" i="3"/>
  <c r="AY18" i="3"/>
  <c r="AY163" i="3"/>
  <c r="AY387" i="3"/>
  <c r="AY441" i="3"/>
  <c r="AY300" i="3"/>
  <c r="AY372" i="3"/>
  <c r="AY463" i="3"/>
  <c r="AY549" i="3"/>
  <c r="BE6" i="3"/>
  <c r="AY61" i="3"/>
  <c r="AY33" i="3"/>
  <c r="AY154" i="3"/>
  <c r="AY125" i="3"/>
  <c r="AY239" i="3"/>
  <c r="AY211" i="3"/>
  <c r="BS6" i="3"/>
  <c r="AY57" i="3"/>
  <c r="AY150" i="3"/>
  <c r="AY243" i="3"/>
  <c r="AY356" i="3"/>
  <c r="AY308" i="3"/>
  <c r="AY454" i="3"/>
  <c r="AY403" i="3"/>
  <c r="BN6" i="3"/>
  <c r="AY559" i="3"/>
  <c r="AY577" i="3"/>
  <c r="AY32" i="3"/>
  <c r="AY122" i="3"/>
  <c r="AY218" i="3"/>
  <c r="AY321" i="3"/>
  <c r="AY492" i="3"/>
  <c r="AY418" i="3"/>
  <c r="AY17" i="3"/>
  <c r="AY537" i="3"/>
  <c r="AY563" i="3"/>
  <c r="AY30" i="3"/>
  <c r="AY120" i="3"/>
  <c r="AY216" i="3"/>
  <c r="AY330" i="3"/>
  <c r="AY421" i="3"/>
  <c r="AY576" i="3"/>
  <c r="AY22" i="3"/>
  <c r="AY230" i="3"/>
  <c r="AY374" i="3"/>
  <c r="AY109" i="3"/>
  <c r="AY202" i="3"/>
  <c r="AY295" i="3"/>
  <c r="AY388" i="3"/>
  <c r="AY348" i="3"/>
  <c r="AY472" i="3"/>
  <c r="AY398" i="3"/>
  <c r="AY585" i="3"/>
  <c r="AY495" i="3"/>
  <c r="AY494" i="3"/>
  <c r="AY65" i="3"/>
  <c r="AY158" i="3"/>
  <c r="AY251" i="3"/>
  <c r="AY364" i="3"/>
  <c r="AY312" i="3"/>
  <c r="AY458" i="3"/>
  <c r="AY407" i="3"/>
  <c r="AY524" i="3"/>
  <c r="AY570" i="3"/>
  <c r="AY63" i="3"/>
  <c r="AY156" i="3"/>
  <c r="AY249" i="3"/>
  <c r="AY362" i="3"/>
  <c r="AY456" i="3"/>
  <c r="AY560" i="3"/>
  <c r="AY38" i="3"/>
  <c r="AY136" i="3"/>
  <c r="AY208" i="3"/>
  <c r="AY322" i="3"/>
  <c r="AY413" i="3"/>
  <c r="AY567" i="3"/>
  <c r="AY148" i="3"/>
  <c r="AY241" i="3"/>
  <c r="AY354" i="3"/>
  <c r="AY448" i="3"/>
  <c r="AY511" i="3"/>
  <c r="AY23" i="3"/>
  <c r="AY115" i="3"/>
  <c r="AY131" i="3"/>
  <c r="AY297" i="3"/>
  <c r="AY371" i="3"/>
  <c r="AY470" i="3"/>
  <c r="AY139" i="3"/>
  <c r="AY204" i="3"/>
  <c r="AY489" i="3"/>
  <c r="AY526" i="3"/>
  <c r="AY244" i="3"/>
  <c r="AY311" i="3"/>
  <c r="AY404" i="3"/>
  <c r="AY574" i="3"/>
  <c r="AY89" i="3"/>
  <c r="AY68" i="3"/>
  <c r="AY182" i="3"/>
  <c r="AY157" i="3"/>
  <c r="AY302" i="3"/>
  <c r="AY191" i="3"/>
  <c r="AY292" i="3"/>
  <c r="AY350" i="3"/>
  <c r="AY409" i="3"/>
  <c r="AY245" i="3"/>
  <c r="AY358" i="3"/>
  <c r="AY452" i="3"/>
  <c r="BK6" i="3"/>
  <c r="AY553" i="3"/>
  <c r="AY45" i="3"/>
  <c r="AY206" i="3"/>
  <c r="AY138" i="3"/>
  <c r="AY299"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63" i="3"/>
  <c r="AY214" i="3"/>
  <c r="AY357" i="3"/>
  <c r="AY104" i="3"/>
  <c r="AY197" i="3"/>
  <c r="AY290" i="3"/>
  <c r="AY377" i="3"/>
  <c r="AY332" i="3"/>
  <c r="AY457" i="3"/>
  <c r="AY427" i="3"/>
  <c r="AY561" i="3"/>
  <c r="AY510" i="3"/>
  <c r="AY514" i="3"/>
  <c r="AY80" i="3"/>
  <c r="AY169" i="3"/>
  <c r="AY266" i="3"/>
  <c r="AY345" i="3"/>
  <c r="AY487" i="3"/>
  <c r="AY442" i="3"/>
  <c r="AY579" i="3"/>
  <c r="AY502" i="3"/>
  <c r="AY531" i="3"/>
  <c r="AY78" i="3"/>
  <c r="AY167" i="3"/>
  <c r="AY264" i="3"/>
  <c r="AY331" i="3"/>
  <c r="AY424" i="3"/>
  <c r="AY512" i="3"/>
  <c r="AY200" i="3"/>
  <c r="AY293" i="3"/>
  <c r="AY386" i="3"/>
  <c r="AY477" i="3"/>
  <c r="AY521" i="3"/>
  <c r="AY86" i="3"/>
  <c r="AY159" i="3"/>
  <c r="AY256" i="3"/>
  <c r="AY323" i="3"/>
  <c r="AY416" i="3"/>
  <c r="AY504" i="3"/>
  <c r="AY87" i="3"/>
  <c r="AY207" i="3"/>
  <c r="AY95" i="3"/>
  <c r="AY281" i="3"/>
  <c r="AY253" i="3"/>
  <c r="AY366" i="3"/>
  <c r="AY103" i="3"/>
  <c r="AY289" i="3"/>
  <c r="AY284" i="3"/>
  <c r="AY455" i="3"/>
  <c r="AY43" i="3"/>
  <c r="AY212" i="3"/>
  <c r="AY326" i="3"/>
  <c r="AY417" i="3"/>
  <c r="AY540" i="3"/>
  <c r="AY100" i="3"/>
  <c r="AY52" i="3"/>
  <c r="AY193" i="3"/>
  <c r="AY141" i="3"/>
  <c r="AY286" i="3"/>
  <c r="AY171" i="3"/>
  <c r="AY75" i="3"/>
  <c r="AY334" i="3"/>
  <c r="AY529" i="3"/>
  <c r="AY260" i="3"/>
  <c r="AY327" i="3"/>
  <c r="AY420" i="3"/>
  <c r="AY544" i="3"/>
  <c r="AY97" i="3"/>
  <c r="AY76" i="3"/>
  <c r="AY190" i="3"/>
  <c r="AY165" i="3"/>
  <c r="AY283"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247" i="3"/>
  <c r="AY219" i="3"/>
  <c r="AY360" i="3"/>
  <c r="AY73" i="3"/>
  <c r="AY166" i="3"/>
  <c r="AY259" i="3"/>
  <c r="AY353" i="3"/>
  <c r="AY316" i="3"/>
  <c r="AY462" i="3"/>
  <c r="AY411" i="3"/>
  <c r="AY534" i="3"/>
  <c r="BG6" i="3"/>
  <c r="AY582" i="3"/>
  <c r="AY48" i="3"/>
  <c r="AY137" i="3"/>
  <c r="AY234" i="3"/>
  <c r="AY329" i="3"/>
  <c r="AY471" i="3"/>
  <c r="AY426" i="3"/>
  <c r="AY506" i="3"/>
  <c r="AY565" i="3"/>
  <c r="AY578" i="3"/>
  <c r="AY46" i="3"/>
  <c r="AY135" i="3"/>
  <c r="AY232" i="3"/>
  <c r="AY346" i="3"/>
  <c r="AY437" i="3"/>
  <c r="BL6" i="3"/>
  <c r="AY195" i="3"/>
  <c r="AY288" i="3"/>
  <c r="AY375" i="3"/>
  <c r="AY474" i="3"/>
  <c r="AY15" i="3"/>
  <c r="AY70" i="3"/>
  <c r="AY128" i="3"/>
  <c r="AY224" i="3"/>
  <c r="AY338" i="3"/>
  <c r="AY429" i="3"/>
  <c r="AY586" i="3"/>
  <c r="C35" i="11"/>
  <c r="C38" i="11"/>
  <c r="C8" i="71"/>
  <c r="T9" i="71"/>
  <c r="D9" i="71"/>
  <c r="U9" i="71" s="1"/>
  <c r="F50" i="68"/>
  <c r="F50" i="69"/>
  <c r="F50" i="11"/>
  <c r="C8" i="74"/>
  <c r="C7" i="74"/>
  <c r="D17" i="12"/>
  <c r="C17" i="12" s="1"/>
  <c r="C14" i="12"/>
  <c r="C35" i="68"/>
  <c r="C38" i="68"/>
  <c r="C15" i="12"/>
  <c r="C12" i="12"/>
  <c r="H11" i="39"/>
  <c r="J11" i="39"/>
  <c r="F11" i="39"/>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B6" i="76"/>
  <c r="C19" i="67" l="1"/>
  <c r="C20" i="67" s="1"/>
  <c r="C26" i="67" s="1"/>
  <c r="C22" i="11"/>
  <c r="C31" i="11" s="1"/>
  <c r="C33" i="11"/>
  <c r="C42" i="11" s="1"/>
  <c r="C16" i="12"/>
  <c r="C23" i="15"/>
  <c r="C29" i="15" s="1"/>
  <c r="J59" i="15" s="1"/>
  <c r="J60" i="15" s="1"/>
  <c r="L46" i="15" s="1"/>
  <c r="B2" i="76"/>
  <c r="F109" i="43"/>
  <c r="F105" i="43"/>
  <c r="F102" i="43"/>
  <c r="F104" i="43"/>
  <c r="F107" i="43"/>
  <c r="F106" i="43"/>
  <c r="F103" i="43"/>
  <c r="C10" i="68"/>
  <c r="D19" i="68"/>
  <c r="D37" i="68" s="1"/>
  <c r="C37" i="68" s="1"/>
  <c r="C33" i="68" s="1"/>
  <c r="C39" i="68" s="1"/>
  <c r="D104" i="43"/>
  <c r="D106" i="43"/>
  <c r="D107" i="43"/>
  <c r="D102" i="43"/>
  <c r="D103" i="43"/>
  <c r="D109" i="43"/>
  <c r="D105" i="43"/>
  <c r="J104" i="43"/>
  <c r="J107" i="43"/>
  <c r="J103" i="43"/>
  <c r="J106" i="43"/>
  <c r="J102" i="43"/>
  <c r="J109" i="43"/>
  <c r="J105" i="43"/>
  <c r="N104" i="43"/>
  <c r="N102" i="43"/>
  <c r="N109" i="43"/>
  <c r="N103" i="43"/>
  <c r="N106" i="43"/>
  <c r="N107" i="43"/>
  <c r="N105" i="43"/>
  <c r="H103" i="43"/>
  <c r="H109" i="43"/>
  <c r="H104" i="43"/>
  <c r="H106" i="43"/>
  <c r="H107" i="43"/>
  <c r="H102" i="43"/>
  <c r="H105" i="43"/>
  <c r="AA11" i="39"/>
  <c r="S11" i="39"/>
  <c r="M105" i="43"/>
  <c r="M109" i="43"/>
  <c r="M107" i="43"/>
  <c r="M102" i="43"/>
  <c r="M106" i="43"/>
  <c r="M103" i="43"/>
  <c r="M104" i="43"/>
  <c r="D116" i="43"/>
  <c r="E116" i="43" s="1"/>
  <c r="F116" i="43" s="1"/>
  <c r="G116" i="43" s="1"/>
  <c r="H116" i="43" s="1"/>
  <c r="I116" i="43"/>
  <c r="J116" i="43" s="1"/>
  <c r="K116" i="43" s="1"/>
  <c r="L116" i="43" s="1"/>
  <c r="M116" i="43" s="1"/>
  <c r="G118" i="43"/>
  <c r="H118" i="43" s="1"/>
  <c r="B116" i="43"/>
  <c r="C116" i="43" s="1"/>
  <c r="B118" i="43"/>
  <c r="C118" i="43" s="1"/>
  <c r="I117" i="43"/>
  <c r="J117" i="43" s="1"/>
  <c r="K117" i="43" s="1"/>
  <c r="L117" i="43" s="1"/>
  <c r="M117" i="43" s="1"/>
  <c r="B115" i="43"/>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I106" i="43"/>
  <c r="I105" i="43"/>
  <c r="I103" i="43"/>
  <c r="I102" i="43"/>
  <c r="I109" i="43"/>
  <c r="I104" i="43"/>
  <c r="I107" i="43"/>
  <c r="D22" i="43"/>
  <c r="D8" i="71"/>
  <c r="C7" i="71"/>
  <c r="W11" i="39"/>
  <c r="AC11" i="39"/>
  <c r="D23" i="6"/>
  <c r="D24" i="6"/>
  <c r="D28" i="6"/>
  <c r="D29" i="6"/>
  <c r="H25" i="6"/>
  <c r="D14" i="6"/>
  <c r="D20" i="6"/>
  <c r="E61" i="40"/>
  <c r="D8" i="6"/>
  <c r="L19" i="9"/>
  <c r="M19" i="9"/>
  <c r="C118" i="9" s="1"/>
  <c r="C14" i="74" s="1"/>
  <c r="B2" i="74" s="1"/>
  <c r="H20" i="6"/>
  <c r="H21" i="6"/>
  <c r="D19" i="6"/>
  <c r="D25" i="6"/>
  <c r="D5" i="6"/>
  <c r="D6" i="6"/>
  <c r="H23" i="6"/>
  <c r="D21" i="6"/>
  <c r="H26" i="6"/>
  <c r="D26" i="6"/>
  <c r="D15" i="6"/>
  <c r="D12" i="6"/>
  <c r="D9" i="6"/>
  <c r="H24" i="6"/>
  <c r="C18" i="4"/>
  <c r="D22" i="6"/>
  <c r="D11" i="6"/>
  <c r="D10" i="6"/>
  <c r="H22" i="6"/>
  <c r="D13" i="6"/>
  <c r="H19" i="6"/>
  <c r="C10" i="69"/>
  <c r="C8" i="69" s="1"/>
  <c r="C5" i="69" s="1"/>
  <c r="C23" i="69" s="1"/>
  <c r="D19" i="69"/>
  <c r="G104" i="43"/>
  <c r="G106" i="43"/>
  <c r="G105" i="43"/>
  <c r="G107" i="43"/>
  <c r="G103" i="43"/>
  <c r="G109" i="43"/>
  <c r="G102" i="43"/>
  <c r="K106" i="43"/>
  <c r="K102" i="43"/>
  <c r="K109" i="43"/>
  <c r="K103" i="43"/>
  <c r="K105" i="43"/>
  <c r="K107" i="43"/>
  <c r="K104" i="43"/>
  <c r="C107" i="43"/>
  <c r="C103" i="43"/>
  <c r="C104" i="43"/>
  <c r="C106" i="43"/>
  <c r="C105" i="43"/>
  <c r="C102" i="43"/>
  <c r="C109" i="43"/>
  <c r="AB11" i="39"/>
  <c r="U11" i="39"/>
  <c r="C29" i="43"/>
  <c r="E103" i="43"/>
  <c r="E107" i="43"/>
  <c r="E104" i="43"/>
  <c r="E105" i="43"/>
  <c r="E102" i="43"/>
  <c r="E109" i="43"/>
  <c r="E106" i="43"/>
  <c r="L109" i="43"/>
  <c r="L103" i="43"/>
  <c r="L106" i="43"/>
  <c r="L107" i="43"/>
  <c r="L102" i="43"/>
  <c r="L104" i="43"/>
  <c r="L105" i="43"/>
  <c r="C24" i="68"/>
  <c r="K70" i="39"/>
  <c r="L68" i="39"/>
  <c r="I63" i="40"/>
  <c r="H65" i="40"/>
  <c r="I58" i="21"/>
  <c r="J58" i="21" s="1"/>
  <c r="K58" i="21" s="1"/>
  <c r="L58" i="21" s="1"/>
  <c r="M58" i="21" s="1"/>
  <c r="N58" i="21" s="1"/>
  <c r="O58" i="21" s="1"/>
  <c r="H7" i="21" s="1"/>
  <c r="F7" i="21"/>
  <c r="J48" i="35"/>
  <c r="Q48" i="15" l="1"/>
  <c r="C23" i="67"/>
  <c r="C29" i="67" s="1"/>
  <c r="J14" i="67" s="1"/>
  <c r="J7" i="21"/>
  <c r="C36" i="67"/>
  <c r="B29" i="1"/>
  <c r="C8" i="68" s="1"/>
  <c r="C39" i="11"/>
  <c r="C43" i="11" s="1"/>
  <c r="C41" i="11" s="1"/>
  <c r="R23" i="6"/>
  <c r="R20" i="6"/>
  <c r="R7" i="1" s="1"/>
  <c r="R25" i="6"/>
  <c r="R22" i="6"/>
  <c r="H27" i="6"/>
  <c r="R26" i="6"/>
  <c r="C13" i="15"/>
  <c r="Q49" i="15"/>
  <c r="J14" i="15"/>
  <c r="J19" i="15"/>
  <c r="C36" i="15"/>
  <c r="C57" i="15"/>
  <c r="R24" i="6"/>
  <c r="R21" i="6"/>
  <c r="A7" i="51"/>
  <c r="B7" i="72" s="1"/>
  <c r="C4" i="52"/>
  <c r="B45" i="72" s="1"/>
  <c r="A10" i="51"/>
  <c r="B9" i="72" s="1"/>
  <c r="C42" i="68"/>
  <c r="C30" i="43"/>
  <c r="E30" i="43" s="1"/>
  <c r="C27" i="43" s="1"/>
  <c r="E29" i="43"/>
  <c r="C19" i="69"/>
  <c r="D37" i="69"/>
  <c r="C37" i="69" s="1"/>
  <c r="C33" i="69" s="1"/>
  <c r="D8" i="74"/>
  <c r="D7" i="74"/>
  <c r="C115" i="43"/>
  <c r="D113" i="43" s="1"/>
  <c r="D27" i="6"/>
  <c r="R19" i="6"/>
  <c r="D16" i="6"/>
  <c r="D30" i="6"/>
  <c r="D7" i="71"/>
  <c r="C6" i="71"/>
  <c r="C46" i="68"/>
  <c r="C45" i="68" s="1"/>
  <c r="C43" i="68"/>
  <c r="L70" i="39"/>
  <c r="M68" i="39"/>
  <c r="U7" i="21"/>
  <c r="AB7" i="21"/>
  <c r="T48" i="21" s="1"/>
  <c r="G48" i="21" s="1"/>
  <c r="S7" i="21"/>
  <c r="AA7" i="21"/>
  <c r="R48" i="21" s="1"/>
  <c r="J63" i="40"/>
  <c r="I65" i="40"/>
  <c r="K48" i="35"/>
  <c r="L48" i="35" s="1"/>
  <c r="M48" i="35" s="1"/>
  <c r="N48" i="35" s="1"/>
  <c r="O48" i="35" s="1"/>
  <c r="H7" i="35" s="1"/>
  <c r="AC7" i="21"/>
  <c r="V48" i="21" s="1"/>
  <c r="I48" i="21" s="1"/>
  <c r="W7" i="21"/>
  <c r="M21" i="67"/>
  <c r="E6" i="76"/>
  <c r="F35" i="67"/>
  <c r="C33" i="67" l="1"/>
  <c r="C57" i="67"/>
  <c r="C64" i="67" s="1"/>
  <c r="J19" i="67"/>
  <c r="J59" i="67"/>
  <c r="J60" i="67" s="1"/>
  <c r="L46" i="67" s="1"/>
  <c r="C13" i="67"/>
  <c r="Q70" i="67" s="1"/>
  <c r="Q49" i="67"/>
  <c r="J20" i="67"/>
  <c r="F63" i="67"/>
  <c r="C62" i="67" s="1"/>
  <c r="C34" i="67"/>
  <c r="C31" i="67" s="1"/>
  <c r="Q48" i="67"/>
  <c r="C56" i="67"/>
  <c r="C65" i="67" s="1"/>
  <c r="J13" i="67"/>
  <c r="J23" i="67" s="1"/>
  <c r="J22" i="67"/>
  <c r="C61" i="67"/>
  <c r="C59" i="67" s="1"/>
  <c r="C18" i="12"/>
  <c r="C21" i="12" s="1"/>
  <c r="C22" i="12" s="1"/>
  <c r="C46" i="11"/>
  <c r="C45" i="11" s="1"/>
  <c r="C49" i="11" s="1"/>
  <c r="C51" i="11" s="1"/>
  <c r="J22" i="15"/>
  <c r="J13" i="15"/>
  <c r="J23" i="15" s="1"/>
  <c r="C75" i="15"/>
  <c r="C56" i="15"/>
  <c r="C65" i="15" s="1"/>
  <c r="Q70" i="15"/>
  <c r="C37" i="15"/>
  <c r="C64" i="15"/>
  <c r="C61" i="15"/>
  <c r="E2" i="76"/>
  <c r="B3" i="76" s="1"/>
  <c r="J7" i="35"/>
  <c r="W7" i="35" s="1"/>
  <c r="C41" i="68"/>
  <c r="C49" i="68" s="1"/>
  <c r="C51" i="68" s="1"/>
  <c r="C39" i="69"/>
  <c r="C42" i="69"/>
  <c r="C24" i="69"/>
  <c r="C20" i="69"/>
  <c r="C25" i="69" s="1"/>
  <c r="R6" i="1"/>
  <c r="R27" i="6"/>
  <c r="D6" i="71"/>
  <c r="C5" i="71"/>
  <c r="D31" i="6"/>
  <c r="M70" i="39"/>
  <c r="N68" i="39"/>
  <c r="J65" i="40"/>
  <c r="K63" i="40"/>
  <c r="I52" i="21"/>
  <c r="J52" i="21" s="1"/>
  <c r="U7" i="35"/>
  <c r="AB7" i="35"/>
  <c r="T38" i="35" s="1"/>
  <c r="G38" i="35" s="1"/>
  <c r="R49" i="21"/>
  <c r="E48" i="21"/>
  <c r="G52" i="21"/>
  <c r="H52" i="21" s="1"/>
  <c r="G53" i="21"/>
  <c r="H53" i="21" s="1"/>
  <c r="F7" i="35"/>
  <c r="L57" i="15"/>
  <c r="L60" i="15" s="1"/>
  <c r="M21" i="15"/>
  <c r="F35" i="15"/>
  <c r="C58" i="67" l="1"/>
  <c r="C67" i="67" s="1"/>
  <c r="C68" i="67" s="1"/>
  <c r="C71" i="67" s="1"/>
  <c r="J17" i="67"/>
  <c r="J16" i="67" s="1"/>
  <c r="J25" i="67" s="1"/>
  <c r="C75" i="67"/>
  <c r="C37" i="67"/>
  <c r="C30" i="67" s="1"/>
  <c r="C39" i="67" s="1"/>
  <c r="C27" i="12"/>
  <c r="C25" i="12" s="1"/>
  <c r="C30" i="12"/>
  <c r="C28" i="12" s="1"/>
  <c r="C28" i="69"/>
  <c r="C27" i="69" s="1"/>
  <c r="C22" i="69"/>
  <c r="J20" i="15"/>
  <c r="J17" i="15" s="1"/>
  <c r="J16" i="15" s="1"/>
  <c r="J25" i="15" s="1"/>
  <c r="C34" i="15"/>
  <c r="C31" i="15" s="1"/>
  <c r="C30" i="15" s="1"/>
  <c r="C39" i="15" s="1"/>
  <c r="F63" i="15"/>
  <c r="C62" i="15" s="1"/>
  <c r="C59" i="15" s="1"/>
  <c r="C58" i="15" s="1"/>
  <c r="C67" i="15" s="1"/>
  <c r="C68" i="15" s="1"/>
  <c r="AC7" i="35"/>
  <c r="V38" i="35" s="1"/>
  <c r="I38" i="35" s="1"/>
  <c r="G43" i="35" s="1"/>
  <c r="H43" i="35" s="1"/>
  <c r="D5" i="71"/>
  <c r="M20" i="43"/>
  <c r="C43" i="69"/>
  <c r="C41" i="69" s="1"/>
  <c r="C46" i="69"/>
  <c r="C45" i="69" s="1"/>
  <c r="R16" i="1"/>
  <c r="I5" i="6"/>
  <c r="I6" i="6"/>
  <c r="C52" i="11"/>
  <c r="B2" i="11" s="1"/>
  <c r="B3" i="11" s="1"/>
  <c r="O68" i="39"/>
  <c r="O70" i="39" s="1"/>
  <c r="N70" i="39"/>
  <c r="F7" i="39" s="1"/>
  <c r="S7" i="35"/>
  <c r="AA7" i="35"/>
  <c r="R38" i="35" s="1"/>
  <c r="C49" i="21"/>
  <c r="B2" i="21" s="1"/>
  <c r="B3" i="21" s="1"/>
  <c r="C48" i="21"/>
  <c r="E52" i="21"/>
  <c r="F52" i="21" s="1"/>
  <c r="E53" i="21"/>
  <c r="F53" i="21" s="1"/>
  <c r="G42" i="35"/>
  <c r="H42" i="35" s="1"/>
  <c r="I53" i="21"/>
  <c r="J53" i="21" s="1"/>
  <c r="K65" i="40"/>
  <c r="L63" i="40"/>
  <c r="Q66" i="15"/>
  <c r="Q57" i="15"/>
  <c r="L51" i="67"/>
  <c r="I42" i="35" l="1"/>
  <c r="J42" i="35" s="1"/>
  <c r="Q67" i="67"/>
  <c r="L57" i="67"/>
  <c r="L60" i="67" s="1"/>
  <c r="C40" i="67"/>
  <c r="Q69" i="67"/>
  <c r="Q68" i="67" s="1"/>
  <c r="C80" i="67"/>
  <c r="C79" i="67" s="1"/>
  <c r="C32" i="12"/>
  <c r="B2" i="12" s="1"/>
  <c r="B3" i="12" s="1"/>
  <c r="C31" i="69"/>
  <c r="C49" i="69"/>
  <c r="C51" i="69" s="1"/>
  <c r="C56" i="11"/>
  <c r="C57" i="11" s="1"/>
  <c r="C71" i="15"/>
  <c r="C80" i="15"/>
  <c r="C79" i="15" s="1"/>
  <c r="Q69" i="15"/>
  <c r="Q68" i="15" s="1"/>
  <c r="C40" i="15"/>
  <c r="C46" i="15" s="1"/>
  <c r="H7" i="39"/>
  <c r="J7" i="39"/>
  <c r="AA7" i="39"/>
  <c r="R47" i="39" s="1"/>
  <c r="S7" i="39"/>
  <c r="R39" i="35"/>
  <c r="E38" i="35"/>
  <c r="M63" i="40"/>
  <c r="L65" i="40"/>
  <c r="L51" i="15"/>
  <c r="Q66" i="67" l="1"/>
  <c r="Q57" i="67"/>
  <c r="C45" i="67"/>
  <c r="C46" i="67" s="1"/>
  <c r="C43" i="67"/>
  <c r="Q47" i="67"/>
  <c r="Q53" i="67" s="1"/>
  <c r="Q65" i="67"/>
  <c r="D2" i="67"/>
  <c r="Q56" i="67"/>
  <c r="C83" i="67"/>
  <c r="C82" i="67" s="1"/>
  <c r="C52" i="69"/>
  <c r="B2" i="69" s="1"/>
  <c r="B3" i="69" s="1"/>
  <c r="Q67" i="15"/>
  <c r="C83" i="15"/>
  <c r="C82" i="15" s="1"/>
  <c r="B2" i="15"/>
  <c r="C43" i="15"/>
  <c r="Q65" i="15"/>
  <c r="Q75" i="15" s="1"/>
  <c r="Q47" i="15"/>
  <c r="Q53" i="15" s="1"/>
  <c r="Q56" i="15"/>
  <c r="Q62" i="15" s="1"/>
  <c r="E47" i="39"/>
  <c r="W7" i="39"/>
  <c r="AC7" i="39"/>
  <c r="V47" i="39" s="1"/>
  <c r="I47" i="39" s="1"/>
  <c r="U7" i="39"/>
  <c r="AB7" i="39"/>
  <c r="T47" i="39" s="1"/>
  <c r="G47" i="39" s="1"/>
  <c r="C39" i="35"/>
  <c r="B2" i="35" s="1"/>
  <c r="B3" i="35" s="1"/>
  <c r="C38" i="35"/>
  <c r="N63" i="40"/>
  <c r="M65" i="40"/>
  <c r="E43" i="35"/>
  <c r="F43" i="35" s="1"/>
  <c r="E42" i="35"/>
  <c r="F42" i="35" s="1"/>
  <c r="I43" i="35"/>
  <c r="J43" i="35" s="1"/>
  <c r="D19" i="9"/>
  <c r="AO6" i="1"/>
  <c r="Q62" i="67" l="1"/>
  <c r="B2" i="67"/>
  <c r="B3" i="67"/>
  <c r="Q75" i="67"/>
  <c r="C57" i="69"/>
  <c r="C56" i="69" s="1"/>
  <c r="D102" i="9"/>
  <c r="D21" i="9"/>
  <c r="B6" i="70"/>
  <c r="B2" i="70" s="1"/>
  <c r="B3" i="70" s="1"/>
  <c r="B3" i="15"/>
  <c r="R48" i="39"/>
  <c r="C48" i="39" s="1"/>
  <c r="E52" i="39"/>
  <c r="F52" i="39" s="1"/>
  <c r="E51" i="39"/>
  <c r="F51" i="39" s="1"/>
  <c r="G51" i="39"/>
  <c r="H51" i="39" s="1"/>
  <c r="G52" i="39"/>
  <c r="H52" i="39" s="1"/>
  <c r="I51" i="39"/>
  <c r="J51" i="39" s="1"/>
  <c r="I52" i="39"/>
  <c r="J52" i="39" s="1"/>
  <c r="O63" i="40"/>
  <c r="O65" i="40" s="1"/>
  <c r="N65" i="40"/>
  <c r="D20" i="9"/>
  <c r="D103" i="9"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B3" i="39" s="1"/>
  <c r="U7" i="40"/>
  <c r="AB7" i="40"/>
  <c r="T42" i="40" s="1"/>
  <c r="G42" i="40" s="1"/>
  <c r="AA7" i="40"/>
  <c r="R42" i="40" s="1"/>
  <c r="S7" i="40"/>
  <c r="AC7" i="40"/>
  <c r="V42" i="40" s="1"/>
  <c r="I42" i="40" s="1"/>
  <c r="W7" i="40"/>
  <c r="C6" i="68" l="1"/>
  <c r="C7" i="68" s="1"/>
  <c r="C5" i="68" s="1"/>
  <c r="I46" i="40"/>
  <c r="J46" i="40" s="1"/>
  <c r="R43" i="40"/>
  <c r="E42" i="40"/>
  <c r="G47" i="40"/>
  <c r="H47" i="40" s="1"/>
  <c r="G46" i="40"/>
  <c r="H46" i="40" s="1"/>
  <c r="C23" i="68" l="1"/>
  <c r="C20" i="68"/>
  <c r="C25" i="68" s="1"/>
  <c r="C42" i="40"/>
  <c r="C43" i="40"/>
  <c r="E47" i="40"/>
  <c r="F47" i="40" s="1"/>
  <c r="E46" i="40"/>
  <c r="F46" i="40" s="1"/>
  <c r="I47" i="40"/>
  <c r="J47" i="40" s="1"/>
  <c r="C22" i="68" l="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B3" i="68" s="1"/>
  <c r="C19" i="9"/>
  <c r="C20" i="9"/>
  <c r="C57" i="68" l="1"/>
  <c r="G19" i="9"/>
  <c r="G21" i="9" s="1"/>
  <c r="C21" i="9"/>
  <c r="D22" i="9"/>
  <c r="C102" i="9"/>
  <c r="C103" i="9"/>
  <c r="G20" i="9"/>
  <c r="D35" i="9"/>
  <c r="C32" i="9" l="1"/>
  <c r="C35" i="9" s="1"/>
  <c r="C34" i="9" s="1"/>
  <c r="D118" i="9" s="1"/>
  <c r="D4" i="52" s="1"/>
  <c r="B47" i="72" s="1"/>
  <c r="C56" i="68"/>
  <c r="D34" i="9"/>
  <c r="H118" i="9" l="1"/>
  <c r="H4" i="52" s="1"/>
  <c r="F118" i="9"/>
  <c r="F119" i="9" s="1"/>
  <c r="F5" i="52" s="1"/>
  <c r="B53" i="72" s="1"/>
  <c r="D119" i="9"/>
  <c r="D5" i="52" s="1"/>
  <c r="B49" i="72" s="1"/>
  <c r="H119" i="9" l="1"/>
  <c r="H5" i="52" s="1"/>
  <c r="D14" i="74"/>
  <c r="E14" i="74" s="1"/>
  <c r="I118" i="9"/>
  <c r="H102" i="9" s="1"/>
  <c r="D7" i="53" s="1"/>
  <c r="B21" i="72" s="1"/>
  <c r="H101" i="9"/>
  <c r="M48" i="9" s="1"/>
  <c r="C104" i="9"/>
  <c r="G118" i="9"/>
  <c r="G4" i="52" s="1"/>
  <c r="B52" i="72" s="1"/>
  <c r="F4" i="52"/>
  <c r="B51" i="72" s="1"/>
  <c r="D5" i="53" l="1"/>
  <c r="B20" i="72" s="1"/>
  <c r="H107" i="9"/>
  <c r="M49" i="9" s="1"/>
  <c r="C105" i="9"/>
  <c r="D45" i="9"/>
  <c r="D55" i="9" s="1"/>
  <c r="M53" i="9" s="1"/>
  <c r="I4" i="52"/>
  <c r="F14" i="74"/>
  <c r="B5" i="74"/>
  <c r="D5" i="74" s="1"/>
  <c r="E118" i="9"/>
  <c r="E4" i="52" s="1"/>
  <c r="B48" i="72" s="1"/>
  <c r="H108" i="9" l="1"/>
  <c r="D15" i="53" s="1"/>
  <c r="B31" i="72" s="1"/>
  <c r="D6" i="53"/>
  <c r="B22" i="72" s="1"/>
  <c r="D122" i="9"/>
  <c r="G14" i="74" s="1"/>
  <c r="B6" i="74" s="1"/>
  <c r="D13" i="53"/>
  <c r="B30" i="72" s="1"/>
  <c r="C85" i="9"/>
  <c r="C78" i="9"/>
  <c r="C73" i="9" s="1"/>
  <c r="C72" i="9"/>
  <c r="C93" i="9"/>
  <c r="C86" i="9" s="1"/>
  <c r="C64" i="9"/>
  <c r="C63" i="9" s="1"/>
  <c r="C67" i="9" s="1"/>
  <c r="C68" i="9" s="1"/>
  <c r="D54" i="9" s="1"/>
  <c r="D53" i="9"/>
  <c r="D48" i="9" s="1"/>
  <c r="M52" i="9" s="1"/>
  <c r="D52" i="9"/>
  <c r="C5" i="74"/>
  <c r="L68" i="9"/>
  <c r="M68" i="9" s="1"/>
  <c r="L65" i="9"/>
  <c r="M65" i="9" s="1"/>
  <c r="L67" i="9"/>
  <c r="M67" i="9" s="1"/>
  <c r="L64" i="9"/>
  <c r="M64" i="9" s="1"/>
  <c r="L66" i="9"/>
  <c r="M66" i="9" s="1"/>
  <c r="L63" i="9"/>
  <c r="M63" i="9" s="1"/>
  <c r="D59" i="9"/>
  <c r="M55" i="9" s="1"/>
  <c r="D14" i="53" l="1"/>
  <c r="B32" i="72" s="1"/>
  <c r="D123" i="9"/>
  <c r="D9" i="52" s="1"/>
  <c r="D8" i="52"/>
  <c r="C95" i="9"/>
  <c r="C96" i="9" s="1"/>
  <c r="E96" i="9" s="1"/>
  <c r="E97" i="9" s="1"/>
  <c r="C79" i="9"/>
  <c r="C80" i="9" s="1"/>
  <c r="E80" i="9" s="1"/>
  <c r="E81" i="9" s="1"/>
  <c r="M69" i="9"/>
  <c r="N69"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<sst xmlns="http://schemas.openxmlformats.org/spreadsheetml/2006/main" count="7629" uniqueCount="3236">
  <si>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</si>
  <si>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</si>
  <si>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</si>
  <si>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</si>
  <si>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</si>
  <si>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</si>
  <si>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</si>
  <si>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</si>
  <si>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</si>
  <si>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</si>
  <si>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</si>
  <si>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</si>
  <si>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</si>
  <si>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</si>
  <si>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</si>
  <si>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</si>
  <si>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</si>
  <si>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</si>
  <si>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</si>
  <si>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</si>
  <si>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</si>
  <si>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</si>
  <si>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</si>
  <si>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</si>
  <si>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</si>
  <si>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</si>
  <si>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</si>
  <si>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</si>
  <si>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</si>
  <si>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</si>
  <si>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</si>
  <si>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</si>
  <si>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</si>
  <si>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</si>
  <si>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</si>
  <si>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</si>
  <si>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</si>
  <si>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</si>
  <si>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</si>
  <si>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</si>
  <si>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</si>
  <si>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</si>
  <si>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</si>
  <si>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</si>
  <si>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</si>
  <si>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</si>
  <si>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</si>
  <si>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</si>
  <si>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</si>
  <si>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</si>
  <si>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</si>
  <si>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</si>
  <si>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</si>
  <si>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</si>
  <si>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</si>
  <si>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</si>
  <si>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</si>
  <si>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</si>
  <si>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</si>
  <si>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</si>
  <si>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</si>
  <si>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</si>
  <si>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</si>
  <si>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</si>
  <si>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</si>
  <si>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</si>
  <si>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</si>
  <si>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</si>
  <si>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</si>
  <si>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</si>
  <si>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</si>
  <si>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</si>
  <si>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</si>
  <si>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</si>
  <si>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</si>
  <si>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</si>
  <si>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</si>
  <si>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</si>
  <si>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</si>
  <si>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</si>
  <si>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</si>
  <si>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</si>
  <si>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</si>
  <si>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</si>
  <si>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</si>
  <si>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</si>
  <si>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</si>
  <si>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</si>
  <si>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</si>
  <si>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</si>
  <si>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</si>
  <si>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</si>
  <si>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</si>
  <si>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</si>
  <si>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</si>
  <si>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</si>
  <si>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</si>
  <si>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</si>
  <si>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</si>
  <si>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</si>
  <si>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</si>
  <si>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</si>
  <si>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</si>
  <si>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</si>
  <si>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</si>
  <si>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</si>
  <si>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</si>
  <si>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</si>
  <si>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</si>
  <si>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</si>
  <si>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</si>
  <si>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</si>
  <si>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</si>
  <si>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</si>
  <si>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</si>
  <si>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</si>
  <si>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</si>
  <si>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</si>
  <si>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</si>
  <si>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</si>
  <si>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</si>
  <si>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</si>
  <si>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</si>
  <si>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</si>
  <si>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</si>
  <si>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</si>
  <si>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</si>
  <si>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</si>
  <si>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</si>
  <si>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</si>
  <si>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</si>
  <si>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</si>
  <si>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</si>
  <si>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</si>
  <si>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</si>
  <si>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</si>
  <si>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</si>
  <si>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</si>
  <si>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</si>
  <si>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</si>
  <si>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</si>
  <si>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</si>
  <si>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</si>
  <si>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</si>
  <si>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</si>
  <si>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</si>
  <si>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</si>
  <si>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</si>
  <si>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</si>
  <si>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</si>
  <si>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</si>
  <si>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</si>
  <si>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</si>
  <si>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</si>
  <si>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</si>
  <si>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</si>
  <si>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</si>
  <si>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</si>
  <si>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</si>
  <si>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</si>
  <si>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</si>
  <si>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</si>
  <si>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</si>
  <si>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</si>
  <si>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</si>
  <si>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</si>
  <si>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</si>
  <si>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</si>
  <si>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</si>
  <si>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</si>
  <si>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</si>
  <si>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</si>
  <si>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</si>
  <si>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</si>
  <si>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</si>
  <si>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</si>
  <si>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</si>
  <si>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</si>
  <si>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</si>
  <si>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</si>
  <si>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</si>
  <si>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</si>
  <si>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</si>
  <si>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</si>
  <si>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</si>
  <si>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</si>
  <si>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</si>
  <si>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</si>
  <si>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</si>
  <si>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</si>
  <si>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</si>
  <si>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</si>
  <si>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</si>
  <si>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</si>
  <si>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</si>
  <si>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</si>
  <si>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</si>
  <si>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</si>
  <si>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</si>
  <si>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</si>
  <si>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</si>
  <si>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</si>
  <si>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</si>
  <si>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</si>
  <si>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</si>
  <si>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</si>
  <si>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</si>
  <si>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</si>
  <si>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</si>
  <si>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</si>
  <si>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</si>
  <si>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</si>
  <si>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</si>
  <si>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</si>
  <si>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</si>
  <si>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</si>
  <si>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</si>
  <si>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</si>
  <si>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</si>
  <si>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</si>
  <si>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</si>
  <si>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</si>
  <si>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</si>
  <si>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</si>
  <si>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</si>
  <si>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</si>
  <si>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</si>
  <si>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</si>
  <si>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</si>
  <si>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</si>
  <si>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</si>
  <si>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</si>
  <si>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</si>
  <si>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</si>
  <si>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</si>
  <si>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</si>
  <si>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</si>
  <si>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</si>
  <si>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</si>
  <si>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</si>
  <si>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</si>
  <si>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</si>
  <si>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</si>
  <si>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</si>
  <si>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</si>
  <si>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</si>
  <si>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</si>
  <si>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</si>
  <si>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</si>
  <si>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</si>
  <si>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</si>
  <si>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</si>
  <si>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</si>
  <si>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</si>
  <si>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</si>
  <si>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</si>
  <si>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</si>
  <si>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</si>
  <si>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</si>
  <si>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</si>
  <si>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</si>
  <si>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</si>
  <si>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</si>
  <si>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</si>
  <si>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</si>
  <si>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</si>
  <si>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</si>
  <si>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</si>
  <si>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</si>
  <si>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</si>
  <si>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</si>
  <si>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</si>
  <si>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</si>
  <si>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</si>
  <si>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</si>
  <si>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</si>
  <si>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</si>
  <si>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</si>
  <si>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</si>
  <si>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</si>
  <si>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</si>
  <si>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</si>
  <si>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</si>
  <si>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</si>
  <si>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</si>
  <si>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</si>
  <si>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</si>
  <si>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</si>
  <si>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</si>
  <si>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</si>
  <si>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</si>
  <si>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</si>
  <si>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</si>
  <si>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</si>
  <si>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</si>
  <si>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</si>
  <si>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</si>
  <si>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</si>
  <si>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</si>
  <si>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</si>
  <si>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</si>
  <si>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</si>
  <si>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</si>
  <si>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</si>
  <si>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</si>
  <si>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</si>
  <si>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</si>
  <si>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</si>
  <si>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</si>
  <si>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</si>
  <si>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</si>
  <si>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</si>
  <si>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</si>
  <si>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</si>
  <si>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</si>
  <si>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</si>
  <si>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</si>
  <si>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</si>
  <si>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</si>
  <si>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</si>
  <si>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</si>
  <si>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</si>
  <si>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</si>
  <si>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</si>
  <si>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</si>
  <si>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</si>
  <si>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</si>
  <si>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</si>
  <si>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</si>
  <si>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</si>
  <si>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</si>
  <si>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</si>
  <si>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</si>
  <si>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</si>
  <si>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</si>
  <si>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</si>
  <si>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</si>
  <si>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</si>
  <si>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</si>
  <si>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</si>
  <si>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</si>
  <si>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</si>
  <si>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</si>
  <si>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</si>
  <si>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</si>
  <si>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</si>
  <si>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</si>
  <si>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</si>
  <si>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</si>
  <si>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</si>
  <si>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</si>
  <si>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</si>
  <si>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</si>
  <si>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</si>
  <si>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</si>
  <si>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</si>
  <si>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</si>
  <si>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</si>
  <si>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</si>
  <si>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</si>
  <si>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</si>
  <si>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</si>
  <si>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</si>
  <si>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</si>
  <si>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</si>
  <si>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</si>
  <si>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</si>
  <si>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</si>
  <si>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</si>
  <si>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</si>
  <si>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</si>
  <si>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</si>
  <si>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</si>
  <si>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</si>
  <si>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</si>
  <si>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</si>
  <si>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</si>
  <si>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</si>
  <si>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</si>
  <si>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</si>
  <si>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</si>
  <si>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</si>
  <si>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</si>
  <si>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</si>
  <si>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</si>
  <si>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</si>
  <si>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</si>
  <si>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</si>
  <si>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</si>
  <si>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</si>
  <si>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</si>
  <si>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</si>
  <si>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</si>
  <si>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</si>
  <si>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</si>
  <si>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</si>
  <si>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</si>
  <si>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</si>
  <si>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</si>
  <si>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</si>
  <si>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</si>
  <si>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</si>
  <si>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</si>
  <si>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</si>
  <si>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</si>
  <si>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</si>
  <si>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</si>
  <si>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</si>
  <si>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</si>
  <si>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</si>
  <si>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</si>
  <si>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</si>
  <si>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</si>
  <si>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</si>
  <si>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</si>
  <si>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</si>
  <si>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</si>
  <si>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</si>
  <si>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</si>
  <si>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</si>
  <si>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</si>
  <si>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</si>
  <si>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</si>
  <si>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</si>
  <si>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</si>
  <si>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</si>
  <si>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</si>
  <si>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</si>
  <si>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</si>
  <si>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</si>
  <si>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</si>
  <si>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</si>
  <si>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</si>
  <si>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</si>
  <si>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</si>
  <si>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</si>
  <si>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</si>
  <si>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</si>
  <si>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</si>
  <si>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</si>
  <si>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</si>
  <si>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</si>
  <si>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</si>
  <si>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</si>
  <si>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</si>
  <si>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</si>
  <si>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</si>
  <si>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</si>
  <si>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</si>
  <si>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</si>
  <si>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</si>
  <si>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</si>
  <si>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</si>
  <si>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</si>
  <si>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</si>
  <si>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</si>
  <si>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</si>
  <si>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</si>
  <si>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</si>
  <si>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</si>
  <si>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</si>
  <si>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</si>
  <si>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</si>
  <si>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</si>
  <si>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</si>
  <si>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</si>
  <si>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</si>
  <si>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</si>
  <si>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</si>
  <si>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</si>
  <si>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</si>
  <si>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</si>
  <si>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</si>
  <si>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</si>
  <si>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</si>
  <si>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</si>
  <si>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</si>
  <si>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</si>
  <si>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</si>
  <si>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</si>
  <si>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</si>
  <si>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</si>
  <si>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</si>
  <si>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</si>
  <si>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</si>
  <si>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</si>
  <si>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</si>
  <si>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</si>
  <si>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</si>
  <si>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</si>
  <si>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</si>
  <si>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</si>
  <si>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</si>
  <si>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</si>
  <si>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</si>
  <si>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</si>
  <si>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</si>
  <si>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</si>
  <si>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</si>
  <si>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</si>
  <si>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</si>
  <si>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</si>
  <si>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</si>
  <si>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</si>
  <si>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</si>
  <si>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</si>
  <si>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</si>
  <si>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</si>
  <si>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</si>
  <si>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</si>
  <si>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</si>
  <si>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</si>
  <si>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</si>
  <si>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</si>
  <si>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</si>
  <si>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</si>
  <si>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</si>
  <si>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</si>
  <si>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</si>
  <si>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</si>
  <si>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</si>
  <si>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</si>
  <si>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</si>
  <si>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</si>
  <si>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</si>
  <si>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</si>
  <si>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</si>
  <si>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</si>
  <si>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</si>
  <si>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</si>
  <si>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</si>
  <si>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</si>
  <si>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</si>
  <si>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</si>
  <si>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</si>
  <si>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</si>
  <si>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</si>
  <si>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</si>
  <si>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</si>
  <si>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</si>
  <si>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</si>
  <si>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</si>
  <si>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</si>
  <si>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</si>
  <si>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</si>
  <si>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</si>
  <si>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</si>
  <si>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</si>
  <si>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</si>
  <si>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</si>
  <si>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</si>
  <si>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</si>
  <si>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</si>
  <si>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</si>
  <si>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</si>
  <si>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</si>
  <si>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</si>
  <si>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</si>
  <si>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</si>
  <si>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</si>
  <si>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</si>
  <si>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</si>
  <si>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</si>
  <si>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</si>
  <si>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</si>
  <si>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</si>
  <si>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</si>
  <si>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</si>
  <si>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</si>
  <si>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</si>
  <si>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</si>
  <si>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</si>
  <si>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</si>
  <si>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</si>
  <si>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</si>
  <si>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</si>
  <si>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</si>
  <si>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</si>
  <si>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</si>
  <si>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</si>
  <si>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</si>
  <si>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</si>
  <si>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</si>
  <si>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</si>
  <si>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</si>
  <si>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</si>
  <si>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</si>
  <si>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</si>
  <si>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</si>
  <si>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</si>
  <si>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</si>
  <si>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</si>
  <si>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</si>
  <si>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</si>
  <si>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</si>
  <si>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</si>
  <si>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</si>
  <si>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</si>
  <si>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</si>
  <si>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</si>
  <si>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</si>
  <si>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</si>
  <si>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</si>
  <si>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</si>
  <si>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</si>
  <si>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</si>
  <si>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</si>
  <si>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</si>
  <si>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</si>
  <si>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</si>
  <si>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</si>
  <si>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</si>
  <si>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</si>
  <si>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</si>
  <si>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</si>
  <si>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</si>
  <si>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</si>
  <si>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</si>
  <si>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</si>
  <si>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</si>
  <si>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</si>
  <si>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</si>
  <si>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</si>
  <si>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</si>
  <si>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</si>
  <si>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</si>
  <si>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</si>
  <si>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</si>
  <si>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</si>
  <si>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</si>
  <si>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</si>
  <si>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</si>
  <si>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</si>
  <si>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</si>
  <si>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</si>
  <si>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</si>
  <si>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</si>
  <si>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</si>
  <si>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</si>
  <si>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</si>
  <si>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</si>
  <si>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</si>
  <si>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</si>
  <si>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</si>
  <si>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</si>
  <si>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</si>
  <si>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</si>
  <si>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</si>
  <si>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</si>
  <si>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</si>
  <si>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</si>
  <si>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</si>
  <si>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</si>
  <si>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</si>
  <si>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</si>
  <si>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</si>
  <si>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</si>
  <si>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</si>
  <si>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</si>
  <si>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</si>
  <si>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</si>
  <si>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</si>
  <si>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</si>
  <si>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</si>
  <si>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</si>
  <si>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</si>
  <si>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</si>
  <si>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</si>
  <si>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</si>
  <si>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</si>
  <si>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</si>
  <si>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</si>
  <si>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</si>
  <si>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</si>
  <si>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</si>
  <si>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</si>
  <si>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</si>
  <si>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</si>
  <si>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</si>
  <si>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</si>
  <si>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</si>
  <si>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</si>
  <si>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</si>
  <si>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</si>
  <si>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</si>
  <si>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</si>
  <si>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</si>
  <si>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</si>
  <si>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</si>
  <si>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</si>
  <si>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</si>
  <si>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</si>
  <si>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</si>
  <si>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</si>
  <si>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</si>
  <si>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</si>
  <si>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</si>
  <si>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</si>
  <si>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</si>
  <si>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</si>
  <si>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</si>
  <si>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</si>
  <si>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</si>
  <si>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</si>
  <si>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</si>
  <si>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</si>
  <si>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</si>
  <si>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</si>
  <si>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</si>
  <si>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</si>
  <si>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</si>
  <si>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</si>
  <si>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</si>
  <si>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</si>
  <si>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</si>
  <si>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</si>
  <si>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</si>
  <si>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</si>
  <si>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</si>
  <si>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</si>
  <si>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</si>
  <si>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</si>
  <si>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</si>
  <si>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</si>
  <si>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</si>
  <si>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</si>
  <si>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</si>
  <si>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</si>
  <si>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</si>
  <si>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</si>
  <si>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</si>
  <si>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</si>
  <si>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</si>
  <si>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</si>
  <si>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</si>
  <si>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</si>
  <si>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</si>
  <si>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</si>
  <si>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</si>
  <si>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</si>
  <si>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</si>
  <si>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</si>
  <si>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</si>
  <si>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</si>
  <si>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</si>
  <si>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</si>
  <si>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</si>
  <si>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</si>
  <si>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</si>
  <si>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</si>
  <si>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</si>
  <si>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</si>
  <si>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</si>
  <si>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</si>
  <si>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</si>
  <si>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</si>
  <si>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</si>
  <si>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</si>
  <si>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</si>
  <si>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</si>
  <si>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</si>
  <si>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</si>
  <si>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</si>
  <si>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</si>
  <si>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</si>
  <si>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</si>
  <si>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</si>
  <si>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</si>
  <si>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</si>
  <si>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</si>
  <si>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</si>
  <si>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</si>
  <si>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</si>
  <si>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</si>
  <si>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</si>
  <si>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</si>
  <si>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</si>
  <si>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</si>
  <si>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</si>
  <si>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</si>
  <si>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</si>
  <si>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</si>
  <si>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</si>
  <si>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</si>
  <si>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</si>
  <si>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</si>
  <si>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</si>
  <si>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</si>
  <si>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</si>
  <si>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</si>
  <si>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</si>
  <si>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</si>
  <si>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</si>
  <si>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</si>
  <si>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</si>
  <si>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</si>
  <si>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</si>
  <si>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</si>
  <si>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</si>
  <si>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</si>
  <si>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</si>
  <si>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</si>
  <si>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</si>
  <si>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</si>
  <si>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</si>
  <si>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</si>
  <si>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</si>
  <si>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</si>
  <si>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</si>
  <si>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</si>
  <si>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</si>
  <si>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</si>
  <si>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</si>
  <si>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</si>
  <si>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</si>
  <si>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</si>
  <si>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</si>
  <si>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</si>
  <si>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</si>
  <si>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</si>
  <si>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</si>
  <si>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</si>
  <si>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</si>
  <si>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</si>
  <si>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</si>
  <si>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</si>
  <si>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</si>
  <si>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</si>
  <si>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</si>
  <si>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</si>
  <si>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</si>
  <si>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</si>
  <si>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</si>
  <si>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</si>
  <si>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</si>
  <si>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</si>
  <si>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</si>
  <si>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</si>
  <si>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</si>
  <si>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</si>
  <si>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</si>
  <si>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</si>
  <si>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</si>
  <si>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</si>
  <si>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</si>
  <si>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</si>
  <si>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</si>
  <si>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</si>
  <si>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</si>
  <si>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</si>
  <si>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</si>
  <si>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</si>
  <si>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</si>
  <si>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</si>
  <si>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</si>
  <si>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</si>
  <si>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</si>
  <si>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</si>
  <si>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</si>
  <si>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</si>
  <si>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</si>
  <si>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</si>
  <si>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</si>
  <si>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</si>
  <si>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</si>
  <si>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</si>
  <si>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</si>
  <si>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</si>
  <si>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</si>
  <si>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</si>
  <si>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</si>
  <si>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</si>
  <si>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</si>
  <si>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</si>
  <si>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</si>
  <si>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</si>
  <si>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</si>
  <si>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</si>
  <si>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</si>
  <si>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</si>
  <si>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</si>
  <si>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</si>
  <si>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</si>
  <si>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</si>
  <si>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</si>
  <si>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</si>
  <si>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</si>
  <si>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</si>
  <si>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</si>
  <si>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</si>
  <si>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</si>
  <si>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</si>
  <si>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</si>
  <si>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</si>
  <si>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</si>
  <si>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</si>
  <si>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</si>
  <si>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</si>
  <si>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</si>
  <si>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</si>
  <si>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</si>
  <si>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</si>
  <si>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</si>
  <si>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</si>
  <si>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</si>
  <si>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</si>
  <si>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</si>
  <si>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</si>
  <si>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</si>
  <si>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</si>
  <si>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</si>
  <si>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</si>
  <si>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</si>
  <si>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</si>
  <si>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</si>
  <si>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</si>
  <si>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</si>
  <si>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</si>
  <si>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</si>
  <si>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</si>
  <si>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</si>
  <si>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</si>
  <si>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</si>
  <si>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</si>
  <si>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</si>
  <si>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</si>
  <si>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</si>
  <si>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</si>
  <si>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</si>
  <si>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</si>
  <si>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</si>
  <si>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</si>
  <si>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</si>
  <si>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</si>
  <si>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</si>
  <si>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</si>
  <si>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</si>
  <si>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</si>
  <si>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</si>
  <si>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</si>
  <si>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</si>
  <si>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</si>
  <si>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</si>
  <si>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</si>
  <si>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</si>
  <si>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</si>
  <si>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</si>
  <si>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</si>
  <si>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</si>
  <si>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</si>
  <si>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</si>
  <si>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</si>
  <si>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</si>
  <si>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</si>
  <si>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</si>
  <si>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</si>
  <si>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</si>
  <si>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</si>
  <si>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</si>
  <si>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</si>
  <si>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</si>
  <si>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</si>
  <si>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</si>
  <si>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</si>
  <si>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</si>
  <si>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</si>
  <si>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</si>
  <si>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</si>
  <si>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</si>
  <si>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</si>
  <si>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</si>
  <si>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</si>
  <si>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</si>
  <si>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</si>
  <si>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</si>
  <si>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</si>
  <si>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</si>
  <si>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</si>
  <si>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</si>
  <si>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</si>
  <si>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</si>
  <si>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</si>
  <si>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</si>
  <si>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</si>
  <si>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</si>
  <si>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</si>
  <si>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</si>
  <si>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</si>
  <si>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</si>
  <si>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</si>
  <si>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</si>
  <si>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</si>
  <si>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</si>
  <si>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</si>
  <si>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</si>
  <si>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</si>
  <si>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</si>
  <si>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</si>
  <si>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</si>
  <si>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</si>
  <si>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</si>
  <si>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</si>
  <si>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</si>
  <si>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</si>
  <si>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</si>
  <si>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</si>
  <si>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</si>
  <si>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</si>
  <si>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</si>
  <si>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</si>
  <si>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</si>
  <si>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</si>
  <si>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</si>
  <si>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</si>
  <si>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</si>
  <si>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</si>
  <si>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</si>
  <si>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</si>
  <si>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</si>
  <si>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</si>
  <si>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</si>
  <si>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</si>
  <si>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</si>
  <si>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</si>
  <si>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</si>
  <si>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</si>
  <si>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</si>
  <si>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</si>
  <si>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</si>
  <si>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</si>
  <si>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</si>
  <si>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</si>
  <si>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</si>
  <si>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</si>
  <si>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</si>
  <si>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</si>
  <si>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</si>
  <si>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</si>
  <si>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</si>
  <si>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</si>
  <si>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</si>
  <si>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</si>
  <si>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</si>
  <si>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</si>
  <si>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</si>
  <si>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</si>
  <si>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</si>
  <si>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</si>
  <si>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</si>
  <si>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</si>
  <si>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</si>
  <si>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</si>
  <si>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</si>
  <si>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</si>
  <si>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</si>
  <si>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</si>
  <si>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</si>
  <si>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</si>
  <si>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</si>
  <si>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</si>
  <si>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</si>
  <si>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</si>
  <si>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</si>
  <si>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</si>
  <si>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</si>
  <si>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</si>
  <si>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</si>
  <si>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</si>
  <si>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</si>
  <si>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</si>
  <si>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</si>
  <si>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</si>
  <si>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</si>
  <si>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</si>
  <si>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</si>
  <si>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</si>
  <si>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</si>
  <si>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</si>
  <si>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</si>
  <si>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</si>
  <si>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</si>
  <si>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</si>
  <si>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</si>
  <si>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</si>
  <si>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</si>
  <si>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</si>
  <si>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</si>
  <si>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</si>
  <si>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</si>
  <si>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</si>
  <si>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</si>
  <si>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</si>
  <si>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</si>
  <si>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</si>
  <si>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</si>
  <si>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</si>
  <si>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</si>
  <si>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</si>
  <si>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</si>
  <si>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</si>
  <si>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</si>
  <si>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</si>
  <si>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</si>
  <si>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</si>
  <si>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</si>
  <si>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</si>
  <si>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</si>
  <si>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</si>
  <si>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</si>
  <si>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</si>
  <si>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</si>
  <si>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</si>
  <si>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</si>
  <si>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</si>
  <si>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</si>
  <si>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</si>
  <si>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</si>
  <si>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</si>
  <si>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</si>
  <si>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</si>
  <si>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</si>
  <si>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</si>
  <si>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</si>
  <si>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</si>
  <si>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</si>
  <si>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</si>
  <si>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</si>
  <si>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</si>
  <si>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</si>
  <si>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</si>
  <si>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</si>
  <si>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</si>
  <si>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</si>
  <si>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</si>
  <si>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</si>
  <si>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</si>
  <si>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</si>
  <si>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</si>
  <si>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</si>
  <si>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</si>
  <si>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</si>
  <si>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</si>
  <si>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</si>
  <si>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</si>
  <si>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</si>
  <si>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</si>
  <si>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</si>
  <si>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</si>
  <si>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</si>
  <si>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</si>
  <si>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</si>
  <si>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</si>
  <si>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</si>
  <si>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</si>
  <si>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</si>
  <si>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</si>
  <si>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</si>
  <si>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</si>
  <si>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</si>
  <si>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</si>
  <si>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</si>
  <si>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</si>
  <si>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</si>
  <si>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</si>
  <si>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</si>
  <si>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</si>
  <si>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</si>
  <si>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</si>
  <si>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</si>
  <si>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</si>
  <si>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</si>
  <si>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</si>
  <si>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</si>
  <si>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</si>
  <si>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</si>
  <si>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</si>
  <si>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</si>
  <si>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</si>
  <si>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</si>
  <si>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</si>
  <si>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</si>
  <si>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</si>
  <si>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</si>
  <si>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</si>
  <si>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</si>
  <si>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</si>
  <si>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</si>
  <si>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</si>
  <si>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</si>
  <si>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</si>
  <si>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</si>
  <si>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</si>
  <si>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</si>
  <si>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</si>
  <si>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</si>
  <si>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</si>
  <si>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</si>
  <si>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</si>
  <si>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</si>
  <si>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</si>
  <si>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</si>
  <si>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</si>
  <si>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</si>
  <si>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</si>
  <si>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</si>
  <si>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</si>
  <si>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</si>
  <si>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</si>
  <si>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</si>
  <si>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</si>
  <si>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</si>
  <si>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</si>
  <si>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</si>
  <si>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</si>
  <si>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</si>
  <si>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</si>
  <si>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</si>
  <si>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</si>
  <si>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</si>
  <si>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</si>
  <si>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</si>
  <si>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</si>
  <si>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</si>
  <si>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</si>
  <si>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</si>
  <si>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</si>
  <si>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</si>
  <si>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</si>
  <si>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</si>
  <si>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</si>
  <si>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</si>
  <si>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</si>
  <si>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</si>
  <si>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</si>
  <si>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</si>
  <si>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</si>
  <si>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</si>
  <si>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</si>
  <si>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</si>
  <si>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</si>
  <si>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</si>
  <si>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</si>
  <si>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</si>
  <si>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</si>
  <si>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</si>
  <si>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</si>
  <si>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</si>
  <si>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</si>
  <si>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</si>
  <si>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</si>
  <si>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</si>
  <si>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</si>
  <si>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</si>
  <si>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</si>
  <si>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</si>
  <si>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</si>
  <si>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</si>
  <si>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</si>
  <si>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</si>
  <si>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</si>
  <si>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</si>
  <si>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</si>
  <si>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</si>
  <si>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</si>
  <si>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</si>
  <si>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</si>
  <si>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</si>
  <si>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</si>
  <si>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</si>
  <si>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</si>
  <si>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</si>
  <si>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</si>
  <si>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</si>
  <si>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</si>
  <si>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</si>
  <si>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</si>
  <si>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</si>
  <si>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</si>
  <si>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</si>
  <si>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</si>
  <si>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</si>
  <si>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</si>
  <si>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</si>
  <si>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</si>
  <si>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</si>
  <si>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</si>
  <si>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</si>
  <si>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</si>
  <si>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</si>
  <si>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</si>
  <si>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</si>
  <si>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</si>
  <si>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</si>
  <si>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</si>
  <si>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</si>
  <si>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</si>
  <si>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</si>
  <si>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</si>
  <si>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</si>
  <si>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</si>
  <si>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</si>
  <si>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</si>
  <si>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</si>
  <si>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</si>
  <si>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</si>
  <si>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</si>
  <si>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</si>
  <si>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</si>
  <si>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</si>
  <si>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</si>
  <si>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</si>
  <si>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</si>
  <si>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</si>
  <si>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</si>
  <si>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</si>
  <si>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</si>
  <si>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</si>
  <si>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</si>
  <si>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</si>
  <si>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</si>
  <si>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</si>
  <si>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</si>
  <si>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</si>
  <si>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</si>
  <si>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</si>
  <si>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</si>
  <si>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</si>
  <si>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</si>
  <si>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</si>
  <si>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</si>
  <si>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</si>
  <si>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</si>
  <si>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</si>
  <si>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</si>
  <si>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</si>
  <si>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</si>
  <si>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</si>
  <si>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</si>
  <si>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</si>
  <si>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</si>
  <si>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</si>
  <si>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</si>
  <si>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</si>
  <si>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</si>
  <si>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</si>
  <si>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</si>
  <si>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</si>
  <si>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</si>
  <si>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</si>
  <si>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</si>
  <si>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</si>
  <si>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</si>
  <si>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</si>
  <si>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</si>
  <si>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</si>
  <si>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</si>
  <si>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</si>
  <si>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</si>
  <si>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</si>
  <si>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</si>
  <si>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</si>
  <si>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</si>
  <si>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</si>
  <si>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</si>
  <si>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</si>
  <si>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</si>
  <si>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</si>
  <si>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</si>
  <si>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</si>
  <si>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</si>
  <si>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</si>
  <si>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</si>
  <si>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</si>
  <si>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</si>
  <si>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</si>
  <si>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</si>
  <si>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</si>
  <si>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</si>
  <si>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</si>
  <si>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</si>
  <si>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</si>
  <si>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</si>
  <si>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</si>
  <si>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</si>
  <si>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</si>
  <si>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</si>
  <si>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</si>
  <si>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</si>
  <si>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</si>
  <si>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</si>
  <si>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</si>
  <si>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</si>
  <si>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</si>
  <si>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</si>
  <si>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</si>
  <si>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</si>
  <si>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</si>
  <si>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</si>
  <si>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</si>
  <si>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</si>
  <si>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</si>
  <si>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</si>
  <si>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</si>
  <si>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</si>
  <si>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</si>
  <si>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</si>
  <si>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</si>
  <si>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</si>
  <si>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</si>
  <si>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</si>
  <si>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</si>
  <si>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</si>
  <si>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</si>
  <si>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</si>
  <si>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</si>
  <si>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</si>
  <si>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</si>
  <si>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</si>
  <si>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</si>
  <si>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</si>
  <si>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</si>
  <si>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</si>
  <si>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</si>
  <si>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</si>
  <si>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</si>
  <si>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</si>
  <si>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</si>
  <si>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</si>
  <si>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</si>
  <si>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</si>
  <si>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</si>
  <si>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</si>
  <si>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</si>
  <si>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</si>
  <si>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</si>
  <si>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</si>
  <si>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</si>
  <si>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</si>
  <si>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</si>
  <si>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</si>
  <si>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</si>
  <si>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</si>
  <si>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</si>
  <si>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</si>
  <si>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</si>
  <si>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</si>
  <si>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</si>
  <si>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</si>
  <si>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</si>
  <si>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</si>
  <si>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</si>
  <si>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</si>
  <si>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</si>
  <si>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</si>
  <si>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</si>
  <si>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</si>
  <si>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</si>
  <si>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</si>
  <si>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</si>
  <si>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</si>
  <si>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</si>
  <si>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</si>
  <si>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</si>
  <si>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</si>
  <si>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</si>
  <si>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</si>
  <si>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</si>
  <si>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</si>
  <si>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</si>
  <si>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</si>
  <si>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</si>
  <si>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</si>
  <si>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</si>
  <si>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</si>
  <si>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</si>
  <si>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</si>
  <si>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</si>
  <si>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</si>
  <si>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</si>
  <si>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</si>
  <si>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</si>
  <si>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</si>
  <si>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</si>
  <si>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</si>
  <si>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</si>
  <si>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</si>
  <si>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</si>
  <si>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</si>
  <si>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</si>
  <si>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</si>
  <si>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</si>
  <si>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</si>
  <si>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</si>
  <si>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</si>
  <si>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</si>
  <si>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</si>
  <si>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</si>
  <si>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</si>
  <si>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</si>
  <si>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</si>
  <si>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</si>
  <si>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</si>
  <si>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</si>
  <si>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</si>
  <si>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</si>
  <si>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</si>
  <si>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</si>
  <si>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</si>
  <si>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</si>
  <si>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</si>
  <si>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</si>
  <si>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</si>
  <si>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</si>
  <si>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</si>
  <si>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</si>
  <si>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</si>
  <si>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</si>
  <si>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</si>
  <si>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</si>
  <si>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</si>
  <si>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</si>
  <si>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</si>
  <si>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</si>
  <si>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</si>
  <si>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</si>
  <si>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</si>
  <si>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</si>
  <si>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</si>
  <si>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</si>
  <si>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</si>
  <si>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</si>
  <si>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</si>
  <si>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</si>
  <si>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</si>
  <si>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</si>
  <si>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</si>
  <si>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</si>
  <si>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</si>
  <si>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</si>
  <si>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</si>
  <si>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</si>
  <si>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</si>
  <si>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</si>
  <si>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</si>
  <si>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</si>
  <si>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</si>
  <si>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</si>
  <si>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</si>
  <si>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</si>
  <si>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</si>
  <si>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</si>
  <si>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</si>
  <si>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</si>
  <si>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</si>
  <si>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</si>
  <si>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</si>
  <si>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</si>
  <si>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</si>
  <si>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</si>
  <si>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</si>
  <si>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</si>
  <si>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</si>
  <si>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</si>
  <si>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</si>
  <si>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</si>
  <si>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</si>
  <si>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</si>
  <si>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</si>
  <si>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</si>
  <si>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</si>
  <si>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</si>
  <si>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</si>
  <si>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</si>
  <si>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</si>
  <si>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</si>
  <si>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</si>
  <si>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</si>
  <si>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</si>
  <si>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</si>
  <si>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</si>
  <si>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</si>
  <si>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</si>
  <si>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</si>
  <si>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</si>
  <si>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</si>
  <si>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</si>
  <si>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</si>
  <si>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</si>
  <si>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</si>
  <si>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</si>
  <si>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</si>
  <si>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</si>
  <si>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</si>
  <si>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</si>
  <si>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</si>
  <si>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</si>
  <si>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</si>
  <si>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</si>
  <si>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</si>
  <si>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</si>
  <si>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</si>
  <si>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</si>
  <si>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</si>
  <si>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</si>
  <si>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</si>
  <si>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</si>
  <si>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</si>
  <si>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</si>
  <si>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</si>
  <si>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</si>
  <si>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</si>
  <si>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</si>
  <si>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</si>
  <si>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</si>
  <si>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</si>
  <si>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</si>
  <si>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</si>
  <si>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</si>
  <si>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</si>
  <si>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</si>
  <si>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</si>
  <si>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</si>
  <si>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</si>
  <si>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</si>
  <si>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</si>
  <si>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</si>
  <si>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</si>
  <si>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</si>
  <si>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</si>
  <si>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</si>
  <si>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</si>
  <si>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</si>
  <si>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</si>
  <si>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</si>
  <si>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</si>
  <si>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</si>
  <si>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</si>
  <si>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</si>
  <si>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</si>
  <si>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</si>
  <si>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</si>
  <si>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</si>
  <si>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</si>
  <si>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</si>
  <si>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</si>
  <si>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</si>
  <si>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</si>
  <si>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</si>
  <si>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</si>
  <si>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</si>
  <si>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</si>
  <si>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</si>
  <si>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</si>
  <si>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</si>
  <si>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</si>
  <si>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</si>
  <si>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</si>
  <si>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</si>
  <si>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</si>
  <si>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</si>
  <si>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</si>
  <si>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</si>
  <si>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</si>
  <si>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</si>
  <si>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</si>
  <si>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</si>
  <si>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</si>
  <si>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</si>
  <si>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</si>
  <si>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</si>
  <si>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</si>
  <si>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</si>
  <si>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</si>
  <si>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</si>
  <si>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</si>
  <si>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</si>
  <si>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</si>
  <si>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</si>
  <si>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</si>
  <si>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</si>
  <si>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</si>
  <si>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</si>
  <si>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</si>
  <si>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</si>
  <si>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</si>
  <si>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</si>
  <si>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</si>
  <si>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</si>
  <si>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</si>
  <si>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</si>
  <si>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</si>
  <si>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</si>
  <si>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</si>
  <si>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</si>
  <si>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</si>
  <si>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</si>
  <si>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</si>
  <si>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</si>
  <si>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</si>
  <si>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</si>
  <si>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</si>
  <si>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</si>
  <si>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</si>
  <si>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</si>
  <si>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</si>
  <si>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</si>
  <si>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</si>
  <si>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</si>
  <si>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</si>
  <si>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</si>
  <si>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</si>
  <si>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</si>
  <si>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</si>
  <si>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</si>
  <si>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</si>
  <si>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</si>
  <si>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</si>
  <si>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</si>
  <si>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</si>
  <si>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</si>
  <si>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</si>
  <si>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</si>
  <si>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</si>
  <si>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</si>
  <si>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</si>
  <si>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</si>
  <si>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</si>
  <si>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</si>
  <si>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</si>
  <si>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</si>
  <si>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</si>
  <si>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</si>
  <si>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</si>
  <si>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</si>
  <si>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</si>
  <si>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</si>
  <si>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</si>
  <si>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</si>
  <si>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</si>
  <si>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</si>
  <si>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</si>
  <si>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</si>
  <si>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</si>
  <si>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</si>
  <si>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</si>
  <si>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</si>
  <si>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</si>
  <si>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</si>
  <si>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</si>
  <si>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</si>
  <si>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</si>
  <si>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</si>
  <si>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</si>
  <si>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</si>
  <si>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</si>
  <si>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</si>
  <si>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</si>
  <si>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</si>
  <si>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</si>
  <si>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</si>
  <si>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</si>
  <si>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</si>
  <si>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</si>
  <si>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</si>
  <si>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</si>
  <si>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</si>
  <si>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</si>
  <si>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</si>
  <si>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</si>
  <si>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</si>
  <si>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</si>
  <si>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</si>
  <si>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</si>
  <si>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</si>
  <si>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</si>
  <si>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</si>
  <si>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</si>
  <si>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</si>
  <si>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</si>
  <si>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</si>
  <si>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</si>
  <si>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</si>
  <si>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</si>
  <si>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</si>
  <si>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</si>
  <si>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</si>
  <si>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</si>
  <si>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</si>
  <si>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</si>
  <si>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</si>
  <si>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</si>
  <si>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</si>
  <si>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</si>
  <si>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</si>
  <si>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</si>
  <si>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</si>
  <si>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</si>
  <si>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</si>
  <si>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</si>
  <si>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</si>
  <si>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</si>
  <si>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</si>
  <si>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</si>
  <si>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</si>
  <si>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</si>
  <si>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</si>
  <si>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</si>
  <si>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</si>
  <si>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</si>
  <si>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</si>
  <si>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</si>
  <si>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</si>
  <si>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</si>
  <si>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</si>
  <si>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</si>
  <si>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</si>
  <si>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</si>
  <si>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</si>
  <si>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</si>
  <si>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</si>
  <si>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</si>
  <si>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</si>
  <si>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</si>
  <si>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</si>
  <si>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</si>
  <si>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</si>
  <si>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</si>
  <si>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</si>
  <si>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</si>
  <si>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</si>
  <si>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</si>
  <si>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</si>
  <si>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</si>
  <si>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</si>
  <si>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</si>
  <si>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</si>
  <si>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</si>
  <si>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</si>
  <si>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</si>
  <si>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</si>
  <si>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</si>
  <si>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</si>
  <si>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</si>
  <si>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</si>
  <si>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</si>
  <si>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</si>
  <si>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</si>
  <si>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</si>
  <si>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</si>
  <si>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</si>
  <si>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</si>
  <si>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</si>
  <si>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</si>
  <si>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</si>
  <si>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</si>
  <si>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</si>
  <si>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</si>
  <si>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</si>
  <si>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</si>
  <si>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</si>
  <si>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</si>
  <si>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</si>
  <si>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</si>
  <si>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</si>
  <si>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</si>
  <si>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</si>
  <si>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</si>
  <si>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</si>
  <si>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</si>
  <si>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</si>
  <si>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</si>
  <si>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</si>
  <si>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</si>
  <si>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</si>
  <si>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</si>
  <si>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</si>
  <si>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</si>
  <si>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</si>
  <si>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</si>
  <si>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</si>
  <si>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</si>
  <si>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</si>
  <si>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</si>
  <si>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</si>
  <si>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</si>
  <si>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</si>
  <si>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</si>
  <si>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</si>
  <si>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</si>
  <si>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</si>
  <si>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</si>
  <si>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</si>
  <si>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</si>
  <si>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</si>
  <si>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</si>
  <si>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</si>
  <si>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</si>
  <si>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</si>
  <si>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</si>
  <si>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</si>
  <si>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</si>
  <si>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</si>
  <si>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</si>
  <si>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</si>
  <si>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</si>
  <si>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</si>
  <si>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</si>
  <si>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</si>
  <si>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</si>
  <si>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</si>
  <si>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</si>
  <si>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</si>
  <si>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</si>
  <si>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</si>
  <si>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</si>
  <si>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</si>
  <si>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</si>
  <si>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</si>
  <si>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</si>
  <si>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</si>
  <si>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</si>
  <si>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</si>
  <si>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</si>
  <si>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</si>
  <si>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</si>
  <si>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</si>
  <si>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</si>
  <si>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</si>
  <si>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</si>
  <si>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</si>
  <si>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</si>
  <si>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</si>
  <si>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</si>
  <si>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</si>
  <si>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</si>
  <si>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</si>
  <si>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</si>
  <si>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</si>
  <si>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</si>
  <si>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</si>
  <si>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</si>
  <si>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</si>
  <si>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</si>
  <si>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</si>
  <si>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</si>
  <si>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</si>
  <si>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</si>
  <si>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</si>
  <si>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</si>
  <si>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</si>
  <si>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</si>
  <si>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</si>
  <si>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</si>
  <si>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</si>
  <si>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</si>
  <si>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</si>
  <si>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</si>
  <si>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</si>
  <si>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</si>
  <si>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</si>
  <si>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</si>
  <si>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</si>
  <si>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</si>
  <si>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</si>
  <si>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</si>
  <si>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</si>
  <si>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</si>
  <si>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</si>
  <si>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</si>
  <si>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</si>
  <si>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</si>
  <si>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</si>
  <si>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</si>
  <si>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</si>
  <si>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</si>
  <si>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</si>
  <si>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</si>
  <si>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</si>
  <si>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</si>
  <si>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</si>
  <si>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</si>
  <si>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</si>
  <si>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</si>
  <si>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</si>
  <si>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</si>
  <si>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</si>
  <si>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</si>
  <si>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</si>
  <si>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</si>
  <si>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</si>
  <si>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</si>
  <si>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</si>
  <si>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</si>
  <si>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</si>
  <si>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</si>
  <si>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</si>
  <si>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</si>
  <si>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</si>
  <si>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</si>
  <si>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</si>
  <si>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</si>
  <si>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</si>
  <si>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</si>
  <si>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</si>
  <si>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</si>
  <si>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</si>
  <si>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</si>
  <si>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</si>
  <si>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</si>
  <si>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</si>
  <si>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</si>
  <si>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</si>
  <si>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</si>
  <si>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</si>
  <si>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</si>
  <si>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</si>
  <si>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</si>
  <si>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</si>
  <si>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</si>
  <si>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</si>
  <si>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</si>
  <si>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</si>
  <si>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</si>
  <si>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</si>
  <si>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</si>
  <si>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</si>
  <si>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</si>
  <si>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</si>
  <si>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</si>
  <si>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</si>
  <si>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</si>
  <si>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</si>
  <si>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</si>
  <si>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</si>
  <si>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</si>
  <si>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</si>
  <si>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</si>
  <si>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</si>
  <si>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</si>
  <si>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</si>
  <si>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</si>
  <si>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</si>
  <si>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</si>
  <si>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</si>
  <si>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</si>
  <si>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</si>
  <si>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</si>
  <si>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</si>
  <si>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</si>
  <si>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</si>
  <si>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</si>
  <si>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</si>
  <si>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</si>
  <si>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</si>
  <si>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</si>
  <si>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</si>
  <si>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</si>
  <si>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</si>
  <si>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</si>
  <si>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</si>
  <si>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</si>
  <si>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</si>
  <si>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</si>
  <si>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</si>
  <si>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</si>
  <si>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</si>
  <si>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</si>
  <si>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</si>
  <si>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</si>
  <si>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</si>
  <si>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</si>
  <si>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</si>
  <si>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</si>
  <si>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</si>
  <si>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</si>
  <si>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</si>
  <si>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</si>
  <si>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</si>
  <si>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</si>
  <si>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</si>
  <si>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</si>
  <si>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</si>
  <si>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</si>
  <si>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</si>
  <si>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</si>
  <si>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</si>
  <si>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</si>
  <si>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</si>
  <si>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</si>
  <si>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</si>
  <si>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</si>
  <si>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</si>
  <si>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</si>
  <si>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</si>
  <si>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</si>
  <si>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</si>
  <si>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</si>
  <si>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</si>
  <si>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</si>
  <si>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</si>
  <si>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</si>
  <si>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</si>
  <si>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</si>
  <si>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</si>
  <si>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</si>
  <si>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</si>
  <si>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</si>
  <si>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</si>
  <si>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</si>
  <si>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</si>
  <si>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</si>
  <si>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</si>
  <si>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</si>
  <si>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</si>
  <si>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</si>
  <si>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</si>
  <si>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</si>
  <si>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</si>
  <si>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</si>
  <si>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</si>
  <si>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</si>
  <si>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</si>
  <si>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</si>
  <si>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</si>
  <si>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</si>
  <si>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</si>
  <si>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</si>
  <si>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</si>
  <si>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</si>
  <si>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</si>
  <si>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</si>
  <si>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</si>
  <si>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</si>
  <si>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</si>
  <si>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</si>
  <si>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</si>
  <si>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</si>
  <si>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</si>
  <si>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</si>
  <si>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</si>
  <si>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</si>
  <si>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</si>
  <si>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</si>
  <si>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</si>
  <si>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</si>
  <si>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</si>
  <si>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</si>
  <si>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</si>
  <si>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</si>
  <si>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</si>
  <si>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</si>
  <si>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</si>
  <si>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</si>
  <si>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</si>
  <si>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</si>
  <si>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</si>
  <si>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</si>
  <si>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</si>
  <si>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</si>
  <si>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</si>
  <si>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</si>
  <si>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</si>
  <si>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</si>
  <si>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</si>
  <si>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</si>
  <si>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</si>
  <si>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</si>
  <si>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</si>
  <si>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</si>
  <si>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</si>
  <si>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</si>
  <si>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</si>
  <si>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</si>
  <si>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</si>
  <si>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</si>
  <si>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</si>
  <si>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</si>
  <si>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</si>
  <si>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</si>
  <si>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</si>
  <si>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</si>
  <si>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</si>
  <si>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</si>
  <si>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</si>
  <si>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</si>
  <si>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</si>
  <si>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</si>
  <si>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</si>
  <si>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</si>
  <si>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</si>
  <si>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</si>
  <si>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</si>
  <si>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</si>
  <si>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</si>
  <si>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</si>
  <si>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</si>
  <si>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</si>
  <si>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</si>
  <si>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</si>
  <si>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</si>
  <si>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</si>
  <si>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</si>
  <si>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</si>
  <si>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</si>
  <si>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</si>
  <si>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</si>
  <si>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</si>
  <si>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</si>
  <si>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</si>
  <si>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</si>
  <si>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</si>
  <si>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</si>
  <si>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</si>
  <si>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</si>
  <si>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</si>
  <si>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</si>
  <si>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</si>
  <si>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</si>
  <si>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</si>
  <si>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</si>
  <si>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</si>
  <si>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</si>
  <si>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</si>
  <si>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</si>
  <si>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</si>
  <si>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</si>
  <si>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</si>
  <si>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</si>
  <si>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</si>
  <si>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</si>
  <si>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</si>
  <si>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</si>
  <si>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</si>
  <si>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</si>
  <si>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</si>
  <si>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</si>
  <si>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</si>
  <si>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</si>
  <si>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</si>
  <si>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</si>
  <si>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</si>
  <si>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</si>
  <si>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</si>
  <si>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</si>
  <si>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</si>
  <si>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</si>
  <si>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</si>
  <si>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</si>
  <si>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</si>
  <si>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</si>
  <si>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</si>
  <si>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</si>
  <si>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</si>
  <si>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</si>
  <si>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</si>
  <si>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</si>
  <si>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</si>
  <si>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</si>
  <si>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</si>
  <si>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</si>
  <si>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</si>
  <si>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</si>
  <si>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</si>
  <si>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</si>
  <si>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</si>
  <si>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</si>
  <si>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</si>
  <si>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</si>
  <si>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</si>
  <si>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</si>
  <si>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</si>
  <si>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</si>
  <si>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</si>
  <si>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</si>
  <si>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</si>
  <si>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</si>
  <si>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</si>
  <si>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</si>
  <si>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</si>
  <si>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</si>
  <si>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</si>
  <si>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</si>
  <si>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</si>
  <si>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</si>
  <si>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</si>
  <si>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</si>
  <si>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</si>
  <si>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</si>
  <si>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</si>
  <si>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</si>
  <si>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</si>
  <si>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</si>
  <si>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</si>
  <si>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</si>
  <si>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</si>
  <si>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</si>
  <si>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</si>
  <si>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</si>
  <si>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</si>
  <si>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</si>
  <si>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</si>
  <si>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</si>
  <si>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</si>
  <si>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</si>
  <si>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</si>
  <si>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</si>
  <si>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</si>
  <si>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</si>
  <si>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</si>
  <si>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</si>
  <si>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</si>
  <si>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</si>
  <si>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</si>
  <si>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</si>
  <si>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</si>
  <si>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</si>
  <si>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</si>
  <si>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</si>
  <si>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</si>
  <si>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</si>
  <si>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</si>
  <si>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</si>
  <si>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</si>
  <si>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</si>
  <si>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</si>
  <si>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</si>
  <si>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</si>
  <si>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</si>
  <si>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</si>
  <si>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</si>
  <si>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</si>
  <si>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</si>
  <si>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</si>
  <si>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</si>
  <si>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</si>
  <si>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</si>
  <si>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</si>
  <si>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</si>
  <si>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</si>
  <si>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</si>
  <si>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</si>
  <si>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</si>
  <si>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</si>
  <si>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</si>
  <si>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</si>
  <si>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</si>
  <si>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</si>
  <si>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</si>
  <si>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</si>
  <si>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</si>
  <si>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</si>
  <si>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</si>
  <si>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</si>
  <si>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</si>
  <si>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</si>
  <si>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</si>
  <si>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</si>
  <si>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</si>
  <si>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</si>
  <si>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</si>
  <si>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</si>
  <si>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</si>
  <si>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</si>
  <si>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</si>
  <si>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</si>
  <si>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</si>
  <si>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</si>
  <si>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</si>
  <si>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</si>
  <si>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</si>
  <si>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</si>
  <si>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</si>
  <si>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</si>
  <si>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</si>
  <si>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</si>
  <si>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</si>
  <si>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</si>
  <si>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</si>
  <si>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</si>
  <si>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</si>
  <si>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</si>
  <si>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</si>
  <si>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</si>
  <si>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</si>
  <si>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</si>
  <si>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</si>
  <si>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</si>
  <si>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</si>
  <si>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</si>
  <si>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</si>
  <si>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</si>
  <si>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</si>
  <si>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</si>
  <si>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</si>
  <si>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</si>
  <si>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</si>
  <si>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</si>
  <si>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</si>
  <si>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</si>
  <si>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</si>
  <si>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</si>
  <si>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</si>
  <si>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</si>
  <si>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</si>
  <si>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</si>
  <si>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</si>
  <si>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</si>
  <si>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</si>
  <si>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</si>
  <si>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</si>
  <si>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</si>
  <si>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</si>
  <si>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</si>
  <si>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</si>
  <si>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</si>
  <si>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</si>
  <si>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</si>
  <si>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</si>
  <si>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</si>
  <si>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</si>
  <si>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</si>
  <si>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</si>
  <si>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</si>
  <si>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</si>
  <si>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</si>
  <si>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</si>
  <si>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</si>
  <si>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</si>
  <si>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</si>
  <si>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</si>
  <si>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</si>
  <si>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</si>
  <si>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</si>
  <si>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</si>
  <si>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</si>
  <si>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</si>
  <si>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</si>
  <si>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</si>
  <si>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</si>
  <si>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</si>
  <si>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</si>
  <si>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</si>
  <si>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</si>
  <si>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</si>
  <si>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</si>
  <si>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</si>
  <si>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</si>
  <si>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</si>
  <si>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</si>
  <si>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</si>
  <si>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</si>
  <si>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</si>
  <si>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</si>
  <si>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</si>
  <si>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</si>
  <si>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</si>
  <si>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</si>
  <si>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</si>
  <si>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</si>
  <si>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</si>
  <si>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</si>
  <si>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</si>
  <si>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</si>
  <si>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</si>
  <si>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</si>
  <si>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</si>
  <si>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</si>
  <si>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</si>
  <si>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</si>
  <si>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</si>
  <si>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</si>
  <si>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</si>
  <si>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</si>
  <si>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</si>
  <si>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</si>
  <si>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</si>
  <si>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</si>
  <si>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</si>
  <si>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</si>
  <si>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</si>
  <si>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</si>
  <si>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</si>
  <si>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</si>
  <si>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</si>
  <si>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</si>
  <si>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</si>
  <si>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</si>
  <si>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</si>
  <si>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</si>
  <si>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</si>
  <si>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</si>
  <si>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</si>
  <si>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</si>
  <si>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</si>
  <si>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</si>
  <si>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</si>
  <si>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</si>
  <si>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</si>
  <si>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</si>
  <si>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</si>
  <si>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</si>
  <si>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</si>
  <si>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</si>
  <si>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</si>
  <si>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</si>
  <si>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</si>
  <si>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</si>
  <si>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</si>
  <si>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</si>
  <si>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</si>
  <si>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</si>
  <si>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</si>
  <si>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</si>
  <si>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</si>
  <si>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</si>
  <si>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</si>
  <si>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</si>
  <si>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</si>
  <si>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</si>
  <si>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</si>
  <si>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</si>
  <si>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</si>
  <si>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</si>
  <si>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</si>
  <si>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</si>
  <si>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</si>
  <si>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</si>
  <si>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</si>
  <si>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</si>
  <si>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</si>
  <si>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</si>
  <si>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</si>
  <si>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</si>
  <si>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</si>
  <si>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</si>
  <si>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</si>
  <si>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</si>
  <si>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</si>
  <si>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</si>
  <si>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</si>
  <si>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</si>
  <si>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</si>
  <si>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</si>
  <si>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</si>
  <si>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</si>
  <si>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</si>
  <si>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</si>
  <si>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</si>
  <si>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</si>
  <si>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</si>
  <si>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</si>
  <si>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</si>
  <si>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</si>
  <si>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</si>
  <si>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</si>
  <si>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</si>
  <si>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</si>
  <si>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</si>
  <si>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</si>
  <si>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</si>
  <si>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</si>
  <si>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</si>
  <si>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</si>
  <si>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</si>
  <si>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</si>
  <si>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</si>
  <si>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</si>
  <si>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</si>
  <si>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</si>
  <si>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</si>
  <si>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</si>
  <si>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</si>
  <si>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</si>
  <si>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</si>
  <si>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</si>
  <si>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</si>
  <si>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</si>
  <si>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</si>
  <si>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</si>
  <si>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</si>
  <si>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</si>
  <si>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</si>
  <si>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</si>
  <si>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</si>
  <si>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</si>
  <si>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</si>
  <si>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</si>
  <si>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</si>
  <si>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</si>
  <si>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</si>
  <si>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</si>
  <si>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</si>
  <si>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</si>
  <si>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</si>
  <si>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</si>
  <si>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</si>
  <si>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</si>
  <si>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</si>
  <si>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</si>
  <si>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</si>
  <si>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</si>
  <si>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</si>
  <si>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</si>
  <si>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</si>
  <si>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</si>
  <si>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</si>
  <si>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</si>
  <si>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</si>
  <si>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</si>
  <si>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</si>
  <si>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</si>
  <si>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</si>
  <si>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</si>
  <si>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</si>
  <si>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</si>
  <si>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</si>
  <si>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</si>
  <si>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</si>
  <si>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</si>
  <si>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</si>
  <si>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</si>
  <si>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</si>
  <si>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</si>
  <si>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</si>
  <si>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</si>
  <si>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</si>
  <si>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</si>
  <si>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</si>
  <si>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</si>
  <si>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</si>
  <si>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</si>
  <si>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</si>
  <si>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</si>
  <si>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</si>
  <si>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</si>
  <si>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</si>
  <si>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</si>
  <si>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</si>
  <si>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</si>
  <si>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</si>
  <si>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</si>
  <si>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</si>
  <si>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</si>
  <si>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</si>
  <si>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</si>
  <si>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</si>
  <si>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</si>
  <si>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</si>
  <si>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</si>
  <si>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</si>
  <si>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</si>
  <si>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</si>
  <si>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</si>
  <si>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</si>
  <si>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</si>
  <si>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</si>
  <si>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</si>
  <si>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</si>
  <si>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</si>
  <si>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</si>
  <si>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</si>
  <si>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</si>
  <si>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</si>
  <si>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</si>
  <si>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</si>
  <si>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</si>
  <si>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</si>
  <si>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</si>
  <si>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</si>
  <si>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</si>
  <si>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</si>
  <si>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</si>
  <si>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</si>
  <si>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</si>
  <si>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</si>
  <si>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</si>
  <si>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</si>
  <si>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</si>
  <si>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</si>
  <si>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</si>
  <si>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</si>
  <si>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</si>
  <si>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</si>
  <si>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</si>
  <si>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</si>
  <si>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</si>
  <si>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</si>
  <si>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</si>
  <si>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</si>
  <si>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</si>
  <si>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</si>
  <si>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</si>
  <si>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</si>
  <si>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</si>
  <si>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</si>
  <si>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</si>
  <si>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</si>
  <si>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</si>
  <si>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</si>
  <si>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</si>
  <si>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</si>
  <si>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</si>
  <si>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</si>
  <si>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</si>
  <si>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</si>
  <si>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</si>
  <si>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</si>
  <si>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</si>
  <si>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</si>
  <si>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</si>
  <si>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</si>
  <si>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</si>
  <si>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</si>
  <si>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</si>
  <si>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</si>
  <si>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</si>
  <si>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</si>
  <si>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</si>
  <si>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</si>
  <si>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</si>
  <si>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</si>
  <si>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</si>
  <si>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</si>
  <si>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</si>
  <si>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</si>
  <si>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</si>
  <si>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</si>
  <si>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</si>
  <si>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</si>
  <si>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</si>
  <si>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</si>
  <si>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</si>
  <si>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</si>
  <si>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</si>
  <si>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</si>
  <si>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</si>
  <si>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</si>
  <si>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</si>
  <si>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</si>
  <si>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</si>
  <si>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</si>
  <si>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</si>
  <si>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</si>
  <si>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</si>
  <si>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</si>
  <si>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</si>
  <si>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</si>
  <si>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</si>
  <si>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</si>
  <si>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</si>
  <si>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</si>
  <si>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</si>
  <si>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</si>
  <si>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</si>
  <si>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</si>
  <si>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</si>
  <si>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</si>
  <si>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</si>
  <si>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</si>
  <si>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</si>
  <si>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</si>
  <si>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</si>
  <si>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</si>
  <si>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</si>
  <si>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</si>
  <si>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</si>
  <si>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</si>
  <si>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</si>
  <si>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</si>
  <si>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</si>
  <si>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</si>
  <si>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</si>
  <si>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</si>
  <si>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</si>
  <si>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</si>
  <si>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</si>
  <si>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</si>
  <si>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</si>
  <si>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</si>
  <si>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</si>
  <si>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</si>
  <si>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</si>
  <si>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</si>
  <si>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</si>
  <si>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</si>
  <si>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</si>
  <si>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</si>
  <si>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</si>
  <si>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</si>
  <si>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</si>
  <si>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</si>
  <si>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</si>
  <si>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</si>
  <si>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</si>
  <si>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</si>
  <si>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</si>
  <si>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</si>
  <si>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</si>
  <si>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</si>
  <si>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</si>
  <si>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</si>
  <si>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</si>
  <si>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</si>
  <si>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</si>
  <si>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</si>
  <si>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</si>
  <si>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</si>
  <si>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</si>
  <si>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</si>
  <si>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</si>
  <si>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</si>
  <si>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</si>
  <si>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</si>
  <si>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</si>
  <si>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</si>
  <si>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</si>
  <si>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</si>
  <si>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</si>
  <si>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</si>
  <si>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</si>
  <si>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</si>
  <si>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</si>
  <si>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</si>
  <si>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</si>
  <si>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</si>
  <si>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</si>
  <si>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</si>
  <si>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</si>
  <si>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</si>
  <si>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</si>
  <si>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</si>
  <si>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</si>
  <si>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</si>
  <si>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</si>
  <si>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</si>
  <si>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</si>
  <si>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</si>
  <si>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</si>
  <si>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</si>
  <si>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</si>
  <si>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</si>
  <si>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</si>
  <si>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</si>
  <si>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</si>
  <si>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</si>
  <si>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</si>
  <si>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</si>
  <si>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</si>
  <si>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</si>
  <si>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</si>
  <si>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</si>
  <si>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</si>
  <si>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</si>
  <si>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</si>
  <si>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</si>
  <si>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</si>
  <si>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</si>
  <si>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</si>
  <si>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</si>
  <si>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</si>
  <si>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</si>
  <si>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</si>
  <si>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</si>
  <si>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</si>
  <si>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</si>
  <si>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</si>
  <si>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</si>
  <si>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</si>
  <si>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</si>
  <si>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</si>
  <si>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</si>
  <si>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</si>
  <si>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</si>
  <si>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</si>
  <si>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</si>
  <si>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</si>
  <si>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</si>
  <si>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</si>
  <si>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</si>
  <si>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</si>
  <si>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</si>
  <si>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</si>
  <si>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</si>
  <si>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</si>
  <si>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</si>
  <si>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</si>
  <si>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</si>
  <si>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</si>
  <si>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</si>
  <si>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</si>
  <si>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</si>
  <si>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</si>
  <si>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</si>
  <si>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</si>
  <si>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</si>
  <si>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</si>
  <si>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</si>
  <si>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</si>
  <si>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</si>
  <si>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</si>
  <si>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</si>
  <si>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</si>
  <si>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</si>
  <si>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</si>
  <si>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</si>
  <si>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</si>
  <si>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</si>
  <si>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</si>
  <si>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</si>
  <si>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</si>
  <si>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</si>
  <si>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</si>
  <si>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</si>
  <si>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</si>
  <si>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</si>
  <si>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</si>
  <si>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</si>
  <si>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</si>
  <si>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</si>
  <si>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</si>
  <si>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</si>
  <si>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</si>
  <si>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</si>
  <si>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</si>
  <si>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</si>
  <si>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</si>
  <si>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</si>
  <si>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</si>
  <si>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</si>
  <si>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</si>
  <si>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</si>
  <si>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</si>
  <si>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</si>
  <si>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</si>
  <si>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</si>
  <si>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</si>
  <si>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</si>
  <si>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</si>
  <si>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</si>
  <si>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</si>
  <si>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</si>
  <si>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</si>
  <si>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</si>
  <si>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</si>
  <si>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</si>
  <si>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</si>
  <si>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</si>
  <si>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</si>
  <si>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</si>
  <si>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</si>
  <si>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</si>
  <si>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</si>
  <si>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</si>
  <si>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</si>
  <si>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</si>
  <si>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</si>
  <si>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</si>
  <si>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</si>
  <si>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</si>
  <si>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</si>
  <si>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</si>
  <si>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</si>
  <si>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</si>
  <si>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</si>
  <si>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</si>
  <si>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</si>
  <si>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</si>
  <si>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</si>
  <si>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</si>
  <si>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</si>
  <si>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</si>
  <si>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</si>
  <si>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</si>
  <si>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</si>
  <si>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</si>
  <si>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</si>
  <si>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</si>
  <si>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</si>
  <si>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</si>
  <si>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</si>
  <si>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</si>
  <si>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</si>
  <si>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</si>
  <si>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</si>
  <si>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</si>
  <si>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</si>
  <si>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</si>
  <si>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</si>
  <si>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</si>
  <si>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</si>
  <si>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</si>
  <si>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</si>
  <si>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</si>
  <si>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</si>
  <si>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</si>
  <si>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</si>
  <si>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</si>
  <si>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</si>
  <si>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</si>
  <si>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</si>
  <si>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</si>
  <si>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</si>
  <si>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</si>
  <si>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</si>
  <si>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</si>
  <si>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</si>
  <si>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</si>
  <si>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</si>
  <si>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</si>
  <si>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</si>
  <si>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</si>
  <si>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</si>
  <si>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</si>
  <si>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</si>
  <si>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</si>
  <si>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</si>
  <si>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</si>
  <si>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</si>
  <si>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</si>
  <si>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</si>
  <si>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</si>
  <si>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</si>
  <si>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</si>
  <si>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</si>
  <si>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</si>
  <si>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</si>
  <si>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</si>
  <si>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</si>
  <si>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</si>
  <si>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</si>
  <si>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</si>
  <si>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</si>
  <si>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</si>
  <si>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</si>
  <si>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</si>
  <si>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</si>
  <si>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</si>
  <si>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</si>
  <si>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</si>
  <si>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</si>
  <si>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</si>
  <si>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</si>
  <si>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</si>
  <si>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</si>
  <si>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</si>
  <si>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</si>
  <si>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</si>
  <si>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</si>
  <si>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</si>
  <si>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</si>
  <si>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</si>
  <si>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</si>
  <si>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</si>
  <si>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</si>
  <si>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</si>
  <si>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</si>
  <si>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</si>
  <si>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</si>
  <si>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</si>
  <si>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郑燚</t>
  </si>
  <si>
    <t>抵押</t>
  </si>
  <si>
    <t>房地产抵押价值</t>
  </si>
  <si>
    <t>北京市</t>
  </si>
  <si>
    <t>企业</t>
  </si>
  <si>
    <t>出让</t>
  </si>
  <si>
    <t>办公</t>
    <phoneticPr fontId="6" type="noConversion"/>
  </si>
  <si>
    <t>否</t>
  </si>
  <si>
    <t>商业项目</t>
  </si>
  <si>
    <t>无</t>
  </si>
  <si>
    <t>现房</t>
  </si>
  <si>
    <t>通路</t>
  </si>
  <si>
    <t>通电</t>
  </si>
  <si>
    <t>通讯</t>
  </si>
  <si>
    <t>通上水</t>
  </si>
  <si>
    <t>通下水</t>
  </si>
  <si>
    <t>土地面积</t>
    <phoneticPr fontId="3" type="noConversion"/>
  </si>
  <si>
    <t>规划建筑面积</t>
    <phoneticPr fontId="3" type="noConversion"/>
  </si>
  <si>
    <t>地上</t>
  </si>
  <si>
    <t>是</t>
  </si>
  <si>
    <r>
      <t>B</t>
    </r>
    <r>
      <rPr>
        <sz val="11"/>
        <color theme="1"/>
        <rFont val="宋体"/>
        <family val="3"/>
        <charset val="134"/>
        <scheme val="minor"/>
      </rPr>
      <t>5-1办公楼</t>
    </r>
    <phoneticPr fontId="140" type="noConversion"/>
  </si>
  <si>
    <r>
      <t>1</t>
    </r>
    <r>
      <rPr>
        <sz val="11"/>
        <color theme="1"/>
        <rFont val="宋体"/>
        <family val="3"/>
        <charset val="134"/>
        <scheme val="minor"/>
      </rPr>
      <t>6号楼</t>
    </r>
    <phoneticPr fontId="140" type="noConversion"/>
  </si>
  <si>
    <t>楼号</t>
    <phoneticPr fontId="140" type="noConversion"/>
  </si>
  <si>
    <t>序号</t>
    <phoneticPr fontId="140" type="noConversion"/>
  </si>
  <si>
    <t>建筑总面积</t>
    <phoneticPr fontId="140" type="noConversion"/>
  </si>
  <si>
    <t>地上面积</t>
    <phoneticPr fontId="140" type="noConversion"/>
  </si>
  <si>
    <t>屋面附属用房面积</t>
    <phoneticPr fontId="140" type="noConversion"/>
  </si>
  <si>
    <r>
      <t>17号楼</t>
    </r>
    <r>
      <rPr>
        <sz val="11"/>
        <color theme="1"/>
        <rFont val="宋体"/>
        <family val="3"/>
        <charset val="134"/>
        <scheme val="minor"/>
      </rPr>
      <t/>
    </r>
  </si>
  <si>
    <r>
      <t>18号楼</t>
    </r>
    <r>
      <rPr>
        <sz val="11"/>
        <color theme="1"/>
        <rFont val="宋体"/>
        <family val="3"/>
        <charset val="134"/>
        <scheme val="minor"/>
      </rPr>
      <t/>
    </r>
  </si>
  <si>
    <r>
      <t>19号楼</t>
    </r>
    <r>
      <rPr>
        <sz val="11"/>
        <color theme="1"/>
        <rFont val="宋体"/>
        <family val="3"/>
        <charset val="134"/>
        <scheme val="minor"/>
      </rPr>
      <t/>
    </r>
  </si>
  <si>
    <r>
      <t>20号楼</t>
    </r>
    <r>
      <rPr>
        <sz val="11"/>
        <color theme="1"/>
        <rFont val="宋体"/>
        <family val="3"/>
        <charset val="134"/>
        <scheme val="minor"/>
      </rPr>
      <t/>
    </r>
  </si>
  <si>
    <r>
      <t>21号楼</t>
    </r>
    <r>
      <rPr>
        <sz val="11"/>
        <color theme="1"/>
        <rFont val="宋体"/>
        <family val="3"/>
        <charset val="134"/>
        <scheme val="minor"/>
      </rPr>
      <t/>
    </r>
  </si>
  <si>
    <t>合计</t>
    <phoneticPr fontId="140" type="noConversion"/>
  </si>
  <si>
    <t>办公</t>
    <phoneticPr fontId="7" type="noConversion"/>
  </si>
  <si>
    <t>收益法</t>
  </si>
  <si>
    <t>押一</t>
  </si>
  <si>
    <t>按租金收入计税</t>
  </si>
  <si>
    <t>钢混</t>
  </si>
  <si>
    <t>非生产用房</t>
  </si>
  <si>
    <t>未包含在土地购买价格中</t>
  </si>
  <si>
    <t>已包含在土地取得成本中</t>
  </si>
  <si>
    <t>商办</t>
  </si>
  <si>
    <t>商办</t>
    <phoneticPr fontId="31" type="noConversion"/>
  </si>
  <si>
    <t>较规则</t>
  </si>
  <si>
    <t>较规则</t>
    <phoneticPr fontId="31" type="noConversion"/>
  </si>
  <si>
    <t>较合适</t>
  </si>
  <si>
    <t>较合适</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</si>
  <si>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</si>
  <si>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</si>
  <si>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</si>
  <si>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</si>
  <si>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</si>
  <si>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</si>
  <si>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</si>
  <si>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</si>
  <si>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一般</t>
  </si>
  <si>
    <t>较差</t>
  </si>
  <si>
    <t>成本法</t>
  </si>
  <si>
    <t>成本比率</t>
  </si>
  <si>
    <t>总价</t>
  </si>
  <si>
    <t>情况3</t>
  </si>
  <si>
    <t>正常</t>
  </si>
  <si>
    <t>自行开发建设</t>
  </si>
  <si>
    <t>非个人房产</t>
  </si>
  <si>
    <t>仅含出让金</t>
  </si>
  <si>
    <t>地块名称</t>
  </si>
  <si>
    <t>城市</t>
  </si>
  <si>
    <t>用地性质</t>
  </si>
  <si>
    <t>出让方式</t>
  </si>
  <si>
    <t>地块编号</t>
  </si>
  <si>
    <t>详细规划</t>
  </si>
  <si>
    <t>建设用地面积(㎡)</t>
  </si>
  <si>
    <t>规划建筑面积(㎡)</t>
  </si>
  <si>
    <t>容积率</t>
  </si>
  <si>
    <t>商业比例</t>
  </si>
  <si>
    <t>成交特殊政策</t>
  </si>
  <si>
    <t>成交日期</t>
  </si>
  <si>
    <t>受让单位</t>
  </si>
  <si>
    <t>起始价(万元)</t>
  </si>
  <si>
    <t>成交价(万元)</t>
  </si>
  <si>
    <t>成交每亩价(万元/亩)</t>
  </si>
  <si>
    <t>成交楼面价(元/㎡)</t>
  </si>
  <si>
    <t>溢价率</t>
  </si>
  <si>
    <t>竞报整体自持比例(%)</t>
  </si>
  <si>
    <t>竞报商办部分自持比例(%)</t>
  </si>
  <si>
    <t>土地星级</t>
  </si>
  <si>
    <t>北京经济技术开发区路东区G4F-4、G6F-1、G6F-5、G7F-1、G7F-2、G7F-3地块F3其他类多功能用地国有建设用地</t>
  </si>
  <si>
    <t>商业/办公用地</t>
  </si>
  <si>
    <t>挂牌</t>
  </si>
  <si>
    <t>京土整储挂(开)[2020]029号</t>
  </si>
  <si>
    <t>F3其他类多功能用地</t>
  </si>
  <si>
    <t>g4f-4≤3,g6f-1、g6f-5、g7f-1、g7f-2≤2.5,g7f-3≤1.96</t>
  </si>
  <si>
    <t>2020-08-03</t>
  </si>
  <si>
    <t>北京通明湖信息城发展有限公司</t>
  </si>
  <si>
    <t>3星</t>
  </si>
  <si>
    <t>北京经济技术开发区河西区X78C2地块B4综合性商业金融服务业用地</t>
  </si>
  <si>
    <t>京土整储挂(开)[2019]019号</t>
  </si>
  <si>
    <t>B4综合性商业金融服务业用地</t>
  </si>
  <si>
    <t>≤2</t>
  </si>
  <si>
    <t>2019-08-29</t>
  </si>
  <si>
    <t>北京尚恒锦瑞商业运营管理有限公司</t>
  </si>
  <si>
    <t>北京经济技术开发区南海子郊野公园B片区B-04/*B-06/B-11地块F3其他类多功能用地</t>
  </si>
  <si>
    <t>京土整储挂(开)[2019]006号</t>
  </si>
  <si>
    <t>b-04、b-06≤1.5,b-11≤2</t>
  </si>
  <si>
    <t>2019-05-28</t>
  </si>
  <si>
    <t>北京国苑体育文化投资有限责任公司</t>
  </si>
  <si>
    <t>北京经济技术开发区路东区E16街区E16C-3、E16C-5、E16S-1地块</t>
  </si>
  <si>
    <t>京土整储挂(开)[2018]007号</t>
  </si>
  <si>
    <t>B4综合性商业金融服务业用地、S41公用停车场用地</t>
  </si>
  <si>
    <t>含租赁用地</t>
  </si>
  <si>
    <t>2018-06-14</t>
  </si>
  <si>
    <t>北京智方润科房地产开发有限公司</t>
  </si>
  <si>
    <t>北京经济技术开发区路东区C14C-1、C14C-2、C14S-1地块B4综合性商业金融服务业用地及S41公用停车场用地</t>
  </si>
  <si>
    <t>京土整储挂(开)[2017]058号</t>
  </si>
  <si>
    <t>2017-08-08</t>
  </si>
  <si>
    <t>北京联茂方泰房地产开发有限公司(京东)</t>
  </si>
  <si>
    <t>大兴开发区北区1号地DX00-0301-0145地块</t>
  </si>
  <si>
    <t>京土整储挂(兴)[2017]013号</t>
  </si>
  <si>
    <t>2017-04-06</t>
  </si>
  <si>
    <t>北京亚通房地产开发有限责任公司</t>
  </si>
  <si>
    <t>4星</t>
  </si>
  <si>
    <t>大兴区北臧村生物医药基地DX00-0502-0008地块</t>
  </si>
  <si>
    <t>京土整储挂(兴)[2017]008号</t>
  </si>
  <si>
    <t>2017-03-30</t>
  </si>
  <si>
    <t>北京硕日新宇投资有限公司</t>
  </si>
  <si>
    <t>大兴开发区北区1号地DX00-0301-0144地块</t>
  </si>
  <si>
    <t>京土整储挂(兴)[2016]027号</t>
  </si>
  <si>
    <t>2016-12-20</t>
  </si>
  <si>
    <t>北京筑兴房地产开发有限公司</t>
  </si>
  <si>
    <t>大兴区黄村镇兴华大街DX00-0202-0307地块</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</si>
  <si>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</si>
  <si>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</si>
  <si>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</si>
  <si>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</si>
  <si>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</si>
  <si>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</si>
  <si>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</si>
  <si>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</si>
  <si>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</si>
  <si>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</si>
  <si>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大兴区北臧村生物医药基地DX00-0501-0010地块</t>
  </si>
  <si>
    <t>京土整储挂(兴)[2015]074号</t>
  </si>
  <si>
    <t>2015-12-23</t>
  </si>
  <si>
    <t>大兴区北臧村生物医药基地DX00-0501-0009地块</t>
  </si>
  <si>
    <t>京土整储挂(兴)[2015]073号</t>
  </si>
  <si>
    <t>大兴区庞各庄镇PGZ02-34地块(原庞各庄镇镇区改造项目5号地部分地块)</t>
  </si>
  <si>
    <t>京土整储挂(兴)[2015]021号</t>
  </si>
  <si>
    <t>2015-07-01</t>
  </si>
  <si>
    <t>北京万烟谷投资发展有限公司</t>
  </si>
  <si>
    <t>大兴区新城北区DX00-0301-6001地块</t>
  </si>
  <si>
    <t>京土整储挂(兴)[2015]019号</t>
  </si>
  <si>
    <t>F3其它类多功能用地</t>
  </si>
  <si>
    <t>2015-06-30</t>
  </si>
  <si>
    <t>北京格雷时尚科技有限公司</t>
  </si>
  <si>
    <t>http://map.sogou.com/t/sc6XSg</t>
    <phoneticPr fontId="140" type="noConversion"/>
  </si>
  <si>
    <t>成新度</t>
  </si>
  <si>
    <t>其它用地</t>
  </si>
  <si>
    <t>≤2.0</t>
  </si>
  <si>
    <t>F81绿隔产业用地</t>
  </si>
  <si>
    <t>2019-03-08</t>
  </si>
  <si>
    <t>中铁第五勘察设计院集团有限公司、中国铁建投资集团有限公司、中铁十一局集团有限公司、中铁磁浮交通投资建设有限公司、中铁建设集团房地产有限公司</t>
  </si>
  <si>
    <t>http://map.sogou.com/t/YQ6X3m</t>
    <phoneticPr fontId="140" type="noConversion"/>
  </si>
  <si>
    <t>京土集使挂(兴)[2018]002号</t>
  </si>
  <si>
    <t>还建部分</t>
    <phoneticPr fontId="3" type="noConversion"/>
  </si>
  <si>
    <t>房屋登记表建筑面积</t>
    <phoneticPr fontId="140" type="noConversion"/>
  </si>
  <si>
    <t>测绘报告</t>
    <phoneticPr fontId="140" type="noConversion"/>
  </si>
  <si>
    <r>
      <rPr>
        <sz val="10"/>
        <color theme="9" tint="-0.249977111117893"/>
        <rFont val="宋体"/>
        <family val="3"/>
        <charset val="134"/>
      </rPr>
      <t>大兴区西红门镇</t>
    </r>
    <r>
      <rPr>
        <sz val="10"/>
        <color theme="9" tint="-0.249977111117893"/>
        <rFont val="Arial"/>
        <family val="2"/>
      </rPr>
      <t>3</t>
    </r>
    <r>
      <rPr>
        <sz val="10"/>
        <color theme="9" tint="-0.249977111117893"/>
        <rFont val="宋体"/>
        <family val="3"/>
        <charset val="134"/>
      </rPr>
      <t>号地块内“星光影视园·北区”项目</t>
    </r>
    <r>
      <rPr>
        <sz val="10"/>
        <color theme="9" tint="-0.249977111117893"/>
        <rFont val="Arial"/>
        <family val="2"/>
      </rPr>
      <t>B5</t>
    </r>
    <r>
      <rPr>
        <sz val="10"/>
        <color theme="9" tint="-0.249977111117893"/>
        <rFont val="宋体"/>
        <family val="3"/>
        <charset val="134"/>
      </rPr>
      <t>组团</t>
    </r>
    <r>
      <rPr>
        <sz val="10"/>
        <color theme="9" tint="-0.249977111117893"/>
        <rFont val="Arial"/>
        <family val="2"/>
      </rPr>
      <t>B5-1</t>
    </r>
    <r>
      <rPr>
        <sz val="10"/>
        <color theme="9" tint="-0.249977111117893"/>
        <rFont val="宋体"/>
        <family val="3"/>
        <charset val="134"/>
      </rPr>
      <t>办公楼等</t>
    </r>
    <r>
      <rPr>
        <sz val="10"/>
        <color theme="9" tint="-0.249977111117893"/>
        <rFont val="Arial"/>
        <family val="2"/>
      </rPr>
      <t>6</t>
    </r>
    <r>
      <rPr>
        <sz val="10"/>
        <color theme="9" tint="-0.249977111117893"/>
        <rFont val="宋体"/>
        <family val="3"/>
        <charset val="134"/>
      </rPr>
      <t>幢办公用房</t>
    </r>
    <phoneticPr fontId="6" type="noConversion"/>
  </si>
  <si>
    <t>六通</t>
  </si>
  <si>
    <r>
      <rPr>
        <sz val="10"/>
        <rFont val="宋体"/>
        <family val="3"/>
        <charset val="134"/>
      </rPr>
      <t>北京市大兴区西红门镇集体经营性建设用地入市试点</t>
    </r>
    <r>
      <rPr>
        <sz val="10"/>
        <rFont val="Arial"/>
        <family val="2"/>
      </rPr>
      <t>2</t>
    </r>
    <r>
      <rPr>
        <sz val="10"/>
        <rFont val="宋体"/>
        <family val="3"/>
        <charset val="134"/>
      </rPr>
      <t>号地</t>
    </r>
    <r>
      <rPr>
        <sz val="10"/>
        <rFont val="Arial"/>
        <family val="2"/>
      </rPr>
      <t>C</t>
    </r>
    <r>
      <rPr>
        <sz val="10"/>
        <rFont val="宋体"/>
        <family val="3"/>
        <charset val="134"/>
      </rPr>
      <t>地块</t>
    </r>
    <r>
      <rPr>
        <sz val="10"/>
        <rFont val="Arial"/>
        <family val="2"/>
      </rPr>
      <t>(2-006-1)F81</t>
    </r>
    <r>
      <rPr>
        <sz val="10"/>
        <rFont val="宋体"/>
        <family val="3"/>
        <charset val="134"/>
      </rPr>
      <t>绿隔产业用地</t>
    </r>
    <phoneticPr fontId="140" type="noConversion"/>
  </si>
  <si>
    <t>合计</t>
    <phoneticPr fontId="140" type="noConversion"/>
  </si>
  <si>
    <t>北京博豪新创文化发展有限公司</t>
    <phoneticPr fontId="6" type="noConversion"/>
  </si>
  <si>
    <t>吴薇</t>
  </si>
  <si>
    <t>华夏银行股份有限公司北京大兴支行</t>
    <phoneticPr fontId="6" type="noConversion"/>
  </si>
  <si>
    <t>建筑物价值</t>
  </si>
  <si>
    <t>建筑面积</t>
  </si>
  <si>
    <t>土地面积</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</si>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</sst>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4" fillId="0" borderId="0" applyNumberForma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0" borderId="0" xfId="17" applyAlignment="1">
      <alignment horizontal="left" vertical="center"/>
    </xf>
    <xf numFmtId="0" fontId="55" fillId="5" borderId="0" xfId="17" applyFill="1" applyAlignment="1">
      <alignment horizontal="left" vertical="center"/>
    </xf>
    <xf numFmtId="0" fontId="254" fillId="0" borderId="0" xfId="18" applyAlignment="1">
      <alignment horizontal="left" vertical="center"/>
    </xf>
    <xf numFmtId="179" fontId="49" fillId="9" borderId="1" xfId="0" applyNumberFormat="1" applyFont="1" applyFill="1" applyBorder="1" applyAlignment="1" applyProtection="1">
      <alignment horizontal="center" vertical="center" wrapText="1"/>
      <protection locked="0"/>
    </xf>
    <xf numFmtId="176" fontId="49" fillId="9" borderId="1" xfId="0" applyNumberFormat="1" applyFont="1" applyFill="1" applyBorder="1" applyAlignment="1" applyProtection="1">
      <alignment vertical="center" wrapText="1"/>
      <protection locked="0"/>
    </xf>
    <xf numFmtId="0" fontId="46" fillId="9" borderId="9" xfId="1" applyFont="1" applyFill="1" applyBorder="1" applyAlignment="1" applyProtection="1">
      <alignment horizontal="center" vertical="center" wrapText="1"/>
      <protection locked="0"/>
    </xf>
    <xf numFmtId="0" fontId="55" fillId="9" borderId="49" xfId="1" applyNumberFormat="1" applyFont="1" applyFill="1" applyBorder="1" applyAlignment="1" applyProtection="1">
      <alignment horizontal="center" vertical="center"/>
      <protection locked="0"/>
    </xf>
    <xf numFmtId="0" fontId="55" fillId="0" borderId="0" xfId="17" applyFill="1" applyAlignment="1">
      <alignment horizontal="left" vertical="center"/>
    </xf>
    <xf numFmtId="0" fontId="0" fillId="5" borderId="0" xfId="0" applyFill="1" applyAlignment="1"/>
    <xf numFmtId="0" fontId="79" fillId="0" borderId="1" xfId="0" applyFont="1" applyBorder="1" applyAlignment="1" applyProtection="1">
      <alignment vertical="center" wrapText="1"/>
      <protection locked="0"/>
    </xf>
    <xf numFmtId="0" fontId="49" fillId="7" borderId="150" xfId="0" applyFont="1" applyFill="1" applyBorder="1" applyAlignment="1" applyProtection="1">
      <alignment vertical="center"/>
      <protection locked="0"/>
    </xf>
    <xf numFmtId="14" fontId="79" fillId="5" borderId="78"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117</xdr:row>
      <xdr:rowOff>0</xdr:rowOff>
    </xdr:from>
    <xdr:to>
      <xdr:col>15</xdr:col>
      <xdr:colOff>539577</xdr:colOff>
      <xdr:row>146</xdr:row>
      <xdr:rowOff>113699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783300"/>
          <a:ext cx="11552382" cy="4809524"/>
        </a:xfrm>
        <a:prstGeom prst="rect">
          <a:avLst/>
        </a:prstGeom>
      </xdr:spPr>
    </xdr:pic>
    <xdr:clientData/>
  </xdr:twoCellAnchor>
  <xdr:twoCellAnchor editAs="oneCell">
    <xdr:from>
      <xdr:col>0</xdr:col>
      <xdr:colOff>0</xdr:colOff>
      <xdr:row>149</xdr:row>
      <xdr:rowOff>0</xdr:rowOff>
    </xdr:from>
    <xdr:to>
      <xdr:col>16</xdr:col>
      <xdr:colOff>118549</xdr:colOff>
      <xdr:row>176</xdr:row>
      <xdr:rowOff>113740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964900"/>
          <a:ext cx="11733334" cy="4485715"/>
        </a:xfrm>
        <a:prstGeom prst="rect">
          <a:avLst/>
        </a:prstGeom>
      </xdr:spPr>
    </xdr:pic>
    <xdr:clientData/>
  </xdr:twoCellAnchor>
  <xdr:twoCellAnchor editAs="oneCell">
    <xdr:from>
      <xdr:col>0</xdr:col>
      <xdr:colOff>0</xdr:colOff>
      <xdr:row>178</xdr:row>
      <xdr:rowOff>0</xdr:rowOff>
    </xdr:from>
    <xdr:to>
      <xdr:col>15</xdr:col>
      <xdr:colOff>490061</xdr:colOff>
      <xdr:row>207</xdr:row>
      <xdr:rowOff>132747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8660725"/>
          <a:ext cx="11438096" cy="4828572"/>
        </a:xfrm>
        <a:prstGeom prst="rect">
          <a:avLst/>
        </a:prstGeom>
      </xdr:spPr>
    </xdr:pic>
    <xdr:clientData/>
  </xdr:twoCellAnchor>
  <xdr:twoCellAnchor editAs="oneCell">
    <xdr:from>
      <xdr:col>0</xdr:col>
      <xdr:colOff>0</xdr:colOff>
      <xdr:row>86</xdr:row>
      <xdr:rowOff>0</xdr:rowOff>
    </xdr:from>
    <xdr:to>
      <xdr:col>16</xdr:col>
      <xdr:colOff>99502</xdr:colOff>
      <xdr:row>114</xdr:row>
      <xdr:rowOff>123243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63625"/>
          <a:ext cx="11714287" cy="4657143"/>
        </a:xfrm>
        <a:prstGeom prst="rect">
          <a:avLst/>
        </a:prstGeom>
      </xdr:spPr>
    </xdr:pic>
    <xdr:clientData/>
  </xdr:twoCellAnchor>
  <xdr:twoCellAnchor editAs="oneCell">
    <xdr:from>
      <xdr:col>0</xdr:col>
      <xdr:colOff>0</xdr:colOff>
      <xdr:row>22</xdr:row>
      <xdr:rowOff>38100</xdr:rowOff>
    </xdr:from>
    <xdr:to>
      <xdr:col>12</xdr:col>
      <xdr:colOff>694065</xdr:colOff>
      <xdr:row>49</xdr:row>
      <xdr:rowOff>28030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4475"/>
          <a:ext cx="10085715" cy="4361905"/>
        </a:xfrm>
        <a:prstGeom prst="rect">
          <a:avLst/>
        </a:prstGeom>
      </xdr:spPr>
    </xdr:pic>
    <xdr:clientData/>
  </xdr:twoCellAnchor>
  <xdr:twoCellAnchor editAs="oneCell">
    <xdr:from>
      <xdr:col>0</xdr:col>
      <xdr:colOff>0</xdr:colOff>
      <xdr:row>51</xdr:row>
      <xdr:rowOff>0</xdr:rowOff>
    </xdr:from>
    <xdr:to>
      <xdr:col>15</xdr:col>
      <xdr:colOff>512917</xdr:colOff>
      <xdr:row>82</xdr:row>
      <xdr:rowOff>123182</xdr:rowOff>
    </xdr:to>
    <xdr:pic>
      <xdr:nvPicPr>
        <xdr:cNvPr id="8" name="图片 7"/>
        <xdr:cNvPicPr>
          <a:picLocks noChangeAspect="1"/>
        </xdr:cNvPicPr>
      </xdr:nvPicPr>
      <xdr:blipFill>
        <a:blip xmlns:r="http://schemas.openxmlformats.org/officeDocument/2006/relationships" r:embed="rId6"/>
        <a:stretch>
          <a:fillRect/>
        </a:stretch>
      </xdr:blipFill>
      <xdr:spPr>
        <a:xfrm>
          <a:off x="0" y="6162675"/>
          <a:ext cx="11466667"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513943</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57143" cy="3790476"/>
        </a:xfrm>
        <a:prstGeom prst="rect">
          <a:avLst/>
        </a:prstGeom>
      </xdr:spPr>
    </xdr:pic>
    <xdr:clientData/>
  </xdr:twoCellAnchor>
  <xdr:twoCellAnchor editAs="oneCell">
    <xdr:from>
      <xdr:col>0</xdr:col>
      <xdr:colOff>0</xdr:colOff>
      <xdr:row>22</xdr:row>
      <xdr:rowOff>0</xdr:rowOff>
    </xdr:from>
    <xdr:to>
      <xdr:col>4</xdr:col>
      <xdr:colOff>609181</xdr:colOff>
      <xdr:row>49</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3352381" cy="4752381"/>
        </a:xfrm>
        <a:prstGeom prst="rect">
          <a:avLst/>
        </a:prstGeom>
      </xdr:spPr>
    </xdr:pic>
    <xdr:clientData/>
  </xdr:twoCellAnchor>
  <xdr:twoCellAnchor editAs="oneCell">
    <xdr:from>
      <xdr:col>0</xdr:col>
      <xdr:colOff>0</xdr:colOff>
      <xdr:row>50</xdr:row>
      <xdr:rowOff>0</xdr:rowOff>
    </xdr:from>
    <xdr:to>
      <xdr:col>4</xdr:col>
      <xdr:colOff>675848</xdr:colOff>
      <xdr:row>71</xdr:row>
      <xdr:rowOff>170979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3419048" cy="3771429"/>
        </a:xfrm>
        <a:prstGeom prst="rect">
          <a:avLst/>
        </a:prstGeom>
      </xdr:spPr>
    </xdr:pic>
    <xdr:clientData/>
  </xdr:twoCellAnchor>
  <xdr:twoCellAnchor editAs="oneCell">
    <xdr:from>
      <xdr:col>0</xdr:col>
      <xdr:colOff>0</xdr:colOff>
      <xdr:row>72</xdr:row>
      <xdr:rowOff>0</xdr:rowOff>
    </xdr:from>
    <xdr:to>
      <xdr:col>5</xdr:col>
      <xdr:colOff>18619</xdr:colOff>
      <xdr:row>99</xdr:row>
      <xdr:rowOff>161327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3447619" cy="4790477"/>
        </a:xfrm>
        <a:prstGeom prst="rect">
          <a:avLst/>
        </a:prstGeom>
      </xdr:spPr>
    </xdr:pic>
    <xdr:clientData/>
  </xdr:twoCellAnchor>
  <xdr:twoCellAnchor editAs="oneCell">
    <xdr:from>
      <xdr:col>0</xdr:col>
      <xdr:colOff>0</xdr:colOff>
      <xdr:row>100</xdr:row>
      <xdr:rowOff>0</xdr:rowOff>
    </xdr:from>
    <xdr:to>
      <xdr:col>4</xdr:col>
      <xdr:colOff>656800</xdr:colOff>
      <xdr:row>122</xdr:row>
      <xdr:rowOff>37624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3400000" cy="3809524"/>
        </a:xfrm>
        <a:prstGeom prst="rect">
          <a:avLst/>
        </a:prstGeom>
      </xdr:spPr>
    </xdr:pic>
    <xdr:clientData/>
  </xdr:twoCellAnchor>
  <xdr:twoCellAnchor editAs="oneCell">
    <xdr:from>
      <xdr:col>5</xdr:col>
      <xdr:colOff>0</xdr:colOff>
      <xdr:row>0</xdr:row>
      <xdr:rowOff>0</xdr:rowOff>
    </xdr:from>
    <xdr:to>
      <xdr:col>9</xdr:col>
      <xdr:colOff>628229</xdr:colOff>
      <xdr:row>14</xdr:row>
      <xdr:rowOff>171129</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0"/>
          <a:ext cx="3371429" cy="2571429"/>
        </a:xfrm>
        <a:prstGeom prst="rect">
          <a:avLst/>
        </a:prstGeom>
      </xdr:spPr>
    </xdr:pic>
    <xdr:clientData/>
  </xdr:twoCellAnchor>
  <xdr:twoCellAnchor editAs="oneCell">
    <xdr:from>
      <xdr:col>5</xdr:col>
      <xdr:colOff>0</xdr:colOff>
      <xdr:row>15</xdr:row>
      <xdr:rowOff>0</xdr:rowOff>
    </xdr:from>
    <xdr:to>
      <xdr:col>10</xdr:col>
      <xdr:colOff>104334</xdr:colOff>
      <xdr:row>23</xdr:row>
      <xdr:rowOff>123638</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0" y="2571750"/>
          <a:ext cx="3533334" cy="1495238"/>
        </a:xfrm>
        <a:prstGeom prst="rect">
          <a:avLst/>
        </a:prstGeom>
      </xdr:spPr>
    </xdr:pic>
    <xdr:clientData/>
  </xdr:twoCellAnchor>
  <xdr:twoCellAnchor editAs="oneCell">
    <xdr:from>
      <xdr:col>5</xdr:col>
      <xdr:colOff>0</xdr:colOff>
      <xdr:row>24</xdr:row>
      <xdr:rowOff>0</xdr:rowOff>
    </xdr:from>
    <xdr:to>
      <xdr:col>9</xdr:col>
      <xdr:colOff>552038</xdr:colOff>
      <xdr:row>39</xdr:row>
      <xdr:rowOff>18726</xdr:rowOff>
    </xdr:to>
    <xdr:pic>
      <xdr:nvPicPr>
        <xdr:cNvPr id="9" name="图片 8"/>
        <xdr:cNvPicPr>
          <a:picLocks noChangeAspect="1"/>
        </xdr:cNvPicPr>
      </xdr:nvPicPr>
      <xdr:blipFill>
        <a:blip xmlns:r="http://schemas.openxmlformats.org/officeDocument/2006/relationships" r:embed="rId8"/>
        <a:stretch>
          <a:fillRect/>
        </a:stretch>
      </xdr:blipFill>
      <xdr:spPr>
        <a:xfrm>
          <a:off x="3429000" y="4114800"/>
          <a:ext cx="3295238" cy="2590476"/>
        </a:xfrm>
        <a:prstGeom prst="rect">
          <a:avLst/>
        </a:prstGeom>
      </xdr:spPr>
    </xdr:pic>
    <xdr:clientData/>
  </xdr:twoCellAnchor>
  <xdr:twoCellAnchor editAs="oneCell">
    <xdr:from>
      <xdr:col>5</xdr:col>
      <xdr:colOff>0</xdr:colOff>
      <xdr:row>39</xdr:row>
      <xdr:rowOff>0</xdr:rowOff>
    </xdr:from>
    <xdr:to>
      <xdr:col>9</xdr:col>
      <xdr:colOff>571086</xdr:colOff>
      <xdr:row>53</xdr:row>
      <xdr:rowOff>9224</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0" y="6686550"/>
          <a:ext cx="3314286" cy="2409524"/>
        </a:xfrm>
        <a:prstGeom prst="rect">
          <a:avLst/>
        </a:prstGeom>
      </xdr:spPr>
    </xdr:pic>
    <xdr:clientData/>
  </xdr:twoCellAnchor>
  <xdr:twoCellAnchor editAs="oneCell">
    <xdr:from>
      <xdr:col>5</xdr:col>
      <xdr:colOff>0</xdr:colOff>
      <xdr:row>53</xdr:row>
      <xdr:rowOff>0</xdr:rowOff>
    </xdr:from>
    <xdr:to>
      <xdr:col>9</xdr:col>
      <xdr:colOff>590134</xdr:colOff>
      <xdr:row>67</xdr:row>
      <xdr:rowOff>171129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29000" y="9086850"/>
          <a:ext cx="3333334" cy="2571429"/>
        </a:xfrm>
        <a:prstGeom prst="rect">
          <a:avLst/>
        </a:prstGeom>
      </xdr:spPr>
    </xdr:pic>
    <xdr:clientData/>
  </xdr:twoCellAnchor>
  <xdr:twoCellAnchor editAs="oneCell">
    <xdr:from>
      <xdr:col>5</xdr:col>
      <xdr:colOff>0</xdr:colOff>
      <xdr:row>68</xdr:row>
      <xdr:rowOff>0</xdr:rowOff>
    </xdr:from>
    <xdr:to>
      <xdr:col>9</xdr:col>
      <xdr:colOff>618705</xdr:colOff>
      <xdr:row>83</xdr:row>
      <xdr:rowOff>28250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0" y="11658600"/>
          <a:ext cx="3361905" cy="2600000"/>
        </a:xfrm>
        <a:prstGeom prst="rect">
          <a:avLst/>
        </a:prstGeom>
      </xdr:spPr>
    </xdr:pic>
    <xdr:clientData/>
  </xdr:twoCellAnchor>
  <xdr:twoCellAnchor editAs="oneCell">
    <xdr:from>
      <xdr:col>5</xdr:col>
      <xdr:colOff>0</xdr:colOff>
      <xdr:row>83</xdr:row>
      <xdr:rowOff>0</xdr:rowOff>
    </xdr:from>
    <xdr:to>
      <xdr:col>9</xdr:col>
      <xdr:colOff>685372</xdr:colOff>
      <xdr:row>108</xdr:row>
      <xdr:rowOff>132798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429000" y="14230350"/>
          <a:ext cx="3428572" cy="4419048"/>
        </a:xfrm>
        <a:prstGeom prst="rect">
          <a:avLst/>
        </a:prstGeom>
      </xdr:spPr>
    </xdr:pic>
    <xdr:clientData/>
  </xdr:twoCellAnchor>
  <xdr:twoCellAnchor editAs="oneCell">
    <xdr:from>
      <xdr:col>5</xdr:col>
      <xdr:colOff>0</xdr:colOff>
      <xdr:row>109</xdr:row>
      <xdr:rowOff>0</xdr:rowOff>
    </xdr:from>
    <xdr:to>
      <xdr:col>9</xdr:col>
      <xdr:colOff>666324</xdr:colOff>
      <xdr:row>133</xdr:row>
      <xdr:rowOff>113772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429000" y="18688050"/>
          <a:ext cx="3409524" cy="4228572"/>
        </a:xfrm>
        <a:prstGeom prst="rect">
          <a:avLst/>
        </a:prstGeom>
      </xdr:spPr>
    </xdr:pic>
    <xdr:clientData/>
  </xdr:twoCellAnchor>
  <xdr:twoCellAnchor editAs="oneCell">
    <xdr:from>
      <xdr:col>0</xdr:col>
      <xdr:colOff>0</xdr:colOff>
      <xdr:row>123</xdr:row>
      <xdr:rowOff>0</xdr:rowOff>
    </xdr:from>
    <xdr:to>
      <xdr:col>4</xdr:col>
      <xdr:colOff>571086</xdr:colOff>
      <xdr:row>131</xdr:row>
      <xdr:rowOff>133162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1088350"/>
          <a:ext cx="3314286" cy="1504762"/>
        </a:xfrm>
        <a:prstGeom prst="rect">
          <a:avLst/>
        </a:prstGeom>
      </xdr:spPr>
    </xdr:pic>
    <xdr:clientData/>
  </xdr:twoCellAnchor>
  <xdr:twoCellAnchor editAs="oneCell">
    <xdr:from>
      <xdr:col>5</xdr:col>
      <xdr:colOff>0</xdr:colOff>
      <xdr:row>134</xdr:row>
      <xdr:rowOff>0</xdr:rowOff>
    </xdr:from>
    <xdr:to>
      <xdr:col>9</xdr:col>
      <xdr:colOff>656800</xdr:colOff>
      <xdr:row>150</xdr:row>
      <xdr:rowOff>94895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429000" y="22974300"/>
          <a:ext cx="3400000" cy="2838095"/>
        </a:xfrm>
        <a:prstGeom prst="rect">
          <a:avLst/>
        </a:prstGeom>
      </xdr:spPr>
    </xdr:pic>
    <xdr:clientData/>
  </xdr:twoCellAnchor>
  <xdr:twoCellAnchor editAs="oneCell">
    <xdr:from>
      <xdr:col>0</xdr:col>
      <xdr:colOff>0</xdr:colOff>
      <xdr:row>133</xdr:row>
      <xdr:rowOff>0</xdr:rowOff>
    </xdr:from>
    <xdr:to>
      <xdr:col>4</xdr:col>
      <xdr:colOff>628229</xdr:colOff>
      <xdr:row>141</xdr:row>
      <xdr:rowOff>18876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2802850"/>
          <a:ext cx="3371429" cy="1390476"/>
        </a:xfrm>
        <a:prstGeom prst="rect">
          <a:avLst/>
        </a:prstGeom>
      </xdr:spPr>
    </xdr:pic>
    <xdr:clientData/>
  </xdr:twoCellAnchor>
  <xdr:twoCellAnchor editAs="oneCell">
    <xdr:from>
      <xdr:col>11</xdr:col>
      <xdr:colOff>0</xdr:colOff>
      <xdr:row>0</xdr:row>
      <xdr:rowOff>0</xdr:rowOff>
    </xdr:from>
    <xdr:to>
      <xdr:col>15</xdr:col>
      <xdr:colOff>523467</xdr:colOff>
      <xdr:row>24</xdr:row>
      <xdr:rowOff>123296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7543800" y="0"/>
          <a:ext cx="3266667" cy="4238096"/>
        </a:xfrm>
        <a:prstGeom prst="rect">
          <a:avLst/>
        </a:prstGeom>
      </xdr:spPr>
    </xdr:pic>
    <xdr:clientData/>
  </xdr:twoCellAnchor>
  <xdr:twoCellAnchor editAs="oneCell">
    <xdr:from>
      <xdr:col>11</xdr:col>
      <xdr:colOff>0</xdr:colOff>
      <xdr:row>25</xdr:row>
      <xdr:rowOff>0</xdr:rowOff>
    </xdr:from>
    <xdr:to>
      <xdr:col>15</xdr:col>
      <xdr:colOff>590134</xdr:colOff>
      <xdr:row>45</xdr:row>
      <xdr:rowOff>142429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7543800" y="4286250"/>
          <a:ext cx="3333334" cy="3571429"/>
        </a:xfrm>
        <a:prstGeom prst="rect">
          <a:avLst/>
        </a:prstGeom>
      </xdr:spPr>
    </xdr:pic>
    <xdr:clientData/>
  </xdr:twoCellAnchor>
  <xdr:twoCellAnchor editAs="oneCell">
    <xdr:from>
      <xdr:col>11</xdr:col>
      <xdr:colOff>0</xdr:colOff>
      <xdr:row>46</xdr:row>
      <xdr:rowOff>0</xdr:rowOff>
    </xdr:from>
    <xdr:to>
      <xdr:col>16</xdr:col>
      <xdr:colOff>37667</xdr:colOff>
      <xdr:row>60</xdr:row>
      <xdr:rowOff>171129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543800" y="7886700"/>
          <a:ext cx="3466667" cy="2571429"/>
        </a:xfrm>
        <a:prstGeom prst="rect">
          <a:avLst/>
        </a:prstGeom>
      </xdr:spPr>
    </xdr:pic>
    <xdr:clientData/>
  </xdr:twoCellAnchor>
  <xdr:twoCellAnchor editAs="oneCell">
    <xdr:from>
      <xdr:col>16</xdr:col>
      <xdr:colOff>0</xdr:colOff>
      <xdr:row>0</xdr:row>
      <xdr:rowOff>0</xdr:rowOff>
    </xdr:from>
    <xdr:to>
      <xdr:col>20</xdr:col>
      <xdr:colOff>618705</xdr:colOff>
      <xdr:row>24</xdr:row>
      <xdr:rowOff>170915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972800" y="0"/>
          <a:ext cx="3361905" cy="4285715"/>
        </a:xfrm>
        <a:prstGeom prst="rect">
          <a:avLst/>
        </a:prstGeom>
      </xdr:spPr>
    </xdr:pic>
    <xdr:clientData/>
  </xdr:twoCellAnchor>
  <xdr:twoCellAnchor editAs="oneCell">
    <xdr:from>
      <xdr:col>16</xdr:col>
      <xdr:colOff>0</xdr:colOff>
      <xdr:row>25</xdr:row>
      <xdr:rowOff>0</xdr:rowOff>
    </xdr:from>
    <xdr:to>
      <xdr:col>20</xdr:col>
      <xdr:colOff>675848</xdr:colOff>
      <xdr:row>45</xdr:row>
      <xdr:rowOff>56715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0972800" y="4286250"/>
          <a:ext cx="3419048" cy="3485715"/>
        </a:xfrm>
        <a:prstGeom prst="rect">
          <a:avLst/>
        </a:prstGeom>
      </xdr:spPr>
    </xdr:pic>
    <xdr:clientData/>
  </xdr:twoCellAnchor>
  <xdr:twoCellAnchor editAs="oneCell">
    <xdr:from>
      <xdr:col>16</xdr:col>
      <xdr:colOff>0</xdr:colOff>
      <xdr:row>46</xdr:row>
      <xdr:rowOff>0</xdr:rowOff>
    </xdr:from>
    <xdr:to>
      <xdr:col>20</xdr:col>
      <xdr:colOff>599657</xdr:colOff>
      <xdr:row>61</xdr:row>
      <xdr:rowOff>9203</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0972800" y="7886700"/>
          <a:ext cx="3342857" cy="2580953"/>
        </a:xfrm>
        <a:prstGeom prst="rect">
          <a:avLst/>
        </a:prstGeom>
      </xdr:spPr>
    </xdr:pic>
    <xdr:clientData/>
  </xdr:twoCellAnchor>
  <xdr:twoCellAnchor editAs="oneCell">
    <xdr:from>
      <xdr:col>21</xdr:col>
      <xdr:colOff>0</xdr:colOff>
      <xdr:row>0</xdr:row>
      <xdr:rowOff>0</xdr:rowOff>
    </xdr:from>
    <xdr:to>
      <xdr:col>25</xdr:col>
      <xdr:colOff>609181</xdr:colOff>
      <xdr:row>24</xdr:row>
      <xdr:rowOff>56629</xdr:rowOff>
    </xdr:to>
    <xdr:pic>
      <xdr:nvPicPr>
        <xdr:cNvPr id="24" name="图片 23"/>
        <xdr:cNvPicPr>
          <a:picLocks noChangeAspect="1"/>
        </xdr:cNvPicPr>
      </xdr:nvPicPr>
      <xdr:blipFill>
        <a:blip xmlns:r="http://schemas.openxmlformats.org/officeDocument/2006/relationships" r:embed="rId23"/>
        <a:stretch>
          <a:fillRect/>
        </a:stretch>
      </xdr:blipFill>
      <xdr:spPr>
        <a:xfrm>
          <a:off x="14401800" y="0"/>
          <a:ext cx="3352381" cy="4171429"/>
        </a:xfrm>
        <a:prstGeom prst="rect">
          <a:avLst/>
        </a:prstGeom>
      </xdr:spPr>
    </xdr:pic>
    <xdr:clientData/>
  </xdr:twoCellAnchor>
  <xdr:twoCellAnchor editAs="oneCell">
    <xdr:from>
      <xdr:col>26</xdr:col>
      <xdr:colOff>0</xdr:colOff>
      <xdr:row>0</xdr:row>
      <xdr:rowOff>0</xdr:rowOff>
    </xdr:from>
    <xdr:to>
      <xdr:col>30</xdr:col>
      <xdr:colOff>513943</xdr:colOff>
      <xdr:row>29</xdr:row>
      <xdr:rowOff>113665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17830800" y="0"/>
          <a:ext cx="3257143" cy="5085715"/>
        </a:xfrm>
        <a:prstGeom prst="rect">
          <a:avLst/>
        </a:prstGeom>
      </xdr:spPr>
    </xdr:pic>
    <xdr:clientData/>
  </xdr:twoCellAnchor>
  <xdr:twoCellAnchor editAs="oneCell">
    <xdr:from>
      <xdr:col>21</xdr:col>
      <xdr:colOff>0</xdr:colOff>
      <xdr:row>29</xdr:row>
      <xdr:rowOff>0</xdr:rowOff>
    </xdr:from>
    <xdr:to>
      <xdr:col>25</xdr:col>
      <xdr:colOff>590134</xdr:colOff>
      <xdr:row>59</xdr:row>
      <xdr:rowOff>8881</xdr:rowOff>
    </xdr:to>
    <xdr:pic>
      <xdr:nvPicPr>
        <xdr:cNvPr id="26" name="图片 25"/>
        <xdr:cNvPicPr>
          <a:picLocks noChangeAspect="1"/>
        </xdr:cNvPicPr>
      </xdr:nvPicPr>
      <xdr:blipFill>
        <a:blip xmlns:r="http://schemas.openxmlformats.org/officeDocument/2006/relationships" r:embed="rId25"/>
        <a:stretch>
          <a:fillRect/>
        </a:stretch>
      </xdr:blipFill>
      <xdr:spPr>
        <a:xfrm>
          <a:off x="14401800" y="4972050"/>
          <a:ext cx="3333334" cy="5152381"/>
        </a:xfrm>
        <a:prstGeom prst="rect">
          <a:avLst/>
        </a:prstGeom>
      </xdr:spPr>
    </xdr:pic>
    <xdr:clientData/>
  </xdr:twoCellAnchor>
  <xdr:twoCellAnchor editAs="oneCell">
    <xdr:from>
      <xdr:col>26</xdr:col>
      <xdr:colOff>0</xdr:colOff>
      <xdr:row>30</xdr:row>
      <xdr:rowOff>0</xdr:rowOff>
    </xdr:from>
    <xdr:to>
      <xdr:col>30</xdr:col>
      <xdr:colOff>628229</xdr:colOff>
      <xdr:row>53</xdr:row>
      <xdr:rowOff>56650</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7830800" y="5143500"/>
          <a:ext cx="3371429" cy="4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map.sogou.com/t/YQ6X3m" TargetMode="External"/><Relationship Id="rId1" Type="http://schemas.openxmlformats.org/officeDocument/2006/relationships/hyperlink" Target="http://map.sogou.com/t/sc6XSg"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北京市大兴区西红门镇3号地块内“星光影视园·北区”项目B5组团B5-1办公楼等6幢办公用房房地产抵押价值预评估</v>
      </c>
    </row>
    <row r="3" spans="1:2" s="1362" customFormat="1">
      <c r="A3" s="1360" t="s">
        <v>1188</v>
      </c>
      <c r="B3" s="1361" t="str">
        <f>'预评函-封皮'!B40</f>
        <v>北京博豪新创文化发展有限公司</v>
      </c>
    </row>
    <row r="4" spans="1:2" s="1362" customFormat="1">
      <c r="A4" s="1360" t="s">
        <v>1189</v>
      </c>
      <c r="B4" s="1361" t="str">
        <f ca="1">'预评函-封皮'!B46</f>
        <v>吴薇（注册号：1419970001)、郑燚（注册号：1120070131)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受贵公司委托，我公司对北京市大兴区西红门镇3号地块内“星光影视园·北区”项目B5组团B5-1办公楼等6幢办公用房房地产抵押价值进行了预评估。</v>
      </c>
    </row>
    <row r="7" spans="1:2" s="1362" customFormat="1">
      <c r="A7" s="1360" t="s">
        <v>1231</v>
      </c>
      <c r="B7" s="1361" t="str">
        <f>'预评函-1'!A7</f>
        <v>估价对象为北京市大兴区西红门镇3号地块内“星光影视园·北区”项目B5组团B5-1办公楼等6幢办公用房房地产，为北京博豪新创文化发展有限公司所有。根据《国有土地使用证》[]，估价对象（分摊）出让国有建设用地使用权面积为8832.8平方米，建筑面积为11601.22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大兴区西红门镇3号地块内“星光影视园·北区”项目B5组团B5-1办公楼等6幢办公用房房地产,属北京博豪新创文化发展有限公司开发建设的商业项目，该项目尚在开发建设中。根据《国有土地使用证》[]，估价对象（分摊）出让国有建设用地使用权面积为8832.8平方米，规划建筑面积为11601.22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为估价委托人在向华夏银行股份有限公司北京大兴支行办理贷款手续过程中，确定房地产抵押贷款额度提供参考依据而评估房地产抵押价值。</v>
      </c>
    </row>
    <row r="12" spans="1:2" s="1362" customFormat="1">
      <c r="A12" s="1360" t="s">
        <v>1193</v>
      </c>
      <c r="B12" s="1361" t="str">
        <f>'预评函-1'!A15</f>
        <v>2021年4月13日（评估专业人员实地查勘之日）</v>
      </c>
    </row>
    <row r="13" spans="1:2" s="1362" customFormat="1">
      <c r="A13" s="1360" t="s">
        <v>1194</v>
      </c>
      <c r="B13" s="1361" t="str">
        <f>'预评函-1'!A18</f>
        <v>本次估价的“房地产价值”是指在正常市场情况下，在价值时点2021年4月13日，估价对象规划用途为办公，土地取得方式为出让，出让国有建设用地使用权剩余土地使用年限为办公，假定未设立法定优先受偿款下的房地产市场价值。</v>
      </c>
    </row>
    <row r="14" spans="1:2" s="1362" customFormat="1">
      <c r="A14" s="1360" t="s">
        <v>1195</v>
      </c>
      <c r="B14" s="1361" t="str">
        <f>'预评函-1'!A19</f>
        <v>其中，“出让国有建设用地使用权价值”是指估价对象用途为办公，实际开发程度为宗地红线外“七通”（即通路、通电、通讯、通上水、通下水、、）、红线内场地平整条件下，剩余土地使用年限为办公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26899</v>
      </c>
    </row>
    <row r="21" spans="1:2" s="1362" customFormat="1">
      <c r="A21" s="1360" t="s">
        <v>1202</v>
      </c>
      <c r="B21" s="1361">
        <f ca="1">'预评函-2'!D7</f>
        <v>23186</v>
      </c>
    </row>
    <row r="22" spans="1:2" s="1362" customFormat="1">
      <c r="A22" s="1360" t="s">
        <v>1203</v>
      </c>
      <c r="B22" s="1361" t="str">
        <f ca="1">'预评函-2'!D6</f>
        <v>贰亿陆仟捌佰玖拾玖万元整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26899</v>
      </c>
    </row>
    <row r="31" spans="1:2" s="1362" customFormat="1">
      <c r="A31" s="1360" t="s">
        <v>1241</v>
      </c>
      <c r="B31" s="1361">
        <f ca="1">'预评函-2'!D15</f>
        <v>23186</v>
      </c>
    </row>
    <row r="32" spans="1:2" s="1362" customFormat="1">
      <c r="A32" s="1360" t="s">
        <v>1208</v>
      </c>
      <c r="B32" s="1361" t="str">
        <f ca="1">'预评函-2'!D14</f>
        <v>贰亿陆仟捌佰玖拾玖万元整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北京市大兴区西红门镇3号地块内“星光影视园·北区”项目B5组团B5-1办公楼等6幢办公用房房地产</v>
      </c>
    </row>
    <row r="42" spans="1:2" s="1362" customFormat="1">
      <c r="A42" s="1360" t="s">
        <v>1255</v>
      </c>
      <c r="B42" s="1361" t="str">
        <f>'预评函-3'!B2</f>
        <v>建筑面积</v>
      </c>
    </row>
    <row r="43" spans="1:2" s="1362" customFormat="1">
      <c r="A43" s="1360" t="s">
        <v>1256</v>
      </c>
      <c r="B43" s="1361">
        <f>'预评函-3'!B4</f>
        <v>11601.220000000001</v>
      </c>
    </row>
    <row r="44" spans="1:2" s="1362" customFormat="1">
      <c r="A44" s="1360" t="s">
        <v>1240</v>
      </c>
      <c r="B44" s="1361" t="str">
        <f>'预评函-3'!C2</f>
        <v>(分摊)土地面积</v>
      </c>
    </row>
    <row r="45" spans="1:2" s="1362" customFormat="1">
      <c r="A45" s="1360" t="s">
        <v>1212</v>
      </c>
      <c r="B45" s="1361">
        <f>'预评函-3'!C4</f>
        <v>8832.7999999999993</v>
      </c>
    </row>
    <row r="46" spans="1:2" s="1362" customFormat="1">
      <c r="A46" s="1360" t="s">
        <v>1238</v>
      </c>
      <c r="B46" s="1361" t="str">
        <f>'预评函-3'!D2</f>
        <v>出让国有建设用地使用权价值</v>
      </c>
    </row>
    <row r="47" spans="1:2" s="1362" customFormat="1">
      <c r="A47" s="1360" t="s">
        <v>1213</v>
      </c>
      <c r="B47" s="1361">
        <f ca="1">'预评函-3'!D4</f>
        <v>22703</v>
      </c>
    </row>
    <row r="48" spans="1:2" s="1362" customFormat="1">
      <c r="A48" s="1360" t="s">
        <v>1214</v>
      </c>
      <c r="B48" s="1361">
        <f ca="1">'预评函-3'!E4</f>
        <v>19569</v>
      </c>
    </row>
    <row r="49" spans="1:2" s="1362" customFormat="1">
      <c r="A49" s="1360" t="s">
        <v>1215</v>
      </c>
      <c r="B49" s="1361" t="str">
        <f ca="1">'预评函-3'!D5</f>
        <v>贰亿贰仟柒佰零叁万元整</v>
      </c>
    </row>
    <row r="50" spans="1:2" s="1362" customFormat="1">
      <c r="A50" s="1360" t="s">
        <v>1239</v>
      </c>
      <c r="B50" s="1361" t="str">
        <f>'预评函-3'!F2</f>
        <v>建筑物价值</v>
      </c>
    </row>
    <row r="51" spans="1:2" s="1362" customFormat="1">
      <c r="A51" s="1360" t="s">
        <v>1216</v>
      </c>
      <c r="B51" s="1361">
        <f ca="1">'预评函-3'!F4</f>
        <v>4196</v>
      </c>
    </row>
    <row r="52" spans="1:2" s="1362" customFormat="1">
      <c r="A52" s="1360" t="s">
        <v>1217</v>
      </c>
      <c r="B52" s="1361">
        <f ca="1">'预评函-3'!G4</f>
        <v>3617</v>
      </c>
    </row>
    <row r="53" spans="1:2" s="1362" customFormat="1">
      <c r="A53" s="1360" t="s">
        <v>1245</v>
      </c>
      <c r="B53" s="1361" t="str">
        <f ca="1">'预评函-3'!F5</f>
        <v>肆仟壹佰玖拾陆万元整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3035</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为估价委托人在向华夏银行股份有限公司北京大兴支行办理贷款手续过程中，确定房地产抵押贷款额度提供参考依据而评估房地产抵押价值。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豪新创文化发展有限公司拟使用北京市大兴区西红门镇3号地块内“星光影视园·北区”项目B5组团B5-1办公楼等6幢办公用房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8"/>
      <c r="B54" s="1737" t="s">
        <v>832</v>
      </c>
      <c r="C54" s="1734" t="s">
        <v>1248</v>
      </c>
    </row>
    <row r="55" spans="1:4">
      <c r="A55" s="3108"/>
      <c r="B55" s="1737" t="s">
        <v>833</v>
      </c>
      <c r="C55" s="1734" t="s">
        <v>1249</v>
      </c>
    </row>
    <row r="56" spans="1:4">
      <c r="A56" s="3108"/>
      <c r="B56" s="1737" t="s">
        <v>834</v>
      </c>
      <c r="C56" s="1734" t="s">
        <v>1253</v>
      </c>
    </row>
    <row r="57" spans="1:4">
      <c r="A57" s="310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9" customWidth="1"/>
    <col min="12" max="13" width="10" style="2850"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2910</v>
      </c>
      <c r="B1" s="3109" t="str">
        <f>IF(B10="北京市","北京市",C10)&amp;F10&amp;IF(结果表!G1="在建","出让国有建设用地使用权及在建建筑物",IF(结果表!G1="土地","出让国有建设用地使用权",))&amp;B9&amp;"预评估"</f>
        <v>北京市大兴区西红门镇3号地块内“星光影视园·北区”项目B5组团B5-1办公楼等6幢办公用房房地产抵押价值预评估</v>
      </c>
      <c r="C1" s="3110"/>
      <c r="D1" s="3110"/>
      <c r="E1" s="3110"/>
      <c r="F1" s="3110"/>
      <c r="G1" s="3110"/>
      <c r="H1" s="3110"/>
      <c r="I1" s="3111"/>
      <c r="J1" s="2691"/>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北京市大兴区西红门镇3号地块内“星光影视园·北区”项目B5组团B5-1办公楼等6幢办公用房房地产抵押价值</v>
      </c>
      <c r="T1" s="1928"/>
      <c r="U1" s="1928"/>
      <c r="V1" s="1928"/>
      <c r="W1" s="1928"/>
      <c r="X1" s="1928"/>
      <c r="Y1" s="1928"/>
      <c r="Z1" s="1928"/>
      <c r="AA1" s="1928"/>
      <c r="AB1" s="1928"/>
    </row>
    <row r="2" spans="1:28">
      <c r="A2" s="2588" t="s">
        <v>2911</v>
      </c>
      <c r="B2" s="2592"/>
      <c r="C2" s="2593"/>
      <c r="D2" s="2893"/>
      <c r="E2" s="2883"/>
      <c r="F2" s="2883"/>
      <c r="G2" s="2884"/>
      <c r="H2" s="2884"/>
      <c r="I2" s="2884"/>
      <c r="J2" s="2691"/>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北京市大兴区西红门镇3号地块内“星光影视园·北区”项目B5组团B5-1办公楼等6幢办公用房房地产</v>
      </c>
      <c r="T2" s="1928"/>
      <c r="U2" s="1928"/>
      <c r="V2" s="1928"/>
      <c r="W2" s="1928"/>
      <c r="X2" s="1928"/>
      <c r="Y2" s="1928"/>
      <c r="Z2" s="1928"/>
      <c r="AA2" s="1928"/>
      <c r="AB2" s="1928"/>
    </row>
    <row r="3" spans="1:28">
      <c r="A3" s="306" t="s">
        <v>2912</v>
      </c>
      <c r="B3" s="2594">
        <v>44299</v>
      </c>
      <c r="C3" s="2595" t="s">
        <v>2913</v>
      </c>
      <c r="D3" s="2594">
        <f>B3</f>
        <v>44299</v>
      </c>
      <c r="E3" s="2884"/>
      <c r="F3" s="2884"/>
      <c r="G3" s="2884"/>
      <c r="H3" s="2884"/>
      <c r="I3" s="2884"/>
      <c r="J3" s="2691"/>
      <c r="K3" s="2589"/>
      <c r="L3" s="2590"/>
      <c r="M3" s="2590"/>
      <c r="N3" s="2591"/>
      <c r="O3" s="1759"/>
      <c r="P3" s="2591"/>
      <c r="Q3" s="2591"/>
      <c r="R3" s="2591"/>
      <c r="S3" s="1866"/>
      <c r="T3" s="1928"/>
      <c r="U3" s="1928"/>
      <c r="V3" s="1928"/>
      <c r="W3" s="1928"/>
      <c r="X3" s="1928"/>
      <c r="Y3" s="1928"/>
      <c r="Z3" s="1928"/>
      <c r="AA3" s="1928"/>
      <c r="AB3" s="1928"/>
    </row>
    <row r="4" spans="1:28" ht="13.5" thickBot="1">
      <c r="A4" s="1248" t="s">
        <v>2914</v>
      </c>
      <c r="B4" s="3065" t="s">
        <v>3230</v>
      </c>
      <c r="C4" s="2597">
        <f ca="1">SUMIF(注册房地产估价师,B4,估价师及机构信息!B3:B24)</f>
        <v>1419970001</v>
      </c>
      <c r="D4" s="2596" t="s">
        <v>3059</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9"/>
      <c r="K4" s="2599" t="str">
        <f ca="1">CONCATENATE(B4,"（注册号：",C4,")、",D4,"（注册号：",E4,")")</f>
        <v>吴薇（注册号：1419970001)、郑燚（注册号：1120070131)</v>
      </c>
      <c r="L4" s="2590"/>
      <c r="M4" s="2590"/>
      <c r="N4" s="2591"/>
      <c r="O4" s="1759"/>
      <c r="P4" s="2591"/>
      <c r="Q4" s="2591"/>
      <c r="R4" s="2591"/>
      <c r="S4" s="1866"/>
      <c r="T4" s="1928"/>
      <c r="U4" s="1928"/>
      <c r="V4" s="1928"/>
      <c r="W4" s="1928"/>
      <c r="X4" s="1928"/>
      <c r="Y4" s="1928"/>
      <c r="Z4" s="1928"/>
      <c r="AA4" s="1928"/>
      <c r="AB4" s="1928"/>
    </row>
    <row r="5" spans="1:28" ht="13.5" thickTop="1">
      <c r="A5" s="2600" t="s">
        <v>2915</v>
      </c>
      <c r="B5" s="3064" t="str">
        <f>B7</f>
        <v>北京博豪新创文化发展有限公司</v>
      </c>
      <c r="C5" s="2601"/>
      <c r="D5" s="2602"/>
      <c r="E5" s="2885"/>
      <c r="F5" s="2885"/>
      <c r="G5" s="2885"/>
      <c r="H5" s="2885"/>
      <c r="I5" s="2885"/>
      <c r="J5" s="2659"/>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3" t="s">
        <v>2916</v>
      </c>
      <c r="B6" s="3047" t="s">
        <v>3231</v>
      </c>
      <c r="C6" s="2604"/>
      <c r="D6" s="2605"/>
      <c r="E6" s="2883"/>
      <c r="F6" s="2885"/>
      <c r="G6" s="2885"/>
      <c r="H6" s="2885"/>
      <c r="I6" s="2885"/>
      <c r="J6" s="2659"/>
      <c r="K6" s="2835" t="str">
        <f>IF(COUNTIF(B6,"*上海银行*"),"上海银行","")</f>
        <v/>
      </c>
      <c r="L6" s="2833"/>
      <c r="M6" s="2833"/>
      <c r="N6" s="2659"/>
      <c r="O6" s="2670"/>
      <c r="P6" s="2659"/>
      <c r="Q6" s="2659"/>
      <c r="R6" s="2659"/>
    </row>
    <row r="7" spans="1:28">
      <c r="A7" s="2603" t="s">
        <v>2917</v>
      </c>
      <c r="B7" s="3047" t="s">
        <v>3229</v>
      </c>
      <c r="C7" s="2604"/>
      <c r="D7" s="2605"/>
      <c r="E7" s="2883"/>
      <c r="F7" s="2885"/>
      <c r="G7" s="2885"/>
      <c r="H7" s="2885"/>
      <c r="I7" s="2885"/>
      <c r="J7" s="2659"/>
      <c r="K7" s="2836"/>
      <c r="L7" s="2833"/>
      <c r="M7" s="2833"/>
      <c r="N7" s="2659"/>
      <c r="O7" s="2670"/>
      <c r="P7" s="2659"/>
      <c r="Q7" s="2659"/>
      <c r="R7" s="2659"/>
    </row>
    <row r="8" spans="1:28">
      <c r="A8" s="2606" t="s">
        <v>2918</v>
      </c>
      <c r="B8" s="2607" t="s">
        <v>3060</v>
      </c>
      <c r="C8" s="2608"/>
      <c r="D8" s="3112" t="s">
        <v>2919</v>
      </c>
      <c r="E8" s="2609" t="s">
        <v>3061</v>
      </c>
      <c r="F8" s="2610"/>
      <c r="G8" s="2884"/>
      <c r="H8" s="2884"/>
      <c r="I8" s="2884"/>
      <c r="J8" s="2659"/>
      <c r="K8" s="2834"/>
      <c r="L8" s="2833"/>
      <c r="M8" s="2833"/>
      <c r="N8" s="2659"/>
      <c r="O8" s="2670"/>
      <c r="P8" s="2659"/>
      <c r="Q8" s="2659"/>
      <c r="R8" s="2659"/>
    </row>
    <row r="9" spans="1:28" ht="13.5" thickBot="1">
      <c r="A9" s="2611" t="s">
        <v>2920</v>
      </c>
      <c r="B9" s="2612" t="s">
        <v>3061</v>
      </c>
      <c r="C9" s="2613"/>
      <c r="D9" s="3113"/>
      <c r="E9" s="2612"/>
      <c r="F9" s="2614"/>
      <c r="G9" s="2886"/>
      <c r="H9" s="2886"/>
      <c r="I9" s="2886"/>
      <c r="J9" s="2659"/>
      <c r="K9" s="2836"/>
      <c r="L9" s="2833"/>
      <c r="M9" s="2833"/>
      <c r="N9" s="2659"/>
      <c r="O9" s="2670"/>
      <c r="P9" s="2659"/>
      <c r="Q9" s="2659"/>
      <c r="R9" s="2659"/>
    </row>
    <row r="10" spans="1:28" ht="13.5" thickTop="1">
      <c r="A10" s="2615" t="s">
        <v>2921</v>
      </c>
      <c r="B10" s="2616" t="s">
        <v>3062</v>
      </c>
      <c r="C10" s="2617"/>
      <c r="D10" s="2602"/>
      <c r="E10" s="2618" t="s">
        <v>2922</v>
      </c>
      <c r="F10" s="2887" t="s">
        <v>3225</v>
      </c>
      <c r="G10" s="2888"/>
      <c r="H10" s="2889"/>
      <c r="I10" s="2890"/>
      <c r="J10" s="2659"/>
      <c r="K10" s="2836"/>
      <c r="L10" s="2833"/>
      <c r="M10" s="2833"/>
      <c r="N10" s="2659"/>
      <c r="O10" s="2670"/>
      <c r="P10" s="2659"/>
      <c r="Q10" s="2659"/>
      <c r="R10" s="2659"/>
    </row>
    <row r="11" spans="1:28" ht="38.25">
      <c r="A11" s="2619" t="s">
        <v>2923</v>
      </c>
      <c r="B11" s="2620" t="s">
        <v>3063</v>
      </c>
      <c r="C11" s="2621" t="str">
        <f>B7</f>
        <v>北京博豪新创文化发展有限公司</v>
      </c>
      <c r="D11" s="2622"/>
      <c r="E11" s="2591"/>
      <c r="F11" s="2591"/>
      <c r="G11" s="2591"/>
      <c r="H11" s="2591"/>
      <c r="I11" s="2591"/>
      <c r="J11" s="2659"/>
      <c r="K11" s="2836"/>
      <c r="L11" s="2833"/>
      <c r="M11" s="2833"/>
      <c r="N11" s="2659"/>
      <c r="O11" s="2670"/>
      <c r="P11" s="2659"/>
      <c r="Q11" s="2659"/>
      <c r="R11" s="2659"/>
    </row>
    <row r="12" spans="1:28">
      <c r="A12" s="2623" t="s">
        <v>2924</v>
      </c>
      <c r="B12" s="2620" t="s">
        <v>3064</v>
      </c>
      <c r="C12" s="327"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9"/>
      <c r="B13" s="2625"/>
      <c r="C13" s="2626" t="s">
        <v>2932</v>
      </c>
      <c r="D13" s="963"/>
      <c r="E13" s="963">
        <v>57769</v>
      </c>
      <c r="F13" s="963">
        <v>57769</v>
      </c>
      <c r="G13" s="963"/>
      <c r="H13" s="963"/>
      <c r="I13" s="963"/>
      <c r="J13" s="2659"/>
      <c r="K13" s="2836"/>
      <c r="L13" s="2833"/>
      <c r="M13" s="2833"/>
      <c r="N13" s="2659"/>
      <c r="O13" s="2670"/>
      <c r="P13" s="2659"/>
      <c r="Q13" s="2659"/>
      <c r="R13" s="2659"/>
    </row>
    <row r="14" spans="1:28">
      <c r="A14" s="1239"/>
      <c r="B14" s="2625"/>
      <c r="C14" s="2626" t="s">
        <v>2933</v>
      </c>
      <c r="D14" s="2627"/>
      <c r="E14" s="2627">
        <v>40</v>
      </c>
      <c r="F14" s="2627">
        <v>40</v>
      </c>
      <c r="G14" s="2627"/>
      <c r="H14" s="2627"/>
      <c r="I14" s="2627"/>
      <c r="J14" s="2659"/>
      <c r="K14" s="2837"/>
      <c r="L14" s="2833"/>
      <c r="M14" s="2833"/>
      <c r="N14" s="2659"/>
      <c r="O14" s="2670"/>
      <c r="P14" s="2659"/>
      <c r="Q14" s="2659"/>
      <c r="R14" s="2659"/>
    </row>
    <row r="15" spans="1:28">
      <c r="A15" s="324"/>
      <c r="B15" s="2628"/>
      <c r="C15" s="2629" t="s">
        <v>2934</v>
      </c>
      <c r="D15" s="2630" t="str">
        <f>IF(B12="出让",IF(D13="","",ROUNDDOWN(MIN((D13-$D$3)/365,D14),2)),D14)</f>
        <v/>
      </c>
      <c r="E15" s="2630">
        <f>IF(B12="出让",IF(E13="","",ROUNDDOWN(MIN((E13-$D$3)/365,E14),2)),E14)</f>
        <v>36.9</v>
      </c>
      <c r="F15" s="2630">
        <f>IF(B12="出让",IF(F13="","",ROUNDDOWN(MIN((F13-$D$3)/365,F14),2)),F14)</f>
        <v>36.9</v>
      </c>
      <c r="G15" s="2630" t="str">
        <f>IF(B12="出让",IF(G13="","",ROUNDDOWN(MIN((G13-$D$3)/365,G14),2)),G14)</f>
        <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2935</v>
      </c>
      <c r="B16" s="3119" t="s">
        <v>3065</v>
      </c>
      <c r="C16" s="3120"/>
      <c r="D16" s="3121"/>
      <c r="E16" s="2633" t="s">
        <v>2936</v>
      </c>
      <c r="F16" s="3122" t="s">
        <v>3065</v>
      </c>
      <c r="G16" s="3123"/>
      <c r="H16" s="3123"/>
      <c r="I16" s="3124"/>
      <c r="J16" s="2659"/>
      <c r="K16" s="2838"/>
      <c r="L16" s="2671"/>
      <c r="M16" s="2671"/>
      <c r="N16" s="2729"/>
      <c r="O16" s="2671"/>
      <c r="P16" s="2729"/>
      <c r="Q16" s="2659"/>
      <c r="R16" s="2659"/>
    </row>
    <row r="17" spans="1:28">
      <c r="A17" s="317" t="s">
        <v>2937</v>
      </c>
      <c r="B17" s="306" t="s">
        <v>2938</v>
      </c>
      <c r="C17" s="11">
        <f>'数据-汇总表'!E3</f>
        <v>11601.220000000001</v>
      </c>
      <c r="D17" s="2542" t="s">
        <v>2939</v>
      </c>
      <c r="E17" s="3125" t="s">
        <v>2940</v>
      </c>
      <c r="F17" s="3126"/>
      <c r="G17" s="3126"/>
      <c r="H17" s="3126"/>
      <c r="I17" s="3127"/>
      <c r="J17" s="2659"/>
      <c r="K17" s="2839"/>
      <c r="L17" s="2671"/>
      <c r="M17" s="2671"/>
      <c r="N17" s="2729"/>
      <c r="O17" s="2671"/>
      <c r="P17" s="2729"/>
      <c r="Q17" s="2659"/>
      <c r="R17" s="2659"/>
      <c r="S17" s="2659"/>
      <c r="T17" s="2659"/>
      <c r="U17" s="2659"/>
      <c r="V17" s="2659"/>
    </row>
    <row r="18" spans="1:28" ht="24.75" thickBot="1">
      <c r="A18" s="2634" t="s">
        <v>2941</v>
      </c>
      <c r="B18" s="1248" t="s">
        <v>2942</v>
      </c>
      <c r="C18" s="2635">
        <f>'数据-汇总表'!D3</f>
        <v>8832.7999999999993</v>
      </c>
      <c r="D18" s="1250" t="s">
        <v>2943</v>
      </c>
      <c r="E18" s="3128" t="s">
        <v>2944</v>
      </c>
      <c r="F18" s="3129"/>
      <c r="G18" s="3129"/>
      <c r="H18" s="3129"/>
      <c r="I18" s="3130"/>
      <c r="J18" s="2659"/>
      <c r="K18" s="2839"/>
      <c r="L18" s="2671"/>
      <c r="M18" s="2671"/>
      <c r="N18" s="2729"/>
      <c r="O18" s="2671"/>
      <c r="P18" s="2729"/>
      <c r="Q18" s="2659"/>
      <c r="R18" s="2659"/>
      <c r="S18" s="2659"/>
      <c r="T18" s="2659"/>
      <c r="U18" s="2659"/>
      <c r="V18" s="2659"/>
    </row>
    <row r="19" spans="1:28" ht="37.5" thickTop="1" thickBot="1">
      <c r="A19" s="331" t="s">
        <v>1741</v>
      </c>
      <c r="B19" s="311" t="s">
        <v>2945</v>
      </c>
      <c r="C19" s="1746" t="s">
        <v>3066</v>
      </c>
      <c r="D19" s="1747" t="s">
        <v>2946</v>
      </c>
      <c r="E19" s="1748" t="s">
        <v>3066</v>
      </c>
      <c r="F19" s="1749" t="str">
        <f>IF(AND(C19="是",E19="否"),"是否提供他项权证或相关说明","")</f>
        <v/>
      </c>
      <c r="G19" s="1750"/>
      <c r="H19" s="2885"/>
      <c r="I19" s="2885"/>
      <c r="J19" s="2659"/>
      <c r="K19" s="2836"/>
      <c r="L19" s="2833"/>
      <c r="M19" s="2833"/>
      <c r="N19" s="2729"/>
      <c r="O19" s="2671"/>
      <c r="P19" s="2729"/>
      <c r="Q19" s="2659"/>
      <c r="R19" s="2659"/>
      <c r="S19" s="2659"/>
      <c r="T19" s="2659"/>
      <c r="U19" s="2659"/>
      <c r="V19" s="2659"/>
    </row>
    <row r="20" spans="1:28">
      <c r="A20" s="2853" t="s">
        <v>2947</v>
      </c>
      <c r="B20" s="3115" t="s">
        <v>2948</v>
      </c>
      <c r="C20" s="3116"/>
      <c r="D20" s="3117" t="s">
        <v>2949</v>
      </c>
      <c r="E20" s="3118"/>
      <c r="F20" s="2868" t="s">
        <v>1742</v>
      </c>
      <c r="G20" s="2885"/>
      <c r="H20" s="2885"/>
      <c r="I20" s="2885"/>
      <c r="J20" s="2659"/>
      <c r="K20" s="3114" t="s">
        <v>2950</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2"/>
      <c r="O20" s="2631"/>
      <c r="P20" s="2632"/>
      <c r="Q20" s="2591"/>
      <c r="R20" s="2591"/>
      <c r="S20" s="2591"/>
      <c r="T20" s="2591"/>
      <c r="U20" s="2591"/>
      <c r="V20" s="2591"/>
      <c r="W20" s="1928"/>
      <c r="X20" s="1928"/>
      <c r="Y20" s="1928"/>
      <c r="Z20" s="1928"/>
      <c r="AA20" s="1928"/>
      <c r="AB20" s="1928"/>
    </row>
    <row r="21" spans="1:28" ht="24.75" thickBot="1">
      <c r="A21" s="2853"/>
      <c r="B21" s="2854" t="s">
        <v>2951</v>
      </c>
      <c r="C21" s="2855" t="s">
        <v>1743</v>
      </c>
      <c r="D21" s="1751" t="s">
        <v>2952</v>
      </c>
      <c r="E21" s="2856" t="s">
        <v>1743</v>
      </c>
      <c r="F21" s="2869"/>
      <c r="G21" s="2885"/>
      <c r="H21" s="2885"/>
      <c r="I21" s="2885"/>
      <c r="J21" s="2659"/>
      <c r="K21" s="311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0"/>
      <c r="N21" s="2632"/>
      <c r="O21" s="2631"/>
      <c r="P21" s="2632"/>
      <c r="Q21" s="2591"/>
      <c r="R21" s="2591"/>
      <c r="S21" s="2591"/>
      <c r="T21" s="2591"/>
      <c r="U21" s="2591"/>
      <c r="V21" s="2591"/>
      <c r="W21" s="1928"/>
      <c r="X21" s="1928"/>
      <c r="Y21" s="1928"/>
      <c r="Z21" s="1928"/>
      <c r="AA21" s="1928"/>
      <c r="AB21" s="1928"/>
    </row>
    <row r="22" spans="1:28" ht="24.75" thickBot="1">
      <c r="A22" s="2853"/>
      <c r="B22" s="2857" t="s">
        <v>2953</v>
      </c>
      <c r="C22" s="2855" t="s">
        <v>1744</v>
      </c>
      <c r="D22" s="2884"/>
      <c r="E22" s="2884"/>
      <c r="F22" s="2884"/>
      <c r="G22" s="2885"/>
      <c r="H22" s="2885"/>
      <c r="I22" s="2885"/>
      <c r="J22" s="2659"/>
      <c r="K22" s="311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2"/>
      <c r="O22" s="2631"/>
      <c r="P22" s="2632"/>
      <c r="Q22" s="2591"/>
      <c r="R22" s="2591"/>
      <c r="S22" s="2591"/>
      <c r="T22" s="2591"/>
      <c r="U22" s="2591"/>
      <c r="V22" s="2591"/>
      <c r="W22" s="1928"/>
      <c r="X22" s="1928"/>
      <c r="Y22" s="1928"/>
      <c r="Z22" s="1928"/>
      <c r="AA22" s="1928"/>
      <c r="AB22" s="1928"/>
    </row>
    <row r="23" spans="1:28">
      <c r="A23" s="2858" t="s">
        <v>2954</v>
      </c>
      <c r="B23" s="2722" t="s">
        <v>2955</v>
      </c>
      <c r="C23" s="2859"/>
      <c r="D23" s="2860" t="s">
        <v>2955</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32" t="s">
        <v>2956</v>
      </c>
      <c r="B27" s="324" t="s">
        <v>2957</v>
      </c>
      <c r="C27" s="2636" t="s">
        <v>3067</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132"/>
      <c r="B28" s="306" t="s">
        <v>2958</v>
      </c>
      <c r="C28" s="2638" t="s">
        <v>3068</v>
      </c>
      <c r="D28" s="2639"/>
      <c r="E28" s="2885"/>
      <c r="F28" s="2885"/>
      <c r="G28" s="2885"/>
      <c r="H28" s="2885"/>
      <c r="I28" s="2885"/>
      <c r="J28" s="2659"/>
      <c r="K28" s="2836"/>
      <c r="L28" s="2833"/>
      <c r="M28" s="2833"/>
      <c r="N28" s="2659"/>
      <c r="O28" s="2670"/>
      <c r="P28" s="2659"/>
      <c r="Q28" s="2659"/>
      <c r="R28" s="2659"/>
      <c r="S28" s="2659"/>
      <c r="T28" s="2659"/>
      <c r="U28" s="2659"/>
      <c r="V28" s="2659"/>
    </row>
    <row r="29" spans="1:28">
      <c r="A29" s="3132"/>
      <c r="B29" s="306" t="s">
        <v>2959</v>
      </c>
      <c r="C29" s="2640" t="s">
        <v>3066</v>
      </c>
      <c r="D29" s="2641"/>
      <c r="E29" s="2885"/>
      <c r="F29" s="2885"/>
      <c r="G29" s="2885"/>
      <c r="H29" s="2885"/>
      <c r="I29" s="2885"/>
      <c r="J29" s="2659"/>
      <c r="K29" s="2836"/>
      <c r="L29" s="2833"/>
      <c r="M29" s="2833"/>
      <c r="N29" s="2659"/>
      <c r="O29" s="2670"/>
      <c r="P29" s="2659"/>
      <c r="Q29" s="2659"/>
      <c r="R29" s="2659"/>
      <c r="S29" s="2659"/>
      <c r="T29" s="2659"/>
      <c r="U29" s="2659"/>
      <c r="V29" s="2659"/>
    </row>
    <row r="30" spans="1:28">
      <c r="A30" s="3133"/>
      <c r="B30" s="306" t="s">
        <v>2960</v>
      </c>
      <c r="C30" s="3134"/>
      <c r="D30" s="3135"/>
      <c r="E30" s="2885"/>
      <c r="F30" s="2885"/>
      <c r="G30" s="2885"/>
      <c r="H30" s="2885"/>
      <c r="I30" s="2885"/>
      <c r="J30" s="2659"/>
      <c r="K30" s="2836"/>
      <c r="L30" s="2833"/>
      <c r="M30" s="2833"/>
      <c r="N30" s="2659"/>
      <c r="O30" s="2670"/>
      <c r="P30" s="2659"/>
      <c r="Q30" s="2659"/>
      <c r="R30" s="2659"/>
      <c r="S30" s="2659"/>
      <c r="T30" s="2659"/>
      <c r="U30" s="2659"/>
      <c r="V30" s="2659"/>
    </row>
    <row r="31" spans="1:28">
      <c r="A31" s="3136" t="s">
        <v>2961</v>
      </c>
      <c r="B31" s="2642" t="s">
        <v>3069</v>
      </c>
      <c r="C31" s="2543" t="str">
        <f>IF(B31="现房","成新及维护状况正常否",IF(B31="在建","工程状态是否正常",IF(B31="土地","是否闲置","-")))</f>
        <v>成新及维护状况正常否</v>
      </c>
      <c r="D31" s="1555"/>
      <c r="E31" s="2643"/>
      <c r="F31" s="2885"/>
      <c r="G31" s="2885"/>
      <c r="H31" s="2885"/>
      <c r="I31" s="2885"/>
      <c r="J31" s="2659"/>
      <c r="K31" s="2835"/>
      <c r="L31" s="2833"/>
      <c r="M31" s="2833"/>
      <c r="N31" s="2659"/>
      <c r="O31" s="2670"/>
      <c r="P31" s="2659"/>
      <c r="Q31" s="2659"/>
      <c r="R31" s="2659"/>
      <c r="S31" s="2659"/>
      <c r="T31" s="2659"/>
      <c r="U31" s="2659"/>
      <c r="V31" s="2659"/>
    </row>
    <row r="32" spans="1:28">
      <c r="A32" s="3137"/>
      <c r="B32" s="2642"/>
      <c r="C32" s="2543" t="str">
        <f>IF(B32="现房","成新及维护状况是否正常",IF(B32="在建","工程状态是否正常",IF(B32="土地","是否闲置","-")))</f>
        <v>-</v>
      </c>
      <c r="D32" s="1555"/>
      <c r="E32" s="2643"/>
      <c r="F32" s="2885"/>
      <c r="G32" s="2885"/>
      <c r="H32" s="2885"/>
      <c r="I32" s="2885"/>
      <c r="J32" s="2659"/>
      <c r="K32" s="2836"/>
      <c r="L32" s="2833"/>
      <c r="M32" s="2833"/>
      <c r="N32" s="2659"/>
      <c r="O32" s="2670"/>
      <c r="P32" s="2659"/>
      <c r="Q32" s="2659"/>
      <c r="R32" s="2659"/>
      <c r="S32" s="2659"/>
      <c r="T32" s="2659"/>
      <c r="U32" s="2659"/>
      <c r="V32" s="2659"/>
    </row>
    <row r="33" spans="1:30">
      <c r="A33" s="3137"/>
      <c r="B33" s="2645"/>
      <c r="C33" s="1773" t="str">
        <f>IF(B33="现房","成新及维护状况是否正常",IF(B33="在建","工程状态是否正常",IF(B33="土地","是否闲置","-")))</f>
        <v>-</v>
      </c>
      <c r="D33" s="1547"/>
      <c r="E33" s="2646"/>
      <c r="F33" s="2885"/>
      <c r="G33" s="2885"/>
      <c r="H33" s="2885"/>
      <c r="I33" s="2885"/>
      <c r="J33" s="2659"/>
      <c r="K33" s="2836"/>
      <c r="L33" s="2833"/>
      <c r="M33" s="2833"/>
      <c r="N33" s="2659"/>
      <c r="O33" s="2670"/>
      <c r="P33" s="2659"/>
      <c r="Q33" s="2659"/>
      <c r="R33" s="2659"/>
      <c r="S33" s="2659"/>
      <c r="T33" s="2659"/>
      <c r="U33" s="2659"/>
      <c r="V33" s="2659"/>
    </row>
    <row r="34" spans="1:30">
      <c r="A34" s="306" t="s">
        <v>2962</v>
      </c>
      <c r="B34" s="2211" t="s">
        <v>3070</v>
      </c>
      <c r="C34" s="2211" t="s">
        <v>3071</v>
      </c>
      <c r="D34" s="2211" t="s">
        <v>3072</v>
      </c>
      <c r="E34" s="2211" t="s">
        <v>3073</v>
      </c>
      <c r="F34" s="2211" t="s">
        <v>3074</v>
      </c>
      <c r="G34" s="2211"/>
      <c r="H34" s="2211"/>
      <c r="I34" s="2885"/>
      <c r="J34" s="2659"/>
      <c r="K34" s="2647">
        <f>COUNTIF(B34:H34,"——")</f>
        <v>0</v>
      </c>
      <c r="L34" s="327" t="s">
        <v>2963</v>
      </c>
      <c r="M34" s="327" t="s">
        <v>2964</v>
      </c>
      <c r="N34" s="327" t="s">
        <v>2965</v>
      </c>
      <c r="O34" s="327" t="s">
        <v>2966</v>
      </c>
      <c r="P34" s="327" t="s">
        <v>2967</v>
      </c>
      <c r="Q34" s="327" t="s">
        <v>2968</v>
      </c>
      <c r="R34" s="327" t="s">
        <v>2969</v>
      </c>
      <c r="S34" s="3131" t="s">
        <v>2970</v>
      </c>
      <c r="T34" s="2648" t="str">
        <f>NUMBERSTRING(7-K34,1)&amp;"通"</f>
        <v>七通</v>
      </c>
      <c r="U34" s="2659"/>
      <c r="V34" s="2659"/>
    </row>
    <row r="35" spans="1:30">
      <c r="A35" s="2649"/>
      <c r="B35" s="3138" t="s">
        <v>2971</v>
      </c>
      <c r="C35" s="3138"/>
      <c r="D35" s="3138"/>
      <c r="E35" s="3138"/>
      <c r="F35" s="671">
        <f>C10</f>
        <v>0</v>
      </c>
      <c r="G35" s="2885"/>
      <c r="H35" s="2885"/>
      <c r="I35" s="2885"/>
      <c r="J35" s="2659"/>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v>
      </c>
      <c r="R35" s="333" t="str">
        <f>B34&amp;"、"&amp;C34&amp;"、"&amp;D34&amp;"、"&amp;E34&amp;"、"&amp;F34&amp;"、"&amp;G34&amp;"、"&amp;H34</f>
        <v>通路、通电、通讯、通上水、通下水、、</v>
      </c>
      <c r="S35" s="3131"/>
      <c r="T35" s="333" t="str">
        <f>IF(T34="一通",L35,IF(T34="二通",M35,IF(T34="三通",N35,IF(T34="四通",O35,IF(T34="五通",P35,IF(T34="六通",Q35,R35))))))</f>
        <v>通路、通电、通讯、通上水、通下水、、</v>
      </c>
      <c r="U35" s="2659"/>
      <c r="V35" s="2659"/>
    </row>
    <row r="36" spans="1:30">
      <c r="A36" s="2650"/>
      <c r="B36" s="671" t="s">
        <v>2927</v>
      </c>
      <c r="C36" s="671" t="s">
        <v>2928</v>
      </c>
      <c r="D36" s="671" t="s">
        <v>2926</v>
      </c>
      <c r="E36" s="671" t="s">
        <v>2931</v>
      </c>
      <c r="F36" s="2891"/>
      <c r="G36" s="2885"/>
      <c r="H36" s="2885"/>
      <c r="I36" s="2885"/>
      <c r="J36" s="2659"/>
      <c r="K36" s="2836"/>
      <c r="L36" s="2833"/>
      <c r="M36" s="2833"/>
      <c r="N36" s="2659"/>
      <c r="O36" s="2670"/>
      <c r="P36" s="2659"/>
      <c r="Q36" s="2659"/>
      <c r="R36" s="2659"/>
      <c r="S36" s="2659"/>
      <c r="T36" s="2659"/>
      <c r="U36" s="2659"/>
      <c r="V36" s="2659"/>
    </row>
    <row r="37" spans="1:30">
      <c r="A37" s="2851" t="s">
        <v>2972</v>
      </c>
      <c r="B37" s="2651"/>
      <c r="C37" s="2651"/>
      <c r="D37" s="2651"/>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2973</v>
      </c>
      <c r="B38" s="2652"/>
      <c r="C38" s="2652"/>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1"/>
      <c r="B40" s="2591"/>
      <c r="C40" s="2591"/>
      <c r="D40" s="2591"/>
      <c r="E40" s="2591"/>
      <c r="F40" s="2591"/>
      <c r="G40" s="2591"/>
      <c r="H40" s="2591"/>
      <c r="I40" s="1761"/>
      <c r="J40" s="2729"/>
      <c r="K40" s="2835"/>
      <c r="L40" s="2671"/>
      <c r="M40" s="2671"/>
      <c r="N40" s="2729"/>
      <c r="O40" s="2671"/>
      <c r="P40" s="2659"/>
      <c r="Q40" s="2659"/>
      <c r="R40" s="2659"/>
      <c r="S40" s="2659"/>
      <c r="T40" s="2659"/>
      <c r="U40" s="2659"/>
      <c r="V40" s="2659"/>
    </row>
    <row r="41" spans="1:30">
      <c r="A41" s="2656" t="s">
        <v>2975</v>
      </c>
      <c r="B41" s="1940"/>
      <c r="C41" s="1555"/>
      <c r="D41" s="2591"/>
      <c r="E41" s="2591"/>
      <c r="F41" s="2591"/>
      <c r="G41" s="2591"/>
      <c r="H41" s="2591"/>
      <c r="I41" s="1759"/>
      <c r="J41" s="2659"/>
      <c r="K41" s="2836"/>
      <c r="L41" s="2833"/>
      <c r="M41" s="2833"/>
      <c r="N41" s="2659"/>
      <c r="O41" s="2670"/>
      <c r="P41" s="2659"/>
      <c r="Q41" s="2659"/>
      <c r="R41" s="2659"/>
      <c r="S41" s="2659"/>
      <c r="T41" s="2659"/>
      <c r="U41" s="2659"/>
      <c r="V41" s="2659"/>
    </row>
    <row r="42" spans="1:30" ht="25.5">
      <c r="A42" s="327"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6" customFormat="1">
      <c r="A43" s="1753"/>
      <c r="B43" s="1180"/>
      <c r="C43" s="1180"/>
      <c r="D43" s="1180"/>
      <c r="E43" s="1180"/>
      <c r="F43" s="1180"/>
      <c r="G43" s="1180"/>
      <c r="H43" s="1180"/>
      <c r="I43" s="1180"/>
      <c r="J43" s="2657"/>
      <c r="K43" s="2658"/>
      <c r="L43" s="2658"/>
      <c r="M43" s="1180"/>
      <c r="N43" s="1180"/>
      <c r="O43" s="1180"/>
      <c r="P43" s="1180"/>
      <c r="Q43" s="1180"/>
      <c r="R43" s="1180"/>
      <c r="S43" s="2659"/>
      <c r="T43" s="2659"/>
      <c r="U43" s="2659"/>
      <c r="V43" s="2659"/>
    </row>
    <row r="44" spans="1:30" s="1926" customFormat="1">
      <c r="A44" s="1753"/>
      <c r="B44" s="1753"/>
      <c r="C44" s="1180"/>
      <c r="D44" s="1180"/>
      <c r="E44" s="1180"/>
      <c r="F44" s="1180"/>
      <c r="G44" s="1180"/>
      <c r="H44" s="1180"/>
      <c r="I44" s="1180"/>
      <c r="J44" s="2657"/>
      <c r="K44" s="2658"/>
      <c r="L44" s="2658"/>
      <c r="M44" s="1180"/>
      <c r="N44" s="1180"/>
      <c r="O44" s="1180"/>
      <c r="P44" s="1180"/>
      <c r="Q44" s="1180"/>
      <c r="R44" s="1180"/>
      <c r="S44" s="2659"/>
      <c r="T44" s="2659"/>
      <c r="U44" s="2659"/>
      <c r="V44" s="2659"/>
    </row>
    <row r="45" spans="1:30" s="1926" customFormat="1">
      <c r="A45" s="1753"/>
      <c r="B45" s="1753"/>
      <c r="C45" s="1180"/>
      <c r="D45" s="1180"/>
      <c r="E45" s="1180"/>
      <c r="F45" s="1180"/>
      <c r="G45" s="1180"/>
      <c r="H45" s="1180"/>
      <c r="I45" s="1180"/>
      <c r="J45" s="2657"/>
      <c r="K45" s="2658"/>
      <c r="L45" s="2658"/>
      <c r="M45" s="1180"/>
      <c r="N45" s="1180"/>
      <c r="O45" s="1180"/>
      <c r="P45" s="1180"/>
      <c r="Q45" s="1180"/>
      <c r="R45" s="1180"/>
      <c r="S45" s="2659"/>
      <c r="T45" s="2659"/>
      <c r="U45" s="2659"/>
      <c r="V45" s="2659"/>
    </row>
    <row r="46" spans="1:30" s="1926" customFormat="1">
      <c r="A46" s="1753"/>
      <c r="B46" s="1753"/>
      <c r="C46" s="1180"/>
      <c r="D46" s="1180"/>
      <c r="E46" s="1180"/>
      <c r="F46" s="1180"/>
      <c r="G46" s="1180"/>
      <c r="H46" s="1180"/>
      <c r="I46" s="1180"/>
      <c r="J46" s="2657"/>
      <c r="K46" s="2658"/>
      <c r="L46" s="2658"/>
      <c r="M46" s="1180"/>
      <c r="N46" s="1180"/>
      <c r="O46" s="1180"/>
      <c r="P46" s="1180"/>
      <c r="Q46" s="1180"/>
      <c r="R46" s="1180"/>
      <c r="S46" s="2659"/>
      <c r="T46" s="2659"/>
      <c r="U46" s="2659"/>
      <c r="V46" s="2659"/>
    </row>
    <row r="47" spans="1:30" s="1926" customFormat="1">
      <c r="A47" s="1753"/>
      <c r="B47" s="1753"/>
      <c r="C47" s="1180"/>
      <c r="D47" s="1180"/>
      <c r="E47" s="1180"/>
      <c r="F47" s="1180"/>
      <c r="G47" s="1180"/>
      <c r="H47" s="1180"/>
      <c r="I47" s="1180"/>
      <c r="J47" s="2657"/>
      <c r="K47" s="2658"/>
      <c r="L47" s="2658"/>
      <c r="M47" s="1180"/>
      <c r="N47" s="1180"/>
      <c r="O47" s="1180"/>
      <c r="P47" s="1180"/>
      <c r="Q47" s="1180"/>
      <c r="R47" s="1180"/>
      <c r="S47" s="2659"/>
      <c r="T47" s="2659"/>
      <c r="U47" s="2659"/>
      <c r="V47" s="2659"/>
    </row>
    <row r="48" spans="1:30" s="1926" customFormat="1">
      <c r="A48" s="1753"/>
      <c r="B48" s="1753"/>
      <c r="C48" s="1180"/>
      <c r="D48" s="1180"/>
      <c r="E48" s="1180"/>
      <c r="F48" s="1180"/>
      <c r="G48" s="1180"/>
      <c r="H48" s="1180"/>
      <c r="I48" s="1180"/>
      <c r="J48" s="2657"/>
      <c r="K48" s="2658"/>
      <c r="L48" s="2658"/>
      <c r="M48" s="1180"/>
      <c r="N48" s="1180"/>
      <c r="O48" s="1180"/>
      <c r="P48" s="1180"/>
      <c r="Q48" s="1180"/>
      <c r="R48" s="1180"/>
      <c r="S48" s="2659"/>
      <c r="T48" s="2659"/>
      <c r="U48" s="2659"/>
      <c r="V48" s="2659"/>
    </row>
    <row r="49" spans="1:22" s="1926" customFormat="1">
      <c r="A49" s="1753"/>
      <c r="B49" s="1753"/>
      <c r="C49" s="1180"/>
      <c r="D49" s="1180"/>
      <c r="E49" s="1180"/>
      <c r="F49" s="1180"/>
      <c r="G49" s="1180"/>
      <c r="H49" s="1180"/>
      <c r="I49" s="1180"/>
      <c r="J49" s="2657"/>
      <c r="K49" s="2658"/>
      <c r="L49" s="2658"/>
      <c r="M49" s="1180"/>
      <c r="N49" s="1180"/>
      <c r="O49" s="1180"/>
      <c r="P49" s="1180"/>
      <c r="Q49" s="1180"/>
      <c r="R49" s="1180"/>
      <c r="S49" s="2659"/>
      <c r="T49" s="2659"/>
      <c r="U49" s="2659"/>
      <c r="V49" s="2659"/>
    </row>
    <row r="50" spans="1:22" s="1926" customFormat="1">
      <c r="A50" s="1753"/>
      <c r="B50" s="1753"/>
      <c r="C50" s="1180"/>
      <c r="D50" s="1180"/>
      <c r="E50" s="1180"/>
      <c r="F50" s="1180"/>
      <c r="G50" s="1180"/>
      <c r="H50" s="1180"/>
      <c r="I50" s="1180"/>
      <c r="J50" s="2657"/>
      <c r="K50" s="2658"/>
      <c r="L50" s="2658"/>
      <c r="M50" s="1180"/>
      <c r="N50" s="1180"/>
      <c r="O50" s="1180"/>
      <c r="P50" s="1180"/>
      <c r="Q50" s="1180"/>
      <c r="R50" s="1180"/>
      <c r="S50" s="2659"/>
      <c r="T50" s="2659"/>
      <c r="U50" s="2659"/>
      <c r="V50" s="2659"/>
    </row>
    <row r="51" spans="1:22" s="1926" customFormat="1">
      <c r="A51" s="1753"/>
      <c r="B51" s="1753"/>
      <c r="C51" s="1180"/>
      <c r="D51" s="1180"/>
      <c r="E51" s="1180"/>
      <c r="F51" s="1180"/>
      <c r="G51" s="1180"/>
      <c r="H51" s="1180"/>
      <c r="I51" s="1180"/>
      <c r="J51" s="2657"/>
      <c r="K51" s="2658"/>
      <c r="L51" s="2658"/>
      <c r="M51" s="1180"/>
      <c r="N51" s="1180"/>
      <c r="O51" s="1180"/>
      <c r="P51" s="1180"/>
      <c r="Q51" s="1180"/>
      <c r="R51" s="1180"/>
    </row>
    <row r="52" spans="1:22" s="1926" customFormat="1">
      <c r="A52" s="1753"/>
      <c r="B52" s="1753"/>
      <c r="C52" s="1753"/>
      <c r="D52" s="1753"/>
      <c r="E52" s="1753"/>
      <c r="F52" s="1180"/>
      <c r="G52" s="1753"/>
      <c r="H52" s="1753"/>
      <c r="I52" s="1753"/>
      <c r="J52" s="2660"/>
      <c r="K52" s="2658"/>
      <c r="L52" s="2658"/>
      <c r="M52" s="2658"/>
      <c r="N52" s="1753"/>
      <c r="O52" s="1753"/>
      <c r="P52" s="1753"/>
      <c r="Q52" s="1753"/>
      <c r="R52" s="1753"/>
    </row>
    <row r="53" spans="1:22" s="1926" customFormat="1">
      <c r="A53" s="1753"/>
      <c r="B53" s="1753"/>
      <c r="C53" s="1753"/>
      <c r="D53" s="1753"/>
      <c r="E53" s="1753"/>
      <c r="F53" s="1180"/>
      <c r="G53" s="1753"/>
      <c r="H53" s="1753"/>
      <c r="I53" s="1753"/>
      <c r="J53" s="2660"/>
      <c r="K53" s="2658"/>
      <c r="L53" s="2658"/>
      <c r="M53" s="2658"/>
      <c r="N53" s="1753"/>
      <c r="O53" s="1753"/>
      <c r="P53" s="1753"/>
      <c r="Q53" s="1753"/>
      <c r="R53" s="1753"/>
    </row>
    <row r="54" spans="1:22" s="1926" customFormat="1">
      <c r="A54" s="1753"/>
      <c r="B54" s="1753"/>
      <c r="C54" s="1753"/>
      <c r="D54" s="1753"/>
      <c r="E54" s="1753"/>
      <c r="F54" s="1180"/>
      <c r="G54" s="1753"/>
      <c r="H54" s="1753"/>
      <c r="I54" s="1753"/>
      <c r="J54" s="2660"/>
      <c r="K54" s="2658"/>
      <c r="L54" s="2658"/>
      <c r="M54" s="2658"/>
      <c r="N54" s="1753"/>
      <c r="O54" s="1753"/>
      <c r="P54" s="1753"/>
      <c r="Q54" s="1753"/>
      <c r="R54" s="1753"/>
    </row>
    <row r="55" spans="1:22" s="1926" customFormat="1">
      <c r="A55" s="1753"/>
      <c r="B55" s="1753"/>
      <c r="C55" s="1753"/>
      <c r="D55" s="1753"/>
      <c r="E55" s="1753"/>
      <c r="F55" s="1180"/>
      <c r="G55" s="1753"/>
      <c r="H55" s="1753"/>
      <c r="I55" s="1753"/>
      <c r="J55" s="2660"/>
      <c r="K55" s="2658"/>
      <c r="L55" s="2658"/>
      <c r="M55" s="2658"/>
      <c r="N55" s="1753"/>
      <c r="O55" s="1753"/>
      <c r="P55" s="1753"/>
      <c r="Q55" s="1753"/>
      <c r="R55" s="1753"/>
    </row>
    <row r="56" spans="1:22" s="1926" customFormat="1">
      <c r="A56" s="1753"/>
      <c r="B56" s="1753"/>
      <c r="C56" s="1753"/>
      <c r="D56" s="1753"/>
      <c r="E56" s="1753"/>
      <c r="F56" s="1180"/>
      <c r="G56" s="1753"/>
      <c r="H56" s="1753"/>
      <c r="I56" s="1753"/>
      <c r="J56" s="2660"/>
      <c r="K56" s="2658"/>
      <c r="L56" s="2658"/>
      <c r="M56" s="2658"/>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hidden="1" customWidth="1"/>
    <col min="12" max="14" width="9.5" style="1756" hidden="1" customWidth="1"/>
    <col min="15" max="15" width="9.875" style="1756" hidden="1" customWidth="1"/>
    <col min="16" max="16" width="9.75" style="1756" hidden="1"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hidden="1" customWidth="1"/>
    <col min="31" max="31" width="9.75" style="1756" hidden="1" customWidth="1"/>
    <col min="32" max="37" width="9.5" style="1756" hidden="1" customWidth="1"/>
    <col min="38"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57">
        <v>8832.7999999999993</v>
      </c>
      <c r="B3" s="13">
        <f>IF(C3="否",G5-AT5,G5)</f>
        <v>11601.220000000001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11601.220000000001</v>
      </c>
      <c r="H5" s="15">
        <f t="shared" ref="H5:AT5" si="0">SUM(H13:H656)</f>
        <v>11601.220000000001</v>
      </c>
      <c r="I5" s="15">
        <f t="shared" si="0"/>
        <v>11601.220000000001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11601.220000000001</v>
      </c>
      <c r="BA5" s="17">
        <f t="shared" si="1"/>
        <v>11601.220000000001</v>
      </c>
      <c r="BB5" s="17">
        <f t="shared" si="1"/>
        <v>11601.220000000001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8832.7999999999993</v>
      </c>
      <c r="F6" s="15" t="s">
        <v>1</v>
      </c>
      <c r="G6" s="15" t="s">
        <v>2</v>
      </c>
      <c r="H6" s="19">
        <f>SUMIF(I$12:AB$12,"总值",I6:AB6)</f>
        <v>8832.7999999999993</v>
      </c>
      <c r="I6" s="15">
        <f t="shared" ref="I6:AB6" si="2">ROUND($A$3*I5/$B$3,2)</f>
        <v>8832.7999999999993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8832.7999999999993</v>
      </c>
      <c r="AZ6" s="15" t="s">
        <v>3</v>
      </c>
      <c r="BA6" s="15">
        <f>ROUND($AY$6*BA5/$AZ$5,2)</f>
        <v>8832.7999999999993</v>
      </c>
      <c r="BB6" s="15">
        <f>ROUND($AY$6*BB5/$AZ$5,2)</f>
        <v>8832.7999999999993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0"/>
      <c r="H9" s="1785" t="s">
        <v>1777</v>
      </c>
      <c r="I9" s="1786" t="s">
        <v>3077</v>
      </c>
      <c r="J9" s="916"/>
      <c r="K9" s="1786"/>
      <c r="L9" s="916"/>
      <c r="M9" s="1786"/>
      <c r="N9" s="916"/>
      <c r="O9" s="1786"/>
      <c r="P9" s="916"/>
      <c r="Q9" s="1786"/>
      <c r="R9" s="916"/>
      <c r="S9" s="1786"/>
      <c r="T9" s="916"/>
      <c r="U9" s="1786"/>
      <c r="V9" s="916"/>
      <c r="W9" s="1786"/>
      <c r="X9" s="1787"/>
      <c r="Y9" s="1786"/>
      <c r="Z9" s="916"/>
      <c r="AA9" s="1786"/>
      <c r="AB9" s="916"/>
      <c r="AC9" s="1778"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8"/>
      <c r="AT9" s="1777"/>
      <c r="AU9" s="1777" t="s">
        <v>1780</v>
      </c>
      <c r="AV9" s="1200"/>
      <c r="AW9" s="1760"/>
      <c r="AX9" s="1200"/>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0"/>
      <c r="H10" s="27"/>
      <c r="I10" s="1786" t="s">
        <v>27</v>
      </c>
      <c r="J10" s="916"/>
      <c r="K10" s="1792"/>
      <c r="L10" s="916"/>
      <c r="M10" s="1792"/>
      <c r="N10" s="916"/>
      <c r="O10" s="1792"/>
      <c r="P10" s="916"/>
      <c r="Q10" s="1792"/>
      <c r="R10" s="916"/>
      <c r="S10" s="1792"/>
      <c r="T10" s="916"/>
      <c r="U10" s="1792"/>
      <c r="V10" s="916"/>
      <c r="W10" s="1792"/>
      <c r="X10" s="916"/>
      <c r="Y10" s="1792"/>
      <c r="Z10" s="916"/>
      <c r="AA10" s="1792"/>
      <c r="AB10" s="916"/>
      <c r="AC10" s="1200"/>
      <c r="AD10" s="14" t="s">
        <v>1783</v>
      </c>
      <c r="AE10" s="1793"/>
      <c r="AF10" s="14" t="s">
        <v>1783</v>
      </c>
      <c r="AG10" s="1793"/>
      <c r="AH10" s="14" t="s">
        <v>1784</v>
      </c>
      <c r="AI10" s="1793"/>
      <c r="AJ10" s="14" t="s">
        <v>1784</v>
      </c>
      <c r="AK10" s="1793"/>
      <c r="AL10" s="14" t="s">
        <v>1785</v>
      </c>
      <c r="AM10" s="1206"/>
      <c r="AN10" s="14" t="s">
        <v>1785</v>
      </c>
      <c r="AO10" s="1206"/>
      <c r="AP10" s="14" t="s">
        <v>1786</v>
      </c>
      <c r="AQ10" s="1206"/>
      <c r="AR10" s="14" t="s">
        <v>1786</v>
      </c>
      <c r="AS10" s="1206"/>
      <c r="AT10" s="1777"/>
      <c r="AU10" s="1777"/>
      <c r="AV10" s="1200"/>
      <c r="AW10" s="1760"/>
      <c r="AX10" s="1200"/>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7"/>
      <c r="AZ11" s="27"/>
      <c r="BA11" s="27"/>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0"/>
      <c r="B13" s="1180"/>
      <c r="C13" s="3048"/>
      <c r="D13" s="1808" t="s">
        <v>3078</v>
      </c>
      <c r="E13" s="15">
        <f>IF($C$3="是",ROUND($A$3*G13/$B$3,2),ROUND($A$3*(G13-AT13)/$B$3,2))</f>
        <v>8832.7999999999993</v>
      </c>
      <c r="F13" s="31"/>
      <c r="G13" s="32">
        <f>H13+AC13+AT13</f>
        <v>11601.220000000001</v>
      </c>
      <c r="H13" s="19">
        <f>SUMIF(I$12:AB$12,"总值",I13:AB13)</f>
        <v>11601.220000000001</v>
      </c>
      <c r="I13" s="3058">
        <f>抵押面积!H9</f>
        <v>11601.220000000001</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8832.7999999999993</v>
      </c>
      <c r="AZ13" s="15">
        <f>BA13+BL13</f>
        <v>11601.220000000001</v>
      </c>
      <c r="BA13" s="15">
        <f>SUM(BB13:BK13)</f>
        <v>11601.220000000001</v>
      </c>
      <c r="BB13" s="15">
        <f>IF($D13="是",I13-J13,0)</f>
        <v>11601.220000000001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3048" t="s">
        <v>3075</v>
      </c>
      <c r="B14" s="1180">
        <v>8832.7999999999993</v>
      </c>
      <c r="C14" s="3063" t="s">
        <v>3222</v>
      </c>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t="str">
        <f t="shared" si="6"/>
        <v>土地面积</v>
      </c>
      <c r="AW14" s="11">
        <f t="shared" si="6"/>
        <v>8832.7999999999993</v>
      </c>
      <c r="AX14" s="11" t="str">
        <f t="shared" si="6"/>
        <v>还建部分</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25.5">
      <c r="A15" s="3048" t="s">
        <v>3076</v>
      </c>
      <c r="B15" s="1180">
        <v>11630.03</v>
      </c>
      <c r="C15" s="1809">
        <v>3256.41</v>
      </c>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t="str">
        <f t="shared" si="6"/>
        <v>规划建筑面积</v>
      </c>
      <c r="AW15" s="11">
        <f t="shared" si="6"/>
        <v>11630.03</v>
      </c>
      <c r="AX15" s="11">
        <f t="shared" si="6"/>
        <v>3256.41</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0"/>
      <c r="B16" s="1180"/>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0"/>
      <c r="B17" s="1180"/>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0</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E19" sqref="E19"/>
    </sheetView>
  </sheetViews>
  <sheetFormatPr defaultRowHeight="13.5"/>
  <cols>
    <col min="2" max="2" width="11" customWidth="1"/>
    <col min="3" max="3" width="11.875" customWidth="1"/>
    <col min="5" max="5" width="17.125" customWidth="1"/>
  </cols>
  <sheetData>
    <row r="1" spans="1:8">
      <c r="B1" s="3049" t="s">
        <v>3079</v>
      </c>
      <c r="C1" s="3049" t="s">
        <v>3224</v>
      </c>
    </row>
    <row r="2" spans="1:8">
      <c r="A2" s="3049" t="s">
        <v>3082</v>
      </c>
      <c r="B2" s="3049" t="s">
        <v>3081</v>
      </c>
      <c r="C2" s="3049" t="s">
        <v>3083</v>
      </c>
      <c r="D2" s="3049" t="s">
        <v>3084</v>
      </c>
      <c r="E2" s="3049" t="s">
        <v>3085</v>
      </c>
      <c r="F2" s="3049"/>
      <c r="G2" s="3049" t="s">
        <v>3081</v>
      </c>
      <c r="H2" s="3049" t="s">
        <v>3223</v>
      </c>
    </row>
    <row r="3" spans="1:8">
      <c r="A3">
        <v>1</v>
      </c>
      <c r="B3" s="3049" t="s">
        <v>3080</v>
      </c>
      <c r="C3">
        <v>2231.4299999999998</v>
      </c>
      <c r="D3">
        <v>2195.98</v>
      </c>
      <c r="E3">
        <f>C3-D3</f>
        <v>35.449999999999818</v>
      </c>
      <c r="G3" s="3049" t="s">
        <v>3080</v>
      </c>
      <c r="H3">
        <v>2223.29</v>
      </c>
    </row>
    <row r="4" spans="1:8">
      <c r="A4">
        <v>2</v>
      </c>
      <c r="B4" s="3049" t="s">
        <v>3086</v>
      </c>
      <c r="C4">
        <v>2331.36</v>
      </c>
      <c r="D4">
        <v>2307.3000000000002</v>
      </c>
      <c r="E4">
        <f t="shared" ref="E4:E8" si="0">C4-D4</f>
        <v>24.059999999999945</v>
      </c>
      <c r="G4" s="3049" t="s">
        <v>3086</v>
      </c>
      <c r="H4">
        <v>2331.36</v>
      </c>
    </row>
    <row r="5" spans="1:8">
      <c r="A5">
        <v>3</v>
      </c>
      <c r="B5" s="3049" t="s">
        <v>3087</v>
      </c>
      <c r="C5">
        <v>2716.54</v>
      </c>
      <c r="D5">
        <v>2554.19</v>
      </c>
      <c r="E5">
        <f t="shared" si="0"/>
        <v>162.34999999999991</v>
      </c>
      <c r="G5" s="3049" t="s">
        <v>3087</v>
      </c>
      <c r="H5">
        <v>2716.54</v>
      </c>
    </row>
    <row r="6" spans="1:8">
      <c r="A6">
        <v>4</v>
      </c>
      <c r="B6" s="3049" t="s">
        <v>3088</v>
      </c>
      <c r="C6">
        <v>2271.02</v>
      </c>
      <c r="D6">
        <v>2246.85</v>
      </c>
      <c r="E6">
        <f t="shared" si="0"/>
        <v>24.170000000000073</v>
      </c>
      <c r="G6" s="3049" t="s">
        <v>3088</v>
      </c>
      <c r="H6">
        <v>2263.7600000000002</v>
      </c>
    </row>
    <row r="7" spans="1:8">
      <c r="A7">
        <v>5</v>
      </c>
      <c r="B7" s="3049" t="s">
        <v>3089</v>
      </c>
      <c r="C7">
        <v>1039.56</v>
      </c>
      <c r="D7">
        <v>1002.96</v>
      </c>
      <c r="E7">
        <f t="shared" si="0"/>
        <v>36.599999999999909</v>
      </c>
      <c r="G7" s="3049" t="s">
        <v>3089</v>
      </c>
      <c r="H7">
        <v>1037.08</v>
      </c>
    </row>
    <row r="8" spans="1:8">
      <c r="A8">
        <v>6</v>
      </c>
      <c r="B8" s="3049" t="s">
        <v>3090</v>
      </c>
      <c r="C8">
        <v>1038</v>
      </c>
      <c r="D8">
        <v>1001.4</v>
      </c>
      <c r="E8">
        <f t="shared" si="0"/>
        <v>36.600000000000023</v>
      </c>
      <c r="G8" s="3049" t="s">
        <v>3090</v>
      </c>
      <c r="H8">
        <v>1029.19</v>
      </c>
    </row>
    <row r="9" spans="1:8">
      <c r="A9" s="3049" t="s">
        <v>3091</v>
      </c>
      <c r="C9">
        <f>SUM(C3:C8)</f>
        <v>11627.91</v>
      </c>
      <c r="D9">
        <f t="shared" ref="D9:E9" si="1">SUM(D3:D8)</f>
        <v>11308.680000000002</v>
      </c>
      <c r="E9">
        <f t="shared" si="1"/>
        <v>319.22999999999968</v>
      </c>
      <c r="F9" s="3049"/>
      <c r="G9" s="3049" t="s">
        <v>3228</v>
      </c>
      <c r="H9">
        <f>SUM(H3:H8)</f>
        <v>11601.220000000001</v>
      </c>
    </row>
    <row r="16" spans="1:8">
      <c r="E16">
        <v>9130.74</v>
      </c>
    </row>
    <row r="17" spans="5:5">
      <c r="E17">
        <v>461.69</v>
      </c>
    </row>
    <row r="18" spans="5:5">
      <c r="E18">
        <f>SUM(E16:E17)</f>
        <v>9592.43</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0"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50" t="s">
        <v>1817</v>
      </c>
      <c r="B2" s="3150"/>
      <c r="C2" s="3150"/>
      <c r="D2" s="902" t="s">
        <v>1793</v>
      </c>
      <c r="E2" s="1822" t="s">
        <v>1794</v>
      </c>
      <c r="F2" s="2880"/>
      <c r="G2" s="2871"/>
      <c r="H2" s="2872"/>
      <c r="I2" s="2545" t="s">
        <v>1818</v>
      </c>
      <c r="J2" s="2880"/>
      <c r="K2" s="2880"/>
      <c r="L2" s="2880"/>
      <c r="M2" s="2880"/>
      <c r="N2" s="2882"/>
      <c r="O2" s="2880"/>
      <c r="P2" s="2880"/>
    </row>
    <row r="3" spans="1:16" ht="15.75" thickBot="1">
      <c r="A3" s="3151" t="s">
        <v>1791</v>
      </c>
      <c r="B3" s="3151"/>
      <c r="C3" s="3151"/>
      <c r="D3" s="45">
        <f>'数据-基础表'!AY6</f>
        <v>8832.7999999999993</v>
      </c>
      <c r="E3" s="45">
        <f>'数据-基础表'!AZ5</f>
        <v>11601.220000000001</v>
      </c>
      <c r="F3" s="2880"/>
      <c r="G3" s="1305"/>
      <c r="H3" s="1155" t="s">
        <v>1792</v>
      </c>
      <c r="I3" s="962">
        <f>ROUND('数据-基础表'!B3/'数据-基础表'!A3,2)</f>
        <v>1.31</v>
      </c>
      <c r="J3" s="2880"/>
      <c r="K3" s="2880"/>
      <c r="L3" s="2880"/>
      <c r="M3" s="2880"/>
      <c r="N3" s="2882"/>
      <c r="O3" s="2880"/>
      <c r="P3" s="2880"/>
    </row>
    <row r="4" spans="1:16" ht="15">
      <c r="A4" s="3152"/>
      <c r="B4" s="3153"/>
      <c r="C4" s="3154"/>
      <c r="D4" s="1824" t="s">
        <v>1793</v>
      </c>
      <c r="E4" s="1825" t="s">
        <v>1794</v>
      </c>
      <c r="F4" s="2880"/>
      <c r="G4" s="2873" t="s">
        <v>1819</v>
      </c>
      <c r="H4" s="1155" t="s">
        <v>1799</v>
      </c>
      <c r="I4" s="962">
        <f>ROUND(SUMIF('数据-基础表'!I9:AS9,"地上",'数据-基础表'!I5:AS5)/'数据-基础表'!A3,2)</f>
        <v>1.31</v>
      </c>
      <c r="J4" s="2880"/>
      <c r="K4" s="2880"/>
      <c r="L4" s="2880"/>
      <c r="M4" s="2880"/>
      <c r="N4" s="2882"/>
      <c r="O4" s="2880"/>
      <c r="P4" s="2880"/>
    </row>
    <row r="5" spans="1:16">
      <c r="A5" s="46" t="s">
        <v>1795</v>
      </c>
      <c r="B5" s="3155" t="s">
        <v>1796</v>
      </c>
      <c r="C5" s="3155"/>
      <c r="D5" s="47">
        <f>ROUND($D$3*E5/$E$3,2)</f>
        <v>0</v>
      </c>
      <c r="E5" s="48">
        <f>SUMIF('数据-基础表'!$11:$11,"住宅",'数据-基础表'!$5:$5)</f>
        <v>0</v>
      </c>
      <c r="F5" s="2880"/>
      <c r="G5" s="1305"/>
      <c r="H5" s="1155" t="s">
        <v>1792</v>
      </c>
      <c r="I5" s="962">
        <f>ROUND(E31/D31,2)</f>
        <v>1.31</v>
      </c>
      <c r="J5" s="2880"/>
      <c r="K5" s="2880"/>
      <c r="L5" s="2880"/>
      <c r="M5" s="2880"/>
      <c r="N5" s="2880"/>
      <c r="O5" s="2880"/>
      <c r="P5" s="2880"/>
    </row>
    <row r="6" spans="1:16" ht="15" thickBot="1">
      <c r="A6" s="1827"/>
      <c r="B6" s="3155" t="s">
        <v>1797</v>
      </c>
      <c r="C6" s="3155"/>
      <c r="D6" s="47">
        <f>ROUND($D$3*E6/$E$3,2)</f>
        <v>8832.7999999999993</v>
      </c>
      <c r="E6" s="48">
        <f>E3-E5</f>
        <v>11601.220000000001</v>
      </c>
      <c r="F6" s="2880"/>
      <c r="G6" s="2874" t="s">
        <v>1798</v>
      </c>
      <c r="H6" s="1306" t="s">
        <v>1799</v>
      </c>
      <c r="I6" s="2875">
        <f>ROUND(F31/D31,2)</f>
        <v>1.31</v>
      </c>
      <c r="J6" s="2880"/>
      <c r="K6" s="2880"/>
      <c r="L6" s="2880"/>
      <c r="M6" s="2880"/>
      <c r="N6" s="2880"/>
      <c r="O6" s="2880"/>
      <c r="P6" s="2880"/>
    </row>
    <row r="7" spans="1:16" ht="15.75" thickBot="1">
      <c r="A7" s="3147"/>
      <c r="B7" s="3148"/>
      <c r="C7" s="3149"/>
      <c r="D7" s="1824" t="s">
        <v>1793</v>
      </c>
      <c r="E7" s="1828" t="s">
        <v>1800</v>
      </c>
      <c r="F7" s="2880"/>
      <c r="G7" s="2876" t="s">
        <v>1801</v>
      </c>
      <c r="H7" s="2877"/>
      <c r="I7" s="2878"/>
      <c r="J7" s="2880"/>
      <c r="K7" s="2880"/>
      <c r="L7" s="2880"/>
      <c r="M7" s="2880"/>
      <c r="N7" s="2880"/>
      <c r="O7" s="2880"/>
      <c r="P7" s="2880"/>
    </row>
    <row r="8" spans="1:16">
      <c r="A8" s="46" t="s">
        <v>1802</v>
      </c>
      <c r="B8" s="49" t="s">
        <v>1803</v>
      </c>
      <c r="C8" s="47" t="s">
        <v>1804</v>
      </c>
      <c r="D8" s="47">
        <f t="shared" ref="D8:D15" si="0">ROUND($D$3*E8/$E$3,2)</f>
        <v>8832.7999999999993</v>
      </c>
      <c r="E8" s="50">
        <f>SUMIF('数据-基础表'!BB10:BK10,"地上",'数据-基础表'!BB5:BK5)</f>
        <v>11601.220000000001</v>
      </c>
      <c r="F8" s="2880"/>
      <c r="G8" s="2881"/>
      <c r="H8" s="2881"/>
      <c r="I8" s="2880"/>
      <c r="J8" s="2880"/>
      <c r="K8" s="2880"/>
      <c r="L8" s="2880"/>
      <c r="M8" s="2880"/>
      <c r="N8" s="2880"/>
      <c r="O8" s="2880"/>
      <c r="P8" s="2880"/>
    </row>
    <row r="9" spans="1:16">
      <c r="A9" s="1829"/>
      <c r="B9" s="1830"/>
      <c r="C9" s="47" t="s">
        <v>1805</v>
      </c>
      <c r="D9" s="47">
        <f t="shared" si="0"/>
        <v>0</v>
      </c>
      <c r="E9" s="51">
        <v>0</v>
      </c>
      <c r="F9" s="2880"/>
      <c r="G9" s="2881"/>
      <c r="H9" s="2881"/>
      <c r="I9" s="2880"/>
      <c r="J9" s="2880"/>
      <c r="K9" s="2880"/>
      <c r="L9" s="2880"/>
      <c r="M9" s="2880"/>
      <c r="N9" s="2880"/>
      <c r="O9" s="2880"/>
      <c r="P9" s="2880"/>
    </row>
    <row r="10" spans="1:16">
      <c r="A10" s="1829"/>
      <c r="B10" s="1830"/>
      <c r="C10" s="47" t="s">
        <v>1814</v>
      </c>
      <c r="D10" s="47">
        <f t="shared" si="0"/>
        <v>0</v>
      </c>
      <c r="E10" s="50">
        <f>SUMPRODUCT(('数据-基础表'!BB10:BK10="地下")*('数据-基础表'!BB11:BK11="商业")*('数据-基础表'!BB5:BK5))</f>
        <v>0</v>
      </c>
      <c r="F10" s="2880"/>
      <c r="G10" s="2881"/>
      <c r="H10" s="2881"/>
      <c r="I10" s="2880"/>
      <c r="J10" s="2880"/>
      <c r="K10" s="2880"/>
      <c r="L10" s="2880"/>
      <c r="M10" s="2880"/>
      <c r="N10" s="2880"/>
      <c r="O10" s="2880"/>
      <c r="P10" s="2880"/>
    </row>
    <row r="11" spans="1:16">
      <c r="A11" s="1829"/>
      <c r="B11" s="1830"/>
      <c r="C11" s="47" t="s">
        <v>1806</v>
      </c>
      <c r="D11" s="47">
        <f t="shared" si="0"/>
        <v>0</v>
      </c>
      <c r="E11" s="50">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9"/>
      <c r="B12" s="1830"/>
      <c r="C12" s="47" t="s">
        <v>1807</v>
      </c>
      <c r="D12" s="47">
        <f t="shared" si="0"/>
        <v>0</v>
      </c>
      <c r="E12" s="50">
        <f>SUMPRODUCT(('数据-基础表'!BB10:BK10="地下")*('数据-基础表'!BB11:BK11="仓储")*('数据-基础表'!BB5:BK5))</f>
        <v>0</v>
      </c>
      <c r="F12" s="2880"/>
      <c r="G12" s="2881"/>
      <c r="H12" s="2881"/>
      <c r="I12" s="2880"/>
      <c r="J12" s="2880"/>
      <c r="K12" s="2880"/>
      <c r="L12" s="2880"/>
      <c r="M12" s="2880"/>
      <c r="N12" s="2880"/>
      <c r="O12" s="2880"/>
      <c r="P12" s="2880"/>
    </row>
    <row r="13" spans="1:16">
      <c r="A13" s="1829"/>
      <c r="B13" s="1830"/>
      <c r="C13" s="47" t="s">
        <v>1808</v>
      </c>
      <c r="D13" s="47">
        <f t="shared" si="0"/>
        <v>0</v>
      </c>
      <c r="E13" s="50">
        <f>SUMPRODUCT(('数据-基础表'!BB10:BK10="地下")*('数据-基础表'!BB11:BK11="车库")*('数据-基础表'!BB5:BK5))</f>
        <v>0</v>
      </c>
      <c r="F13" s="2880"/>
      <c r="G13" s="2881"/>
      <c r="H13" s="2881"/>
      <c r="I13" s="2880"/>
      <c r="J13" s="2880"/>
      <c r="K13" s="2880"/>
      <c r="L13" s="2880"/>
      <c r="M13" s="2880"/>
      <c r="N13" s="2880"/>
      <c r="O13" s="2880"/>
      <c r="P13" s="2880"/>
    </row>
    <row r="14" spans="1:16">
      <c r="A14" s="1829"/>
      <c r="B14" s="1830"/>
      <c r="C14" s="47" t="s">
        <v>1820</v>
      </c>
      <c r="D14" s="47">
        <f t="shared" si="0"/>
        <v>0</v>
      </c>
      <c r="E14" s="50">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9"/>
      <c r="B15" s="1830"/>
      <c r="C15" s="47" t="s">
        <v>1815</v>
      </c>
      <c r="D15" s="47">
        <f t="shared" si="0"/>
        <v>0</v>
      </c>
      <c r="E15" s="50">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7"/>
      <c r="B16" s="1830"/>
      <c r="C16" s="49" t="s">
        <v>1809</v>
      </c>
      <c r="D16" s="49">
        <f>SUM(D8:D15)</f>
        <v>8832.7999999999993</v>
      </c>
      <c r="E16" s="52">
        <f>SUM(E8:E15)</f>
        <v>11601.220000000001</v>
      </c>
      <c r="F16" s="2880"/>
      <c r="G16" s="2881"/>
      <c r="H16" s="1831" t="s">
        <v>1821</v>
      </c>
      <c r="I16" s="1832"/>
      <c r="J16" s="1299"/>
      <c r="K16" s="3144" t="s">
        <v>1821</v>
      </c>
      <c r="L16" s="3145"/>
      <c r="M16" s="3145"/>
      <c r="N16" s="3145"/>
      <c r="O16" s="3145"/>
      <c r="P16" s="3146"/>
    </row>
    <row r="17" spans="1:19" ht="15">
      <c r="A17" s="1833" t="s">
        <v>1822</v>
      </c>
      <c r="B17" s="1834" t="s">
        <v>1823</v>
      </c>
      <c r="C17" s="1835" t="s">
        <v>1824</v>
      </c>
      <c r="D17" s="1836" t="s">
        <v>1812</v>
      </c>
      <c r="E17" s="1837" t="s">
        <v>1813</v>
      </c>
      <c r="F17" s="1838"/>
      <c r="G17" s="1839"/>
      <c r="H17" s="1840" t="s">
        <v>1825</v>
      </c>
      <c r="I17" s="1841" t="s">
        <v>1810</v>
      </c>
      <c r="J17" s="1299"/>
      <c r="K17" s="3141" t="s">
        <v>1826</v>
      </c>
      <c r="L17" s="3142"/>
      <c r="M17" s="3143"/>
      <c r="N17" s="3141" t="s">
        <v>1827</v>
      </c>
      <c r="O17" s="3142"/>
      <c r="P17" s="3143"/>
      <c r="R17" s="1823" t="s">
        <v>1828</v>
      </c>
      <c r="S17" s="59"/>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49" t="s">
        <v>1811</v>
      </c>
      <c r="C19" s="3050" t="s">
        <v>3092</v>
      </c>
      <c r="D19" s="47">
        <f>ROUND($D$3*E19/$E$3,2)</f>
        <v>8832.7999999999993</v>
      </c>
      <c r="E19" s="55">
        <f t="shared" ref="E19:E26" si="1">SUM(F19:G19)</f>
        <v>11601.220000000001</v>
      </c>
      <c r="F19" s="3020">
        <f>'数据-基础表'!I13</f>
        <v>11601.220000000001</v>
      </c>
      <c r="G19" s="3021"/>
      <c r="H19" s="677">
        <f>ROUND($D$3*I19/$E$3,2)</f>
        <v>0</v>
      </c>
      <c r="I19" s="50">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8832.7999999999993</v>
      </c>
      <c r="S19" s="1156">
        <f t="shared" si="5"/>
        <v>11601.220000000001</v>
      </c>
    </row>
    <row r="20" spans="1:19">
      <c r="A20" s="1854"/>
      <c r="B20" s="49" t="s">
        <v>1839</v>
      </c>
      <c r="C20" s="3050"/>
      <c r="D20" s="47">
        <f t="shared" ref="D20:D26" si="6">ROUND($D$3*E20/$E$3,2)</f>
        <v>0</v>
      </c>
      <c r="E20" s="55">
        <f t="shared" si="1"/>
        <v>0</v>
      </c>
      <c r="F20" s="3020"/>
      <c r="G20" s="3021"/>
      <c r="H20" s="677">
        <f t="shared" ref="H20:H26" si="7">ROUND($D$3*I20/$E$3,2)</f>
        <v>0</v>
      </c>
      <c r="I20" s="50">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49" t="s">
        <v>1839</v>
      </c>
      <c r="C21" s="1851"/>
      <c r="D21" s="47">
        <f t="shared" si="6"/>
        <v>0</v>
      </c>
      <c r="E21" s="55">
        <f t="shared" si="1"/>
        <v>0</v>
      </c>
      <c r="F21" s="3020"/>
      <c r="G21" s="3021"/>
      <c r="H21" s="677">
        <f t="shared" si="7"/>
        <v>0</v>
      </c>
      <c r="I21" s="50">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49" t="s">
        <v>1839</v>
      </c>
      <c r="C22" s="57"/>
      <c r="D22" s="47">
        <f t="shared" si="6"/>
        <v>0</v>
      </c>
      <c r="E22" s="55">
        <f t="shared" si="1"/>
        <v>0</v>
      </c>
      <c r="F22" s="3022"/>
      <c r="G22" s="3023"/>
      <c r="H22" s="677">
        <f t="shared" si="7"/>
        <v>0</v>
      </c>
      <c r="I22" s="50">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49" t="s">
        <v>1839</v>
      </c>
      <c r="C23" s="57"/>
      <c r="D23" s="47">
        <f>ROUND($D$3*E23/$E$3,2)</f>
        <v>0</v>
      </c>
      <c r="E23" s="55">
        <f>SUM(F23:G23)</f>
        <v>0</v>
      </c>
      <c r="F23" s="3022"/>
      <c r="G23" s="3023"/>
      <c r="H23" s="677">
        <f>ROUND($D$3*I23/$E$3,2)</f>
        <v>0</v>
      </c>
      <c r="I23" s="50">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49" t="s">
        <v>1839</v>
      </c>
      <c r="C24" s="57"/>
      <c r="D24" s="47">
        <f>ROUND($D$3*E24/$E$3,2)</f>
        <v>0</v>
      </c>
      <c r="E24" s="55">
        <f>SUM(F24:G24)</f>
        <v>0</v>
      </c>
      <c r="F24" s="3022"/>
      <c r="G24" s="3023"/>
      <c r="H24" s="677">
        <f>ROUND($D$3*I24/$E$3,2)</f>
        <v>0</v>
      </c>
      <c r="I24" s="50">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49" t="s">
        <v>1839</v>
      </c>
      <c r="C25" s="57"/>
      <c r="D25" s="47">
        <f t="shared" si="6"/>
        <v>0</v>
      </c>
      <c r="E25" s="55">
        <f t="shared" si="1"/>
        <v>0</v>
      </c>
      <c r="F25" s="3022"/>
      <c r="G25" s="3023"/>
      <c r="H25" s="46">
        <f t="shared" si="7"/>
        <v>0</v>
      </c>
      <c r="I25" s="50">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49" t="s">
        <v>1839</v>
      </c>
      <c r="C26" s="58"/>
      <c r="D26" s="47">
        <f t="shared" si="6"/>
        <v>0</v>
      </c>
      <c r="E26" s="55">
        <f t="shared" si="1"/>
        <v>0</v>
      </c>
      <c r="F26" s="3022"/>
      <c r="G26" s="3023"/>
      <c r="H26" s="46">
        <f t="shared" si="7"/>
        <v>0</v>
      </c>
      <c r="I26" s="50">
        <f t="shared" si="2"/>
        <v>0</v>
      </c>
      <c r="J26" s="1299"/>
      <c r="K26" s="1305">
        <f t="shared" si="3"/>
        <v>0</v>
      </c>
      <c r="L26" s="1306">
        <f t="shared" si="4"/>
        <v>0</v>
      </c>
      <c r="M26" s="62">
        <f t="shared" si="8"/>
        <v>0</v>
      </c>
      <c r="N26" s="1855"/>
      <c r="O26" s="1856"/>
      <c r="P26" s="62">
        <f t="shared" si="9"/>
        <v>0</v>
      </c>
      <c r="R26" s="1155">
        <f t="shared" si="5"/>
        <v>0</v>
      </c>
      <c r="S26" s="1156">
        <f t="shared" si="5"/>
        <v>0</v>
      </c>
    </row>
    <row r="27" spans="1:19" ht="15.75" thickBot="1">
      <c r="A27" s="1854"/>
      <c r="B27" s="47"/>
      <c r="C27" s="1857" t="s">
        <v>1840</v>
      </c>
      <c r="D27" s="1300">
        <f>SUM(D19:D26)</f>
        <v>8832.7999999999993</v>
      </c>
      <c r="E27" s="1301">
        <f>IF(SUM(E19:E26)='数据-基础表'!BA5,SUM(E19:E26),IF(F27="地上面积有误","面积有误","地下面积有误"))</f>
        <v>11601.220000000001</v>
      </c>
      <c r="F27" s="1300">
        <f>IF(SUM(F19:F26)=E8,SUM(F19:F26),"地上面积有误")</f>
        <v>11601.220000000001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8832.7999999999993</v>
      </c>
      <c r="S27" s="1155">
        <f>IF(SUM(S19:S26)=$E$3,SUM(S19:S26),SUM(S19:S26)&amp;"误差"&amp;ROUND(SUM(S19:S26)-E3,2))</f>
        <v>11601.220000000001</v>
      </c>
    </row>
    <row r="28" spans="1:19">
      <c r="A28" s="1854"/>
      <c r="B28" s="49" t="s">
        <v>1841</v>
      </c>
      <c r="C28" s="1167" t="s">
        <v>1842</v>
      </c>
      <c r="D28" s="47">
        <f>ROUND($D$3*E28/$E$3,2)</f>
        <v>0</v>
      </c>
      <c r="E28" s="55">
        <f>SUM(F28:G28)</f>
        <v>0</v>
      </c>
      <c r="F28" s="59">
        <f>'数据-基础表'!BQ5+'数据-基础表'!BS5</f>
        <v>0</v>
      </c>
      <c r="G28" s="60">
        <f>'数据-基础表'!BR5+'数据-基础表'!BT5</f>
        <v>0</v>
      </c>
      <c r="H28" s="2880"/>
      <c r="I28" s="2880"/>
      <c r="J28" s="2880"/>
      <c r="K28" s="2880"/>
      <c r="L28" s="2880"/>
      <c r="M28" s="2880"/>
      <c r="N28" s="2880"/>
      <c r="O28" s="2880"/>
      <c r="P28" s="2880"/>
    </row>
    <row r="29" spans="1:19">
      <c r="A29" s="1854"/>
      <c r="B29" s="49" t="s">
        <v>1841</v>
      </c>
      <c r="C29" s="1858" t="s">
        <v>1843</v>
      </c>
      <c r="D29" s="47">
        <f>ROUND($D$3*E29/$E$3,2)</f>
        <v>0</v>
      </c>
      <c r="E29" s="55">
        <f>SUM(F29:G29)</f>
        <v>0</v>
      </c>
      <c r="F29" s="61">
        <f>'数据-基础表'!BM5+'数据-基础表'!BO5</f>
        <v>0</v>
      </c>
      <c r="G29" s="62">
        <f>'数据-基础表'!BN5+'数据-基础表'!BP5</f>
        <v>0</v>
      </c>
      <c r="H29" s="2880"/>
      <c r="I29" s="2880"/>
      <c r="J29" s="2880"/>
      <c r="K29" s="2880"/>
      <c r="L29" s="2880"/>
      <c r="M29" s="2880"/>
      <c r="N29" s="2880"/>
      <c r="O29" s="2880"/>
      <c r="P29" s="2880"/>
    </row>
    <row r="30" spans="1:19" ht="15">
      <c r="A30" s="1854"/>
      <c r="B30" s="49"/>
      <c r="C30" s="1859" t="s">
        <v>1840</v>
      </c>
      <c r="D30" s="1300">
        <f>SUM(D28:D29)</f>
        <v>0</v>
      </c>
      <c r="E30" s="1300">
        <f>SUM(E28:E29)</f>
        <v>0</v>
      </c>
      <c r="F30" s="1300">
        <f>SUM(F28:F29)</f>
        <v>0</v>
      </c>
      <c r="G30" s="1302">
        <f>SUM(G28:G29)</f>
        <v>0</v>
      </c>
      <c r="H30" s="2880"/>
      <c r="I30" s="2880"/>
      <c r="J30" s="2880"/>
      <c r="K30" s="2880"/>
      <c r="L30" s="2880"/>
      <c r="M30" s="2880"/>
      <c r="N30" s="2880"/>
      <c r="O30" s="2880"/>
      <c r="P30" s="2880"/>
    </row>
    <row r="31" spans="1:19" ht="15.75" thickBot="1">
      <c r="A31" s="1860"/>
      <c r="B31" s="1861"/>
      <c r="C31" s="942" t="s">
        <v>1844</v>
      </c>
      <c r="D31" s="683">
        <f>D27+D30</f>
        <v>8832.7999999999993</v>
      </c>
      <c r="E31" s="683">
        <f>E27+E30</f>
        <v>11601.220000000001</v>
      </c>
      <c r="F31" s="684">
        <f>F27+F30</f>
        <v>11601.220000000001</v>
      </c>
      <c r="G31" s="685">
        <f>G27+G30</f>
        <v>0</v>
      </c>
      <c r="H31" s="2880"/>
      <c r="I31" s="2880"/>
      <c r="J31" s="2880"/>
      <c r="K31" s="2880"/>
      <c r="L31" s="2880"/>
      <c r="M31" s="2880"/>
      <c r="N31" s="2880"/>
      <c r="O31" s="2880"/>
      <c r="P31" s="2880"/>
    </row>
    <row r="32" spans="1:19">
      <c r="A32" s="1826"/>
      <c r="B32" s="1826" t="s">
        <v>1845</v>
      </c>
      <c r="C32" s="1826"/>
      <c r="D32" s="1826"/>
      <c r="E32" s="1182">
        <f>SUMIF(C19:C26,"*住宅*",E19:E26)</f>
        <v>0</v>
      </c>
      <c r="F32" s="1826"/>
      <c r="G32" s="1826"/>
      <c r="H32" s="2880"/>
      <c r="I32" s="2880"/>
      <c r="J32" s="2880"/>
      <c r="K32" s="2880"/>
      <c r="L32" s="2880"/>
      <c r="M32" s="2880"/>
      <c r="N32" s="2880"/>
      <c r="O32" s="2880"/>
      <c r="P32" s="2880"/>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1928" customWidth="1"/>
    <col min="2" max="2" width="12" style="1866" customWidth="1"/>
    <col min="3" max="3" width="12.75" style="1866" customWidth="1"/>
    <col min="4" max="4" width="9.125" style="1929"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8.625" style="1866" bestFit="1"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0"/>
      <c r="D1" s="1864"/>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42" customFormat="1" ht="15.75" thickBot="1">
      <c r="A2" s="1867" t="s">
        <v>1847</v>
      </c>
      <c r="B2" s="1174">
        <f>项目基本情况!D3</f>
        <v>44299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6"/>
      <c r="AO2" s="2896"/>
      <c r="AP2" s="2896"/>
      <c r="AQ2" s="2896"/>
      <c r="AR2" s="2896"/>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6"/>
      <c r="AO3" s="2896"/>
      <c r="AP3" s="2896"/>
      <c r="AQ3" s="2896"/>
      <c r="AR3" s="2896"/>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79"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6"/>
      <c r="AO4" s="2896"/>
      <c r="AP4" s="2896"/>
      <c r="AQ4" s="2896"/>
      <c r="AR4" s="2896"/>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3059" t="s">
        <v>3214</v>
      </c>
      <c r="O5" s="1886" t="s">
        <v>1867</v>
      </c>
      <c r="P5" s="1888" t="s">
        <v>1868</v>
      </c>
      <c r="Q5" s="64" t="s">
        <v>1869</v>
      </c>
      <c r="R5" s="1889" t="s">
        <v>1870</v>
      </c>
      <c r="S5" s="1890" t="s">
        <v>1871</v>
      </c>
      <c r="T5" s="1891" t="s">
        <v>1872</v>
      </c>
      <c r="U5" s="1175" t="s">
        <v>1873</v>
      </c>
      <c r="V5" s="1176" t="s">
        <v>1874</v>
      </c>
      <c r="W5" s="1176" t="s">
        <v>1875</v>
      </c>
      <c r="X5" s="66"/>
      <c r="Y5" s="65" t="s">
        <v>1876</v>
      </c>
      <c r="Z5" s="1892" t="s">
        <v>1873</v>
      </c>
      <c r="AA5" s="1176" t="s">
        <v>1874</v>
      </c>
      <c r="AB5" s="1176" t="s">
        <v>1875</v>
      </c>
      <c r="AC5" s="66"/>
      <c r="AD5" s="66" t="s">
        <v>1876</v>
      </c>
      <c r="AE5" s="1175" t="s">
        <v>1877</v>
      </c>
      <c r="AF5" s="1176" t="s">
        <v>1878</v>
      </c>
      <c r="AG5" s="65" t="s">
        <v>1879</v>
      </c>
      <c r="AH5" s="1175" t="s">
        <v>1880</v>
      </c>
      <c r="AI5" s="1892" t="s">
        <v>1881</v>
      </c>
      <c r="AJ5" s="1892" t="s">
        <v>1882</v>
      </c>
      <c r="AK5" s="1176" t="s">
        <v>1883</v>
      </c>
      <c r="AL5" s="1176" t="s">
        <v>1884</v>
      </c>
      <c r="AM5" s="65" t="s">
        <v>1885</v>
      </c>
      <c r="AN5" s="1893" t="s">
        <v>1886</v>
      </c>
      <c r="AO5" s="1745"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5">
        <f>SUMIF(项目基本情况!D$12:I$12,C6,项目基本情况!D$14:I$14)</f>
        <v>40</v>
      </c>
      <c r="E6" s="964">
        <f>IF(B6="","",SUMIF(项目基本情况!D$12:I$12,C6,项目基本情况!D$13:I$13))</f>
        <v>57769</v>
      </c>
      <c r="F6" s="67">
        <f>SUMIF(项目基本情况!D$12:I$12,C6,项目基本情况!D$15:I$15)</f>
        <v>36.9</v>
      </c>
      <c r="G6" s="68">
        <f>IF(ISERROR(ROUND(POWER(1+H6,D6-F6)*(POWER(1+H6,F6)-1)/(POWER(1+H6,D6)-1),3)),0,ROUND(POWER(1+H6,D6-F6)*(POWER(1+H6,F6)-1)/(POWER(1+H6,D6)-1),3))</f>
        <v>0.97299999999999998</v>
      </c>
      <c r="H6" s="739">
        <v>0.05</v>
      </c>
      <c r="I6" s="739">
        <v>5.5E-2</v>
      </c>
      <c r="J6" s="69">
        <v>8.5000000000000006E-2</v>
      </c>
      <c r="K6" s="1159">
        <f>SUMIF('数据-汇总表'!C$19:C$33,A6,'数据-汇总表'!E$19:E$33)</f>
        <v>11601.220000000001</v>
      </c>
      <c r="L6" s="740">
        <v>3000</v>
      </c>
      <c r="M6" s="70">
        <f t="shared" ref="M6:M14" si="0">ROUND(K6*L6/10000,0)</f>
        <v>3480</v>
      </c>
      <c r="N6" s="738">
        <f>ROUND(1-(2021-2020)/60,2)</f>
        <v>0.98</v>
      </c>
      <c r="O6" s="70" t="str">
        <f>IF($N$5="成新度","——",ROUND(M6*N6,0))</f>
        <v>——</v>
      </c>
      <c r="P6" s="71" t="str">
        <f>IF($N$5="成新度","——",M6-O6)</f>
        <v>——</v>
      </c>
      <c r="Q6" s="741">
        <v>0.1</v>
      </c>
      <c r="R6" s="72">
        <f ca="1">SUMIF('数据-汇总表'!C$19:C$33,A6,'数据-汇总表'!R$19:R$27)</f>
        <v>8832.7999999999993</v>
      </c>
      <c r="S6" s="53">
        <f>IF('数据-汇总表'!$I$17="按面积比例",SUMIF('数据-汇总表'!C$19:C$33,A6,'数据-汇总表'!K$19:K$33),SUMIF('数据-汇总表'!C$19:C$33,A6,'数据-汇总表'!N$19:N$33))</f>
        <v>0</v>
      </c>
      <c r="T6" s="1332">
        <f>ROUND($L$14*S6/10000,0)</f>
        <v>0</v>
      </c>
      <c r="U6" s="73">
        <v>3.7</v>
      </c>
      <c r="V6" s="74">
        <v>2.5000000000000001E-2</v>
      </c>
      <c r="W6" s="74">
        <v>0.1</v>
      </c>
      <c r="X6" s="1169"/>
      <c r="Y6" s="75">
        <f>N6</f>
        <v>0.98</v>
      </c>
      <c r="Z6" s="76"/>
      <c r="AA6" s="69"/>
      <c r="AB6" s="69"/>
      <c r="AC6" s="1169"/>
      <c r="AD6" s="77"/>
      <c r="AE6" s="1170">
        <f ca="1">IF(AN6="",0,SUMIF(INDIRECT("'"&amp;AN6&amp;"'"&amp;"!E:E"),$AE$5,INDIRECT("'"&amp;AN6&amp;"'"&amp;"!F:F")))</f>
        <v>36.9</v>
      </c>
      <c r="AF6" s="1530"/>
      <c r="AG6" s="141">
        <f>IF(AF6="",0,AE6-AF6)</f>
        <v>0</v>
      </c>
      <c r="AH6" s="78"/>
      <c r="AI6" s="80">
        <v>365</v>
      </c>
      <c r="AJ6" s="81"/>
      <c r="AK6" s="82">
        <v>1.4999999999999999E-2</v>
      </c>
      <c r="AL6" s="83">
        <v>1.5E-3</v>
      </c>
      <c r="AM6" s="84">
        <v>0.01</v>
      </c>
      <c r="AN6" s="1898" t="s">
        <v>3093</v>
      </c>
      <c r="AO6" s="54">
        <f ca="1">SUMIF(INDIRECT("'"&amp;AN6&amp;"'"&amp;"!A:A"),"总价",INDIRECT("'"&amp;AN6&amp;"'"&amp;"!B:B"))</f>
        <v>23649</v>
      </c>
      <c r="AP6" s="1899">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5">
        <f>'数据-汇总表'!C20</f>
        <v>0</v>
      </c>
      <c r="B7" s="1896" t="str">
        <f t="shared" ref="B7:B13" si="1">IF(A7=0,"","经营性")</f>
        <v/>
      </c>
      <c r="C7" s="1897"/>
      <c r="D7" s="965">
        <f>SUMIF(项目基本情况!D$12:I$12,C7,项目基本情况!D$14:I$14)</f>
        <v>0</v>
      </c>
      <c r="E7" s="964"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9"/>
      <c r="I7" s="739"/>
      <c r="J7" s="69"/>
      <c r="K7" s="1159">
        <f>SUMIF('数据-汇总表'!C$19:C$33,A7,'数据-汇总表'!E$19:E$33)</f>
        <v>0</v>
      </c>
      <c r="L7" s="740"/>
      <c r="M7" s="70">
        <f t="shared" si="0"/>
        <v>0</v>
      </c>
      <c r="N7" s="738"/>
      <c r="O7" s="70" t="str">
        <f t="shared" ref="O7:O14" si="3">IF($N$5="成新度","——",ROUND(M7*N7,0))</f>
        <v>——</v>
      </c>
      <c r="P7" s="71" t="str">
        <f t="shared" ref="P7:P14" si="4">IF($N$5="成新度","——",M7-O7)</f>
        <v>——</v>
      </c>
      <c r="Q7" s="741"/>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69"/>
      <c r="Y7" s="75"/>
      <c r="Z7" s="76"/>
      <c r="AA7" s="69"/>
      <c r="AB7" s="69"/>
      <c r="AC7" s="1169"/>
      <c r="AD7" s="77"/>
      <c r="AE7" s="1170">
        <f t="shared" ref="AE7:AE13" ca="1" si="6">IF(AN7="",0,SUMIF(INDIRECT("'"&amp;AN7&amp;"'"&amp;"!E:E"),$AE$5,INDIRECT("'"&amp;AN7&amp;"'"&amp;"!F:F")))</f>
        <v>0</v>
      </c>
      <c r="AF7" s="1530"/>
      <c r="AG7" s="141">
        <f t="shared" ref="AG7:AG13" si="7">IF(AF7="",0,AE7-AF7)</f>
        <v>0</v>
      </c>
      <c r="AH7" s="78"/>
      <c r="AI7" s="80"/>
      <c r="AJ7" s="81"/>
      <c r="AK7" s="82"/>
      <c r="AL7" s="83"/>
      <c r="AM7" s="84"/>
      <c r="AN7" s="1898"/>
      <c r="AO7" s="54" t="e">
        <f t="shared" ref="AO7:AO13" ca="1" si="8">SUMIF(INDIRECT("'"&amp;AN7&amp;"'"&amp;"!A:A"),"总价",INDIRECT("'"&amp;AN7&amp;"'"&amp;"!B:B"))</f>
        <v>#REF!</v>
      </c>
      <c r="AP7" s="1899">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5">
        <f>'数据-汇总表'!C21</f>
        <v>0</v>
      </c>
      <c r="B8" s="1896" t="str">
        <f t="shared" si="1"/>
        <v/>
      </c>
      <c r="C8" s="1897"/>
      <c r="D8" s="965">
        <f>SUMIF(项目基本情况!D$12:I$12,C8,项目基本情况!D$14:I$14)</f>
        <v>0</v>
      </c>
      <c r="E8" s="964" t="str">
        <f>IF(B8="","",SUMIF(项目基本情况!D$12:I$12,C8,项目基本情况!D$13:I$13))</f>
        <v/>
      </c>
      <c r="F8" s="67">
        <f>SUMIF(项目基本情况!D$12:I$12,C8,项目基本情况!D$15:I$15)</f>
        <v>0</v>
      </c>
      <c r="G8" s="68">
        <f t="shared" si="2"/>
        <v>0</v>
      </c>
      <c r="H8" s="739"/>
      <c r="I8" s="739"/>
      <c r="J8" s="69"/>
      <c r="K8" s="1159">
        <f>SUMIF('数据-汇总表'!C$19:C$33,A8,'数据-汇总表'!E$19:E$33)</f>
        <v>0</v>
      </c>
      <c r="L8" s="740"/>
      <c r="M8" s="70">
        <f>ROUND(K8*L8/10000,0)</f>
        <v>0</v>
      </c>
      <c r="N8" s="738"/>
      <c r="O8" s="70" t="str">
        <f t="shared" si="3"/>
        <v>——</v>
      </c>
      <c r="P8" s="71" t="str">
        <f t="shared" si="4"/>
        <v>——</v>
      </c>
      <c r="Q8" s="741"/>
      <c r="R8" s="72">
        <f ca="1">SUMIF('数据-汇总表'!C$19:C$33,A8,'数据-汇总表'!R$19:R$27)</f>
        <v>0</v>
      </c>
      <c r="S8" s="53">
        <f>IF('数据-汇总表'!$I$17="按面积比例",SUMIF('数据-汇总表'!C$19:C$33,A8,'数据-汇总表'!K$19:K$33),SUMIF('数据-汇总表'!C$19:C$33,A8,'数据-汇总表'!N$19:N$33))</f>
        <v>0</v>
      </c>
      <c r="T8" s="1332">
        <f t="shared" si="5"/>
        <v>0</v>
      </c>
      <c r="U8" s="742"/>
      <c r="V8" s="743"/>
      <c r="W8" s="743"/>
      <c r="X8" s="1169"/>
      <c r="Y8" s="744"/>
      <c r="Z8" s="76"/>
      <c r="AA8" s="69"/>
      <c r="AB8" s="69"/>
      <c r="AC8" s="1169"/>
      <c r="AD8" s="77"/>
      <c r="AE8" s="1170">
        <f t="shared" ca="1" si="6"/>
        <v>0</v>
      </c>
      <c r="AF8" s="1530"/>
      <c r="AG8" s="141">
        <f t="shared" si="7"/>
        <v>0</v>
      </c>
      <c r="AH8" s="745"/>
      <c r="AI8" s="80"/>
      <c r="AJ8" s="81"/>
      <c r="AK8" s="746"/>
      <c r="AL8" s="747"/>
      <c r="AM8" s="748"/>
      <c r="AN8" s="1898"/>
      <c r="AO8" s="54" t="e">
        <f t="shared" ca="1" si="8"/>
        <v>#REF!</v>
      </c>
      <c r="AP8" s="1899">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5">
        <f>'数据-汇总表'!C22</f>
        <v>0</v>
      </c>
      <c r="B9" s="1896" t="str">
        <f t="shared" si="1"/>
        <v/>
      </c>
      <c r="C9" s="1897"/>
      <c r="D9" s="965">
        <f>SUMIF(项目基本情况!D$12:I$12,C9,项目基本情况!D$14:I$14)</f>
        <v>0</v>
      </c>
      <c r="E9" s="964" t="str">
        <f>IF(B9="","",SUMIF(项目基本情况!D$12:I$12,C9,项目基本情况!D$13:I$13))</f>
        <v/>
      </c>
      <c r="F9" s="67">
        <f>SUMIF(项目基本情况!D$12:I$12,C9,项目基本情况!D$15:I$15)</f>
        <v>0</v>
      </c>
      <c r="G9" s="68">
        <f t="shared" si="2"/>
        <v>0</v>
      </c>
      <c r="H9" s="69"/>
      <c r="I9" s="69"/>
      <c r="J9" s="69"/>
      <c r="K9" s="1159">
        <f>SUMIF('数据-汇总表'!C$19:C$33,A9,'数据-汇总表'!E$19:E$33)</f>
        <v>0</v>
      </c>
      <c r="L9" s="740"/>
      <c r="M9" s="70">
        <f t="shared" si="0"/>
        <v>0</v>
      </c>
      <c r="N9" s="738"/>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69"/>
      <c r="Y9" s="75"/>
      <c r="Z9" s="76"/>
      <c r="AA9" s="69"/>
      <c r="AB9" s="69"/>
      <c r="AC9" s="1169"/>
      <c r="AD9" s="77"/>
      <c r="AE9" s="1170">
        <f t="shared" ca="1" si="6"/>
        <v>0</v>
      </c>
      <c r="AF9" s="1530"/>
      <c r="AG9" s="141">
        <f t="shared" si="7"/>
        <v>0</v>
      </c>
      <c r="AH9" s="78"/>
      <c r="AI9" s="80"/>
      <c r="AJ9" s="81"/>
      <c r="AK9" s="82"/>
      <c r="AL9" s="83"/>
      <c r="AM9" s="84"/>
      <c r="AN9" s="1898"/>
      <c r="AO9" s="54" t="e">
        <f t="shared" ca="1" si="8"/>
        <v>#REF!</v>
      </c>
      <c r="AP9" s="1899">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5">
        <f>'数据-汇总表'!C23</f>
        <v>0</v>
      </c>
      <c r="B10" s="1896" t="str">
        <f t="shared" si="1"/>
        <v/>
      </c>
      <c r="C10" s="1897"/>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0"/>
      <c r="M10" s="70">
        <f t="shared" si="0"/>
        <v>0</v>
      </c>
      <c r="N10" s="738"/>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0"/>
      <c r="AG10" s="141">
        <f t="shared" si="7"/>
        <v>0</v>
      </c>
      <c r="AH10" s="78"/>
      <c r="AI10" s="80"/>
      <c r="AJ10" s="81"/>
      <c r="AK10" s="82"/>
      <c r="AL10" s="83"/>
      <c r="AM10" s="84"/>
      <c r="AN10" s="1898"/>
      <c r="AO10" s="54" t="e">
        <f t="shared" ca="1" si="8"/>
        <v>#REF!</v>
      </c>
      <c r="AP10" s="1899">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5">
        <f>'数据-汇总表'!C24</f>
        <v>0</v>
      </c>
      <c r="B11" s="1896" t="str">
        <f t="shared" si="1"/>
        <v/>
      </c>
      <c r="C11" s="1897"/>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0"/>
      <c r="AG11" s="141">
        <f t="shared" si="7"/>
        <v>0</v>
      </c>
      <c r="AH11" s="78"/>
      <c r="AI11" s="80"/>
      <c r="AJ11" s="81"/>
      <c r="AK11" s="89"/>
      <c r="AL11" s="90"/>
      <c r="AM11" s="91"/>
      <c r="AN11" s="1898"/>
      <c r="AO11" s="54" t="e">
        <f t="shared" ca="1" si="8"/>
        <v>#REF!</v>
      </c>
      <c r="AP11" s="1899">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5">
        <f>'数据-汇总表'!C25</f>
        <v>0</v>
      </c>
      <c r="B12" s="1896" t="str">
        <f t="shared" si="1"/>
        <v/>
      </c>
      <c r="C12" s="1897"/>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0"/>
      <c r="AG12" s="141">
        <f t="shared" si="7"/>
        <v>0</v>
      </c>
      <c r="AH12" s="78"/>
      <c r="AI12" s="80"/>
      <c r="AJ12" s="81"/>
      <c r="AK12" s="89"/>
      <c r="AL12" s="90"/>
      <c r="AM12" s="91"/>
      <c r="AN12" s="1898"/>
      <c r="AO12" s="54" t="e">
        <f t="shared" ca="1" si="8"/>
        <v>#REF!</v>
      </c>
      <c r="AP12" s="1899">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5">
        <f>'数据-汇总表'!C26</f>
        <v>0</v>
      </c>
      <c r="B13" s="1896" t="str">
        <f t="shared" si="1"/>
        <v/>
      </c>
      <c r="C13" s="1897"/>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0"/>
      <c r="AG13" s="141">
        <f t="shared" si="7"/>
        <v>0</v>
      </c>
      <c r="AH13" s="78"/>
      <c r="AI13" s="80"/>
      <c r="AJ13" s="81"/>
      <c r="AK13" s="82"/>
      <c r="AL13" s="83"/>
      <c r="AM13" s="84"/>
      <c r="AN13" s="1898"/>
      <c r="AO13" s="54" t="e">
        <f t="shared" ca="1" si="8"/>
        <v>#REF!</v>
      </c>
      <c r="AP13" s="1899">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0" t="s">
        <v>1891</v>
      </c>
      <c r="B14" s="1896" t="s">
        <v>1892</v>
      </c>
      <c r="C14" s="1901"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7"/>
      <c r="V14" s="1164"/>
      <c r="W14" s="1164"/>
      <c r="X14" s="1165"/>
      <c r="Y14" s="1166"/>
      <c r="Z14" s="1167"/>
      <c r="AA14" s="1168"/>
      <c r="AB14" s="1168"/>
      <c r="AC14" s="1169"/>
      <c r="AD14" s="1165"/>
      <c r="AE14" s="1170"/>
      <c r="AF14" s="54"/>
      <c r="AG14" s="141"/>
      <c r="AH14" s="1170"/>
      <c r="AI14" s="1539"/>
      <c r="AJ14" s="711"/>
      <c r="AK14" s="1171"/>
      <c r="AL14" s="1172"/>
      <c r="AM14" s="1173"/>
      <c r="AN14" s="2894"/>
      <c r="AO14" s="2896"/>
      <c r="AP14" s="2896"/>
      <c r="AQ14" s="2896"/>
      <c r="AR14" s="2896"/>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0" t="s">
        <v>1893</v>
      </c>
      <c r="B15" s="1896" t="s">
        <v>1892</v>
      </c>
      <c r="C15" s="1901"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7"/>
      <c r="V15" s="1164"/>
      <c r="W15" s="1164"/>
      <c r="X15" s="1165"/>
      <c r="Y15" s="1166"/>
      <c r="Z15" s="1167"/>
      <c r="AA15" s="1168"/>
      <c r="AB15" s="1168"/>
      <c r="AC15" s="1169"/>
      <c r="AD15" s="1165"/>
      <c r="AE15" s="1170"/>
      <c r="AF15" s="54"/>
      <c r="AG15" s="141"/>
      <c r="AH15" s="1170"/>
      <c r="AI15" s="1539"/>
      <c r="AJ15" s="711"/>
      <c r="AK15" s="1171"/>
      <c r="AL15" s="1172"/>
      <c r="AM15" s="1173"/>
      <c r="AN15" s="2894"/>
      <c r="AO15" s="2896"/>
      <c r="AP15" s="2896"/>
      <c r="AQ15" s="2896"/>
      <c r="AR15" s="2896"/>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2" t="s">
        <v>1895</v>
      </c>
      <c r="B16" s="92"/>
      <c r="C16" s="940"/>
      <c r="D16" s="1903"/>
      <c r="E16" s="92"/>
      <c r="F16" s="92"/>
      <c r="G16" s="93">
        <f>ROUND(SUMPRODUCT(G6:G13,K6:K13)/SUMPRODUCT((G6:G13&gt;0)*(K6:K13)),3)</f>
        <v>0.97299999999999998</v>
      </c>
      <c r="H16" s="94">
        <f>ROUND(SUMPRODUCT(H6:H13,K6:K13)/SUMPRODUCT((H6:H13&gt;0)*(K6:K13)),3)</f>
        <v>0.05</v>
      </c>
      <c r="I16" s="95"/>
      <c r="J16" s="95"/>
      <c r="K16" s="96">
        <f>SUM(K6:K15)</f>
        <v>11601.220000000001</v>
      </c>
      <c r="L16" s="97">
        <f>ROUND(M16*10000/SUM(K6:K14),0)</f>
        <v>3000</v>
      </c>
      <c r="M16" s="97">
        <f>SUM(M6:M14)</f>
        <v>3480</v>
      </c>
      <c r="N16" s="98">
        <f>ROUND(SUMPRODUCT(M6:M14,N6:N14)/M16,3)</f>
        <v>0.98</v>
      </c>
      <c r="O16" s="97">
        <f>SUM(O6:O14)</f>
        <v>0</v>
      </c>
      <c r="P16" s="97">
        <f>SUM(P6:P14)</f>
        <v>0</v>
      </c>
      <c r="Q16" s="99">
        <f>ROUND(SUMPRODUCT(Q6:Q13,K6:K13)/SUMPRODUCT((Q6:Q13&gt;0)*(K6:K13)),2)</f>
        <v>0.1</v>
      </c>
      <c r="R16" s="1163">
        <f ca="1">SUM(R6:R13)</f>
        <v>8832.7999999999993</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4"/>
      <c r="AO16" s="2896"/>
      <c r="AP16" s="2896"/>
      <c r="AQ16" s="2896"/>
      <c r="AR16" s="2896"/>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4"/>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3"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5" t="s">
        <v>1897</v>
      </c>
      <c r="B19" s="107">
        <v>0</v>
      </c>
      <c r="C19" s="3024" t="s">
        <v>3047</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6" t="s">
        <v>1898</v>
      </c>
      <c r="B20" s="108">
        <v>1.5</v>
      </c>
      <c r="C20" s="3025" t="s">
        <v>3045</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7" t="s">
        <v>1899</v>
      </c>
      <c r="B21" s="108">
        <v>1.5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6" t="s">
        <v>1900</v>
      </c>
      <c r="B22" s="109">
        <f>B19+B20</f>
        <v>1.5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7" t="s">
        <v>1901</v>
      </c>
      <c r="B23" s="109">
        <f>B19+B21</f>
        <v>1.5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8" t="s">
        <v>1902</v>
      </c>
      <c r="B24" s="110">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0"/>
      <c r="B25" s="1871"/>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7" t="s">
        <v>1903</v>
      </c>
      <c r="B26" s="1909"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1" customFormat="1" ht="27.75">
      <c r="A27" s="1910" t="s">
        <v>1906</v>
      </c>
      <c r="B27" s="111">
        <v>160</v>
      </c>
      <c r="C27" s="3026" t="s">
        <v>3049</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4">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060">
        <f ca="1">成本法!C10</f>
        <v>232</v>
      </c>
      <c r="C29" s="3027" t="s">
        <v>3036</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8">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5">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79">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0">
        <v>0.03</v>
      </c>
      <c r="C33" s="3028" t="s">
        <v>3037</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6">
        <v>0</v>
      </c>
      <c r="C34" s="3028" t="s">
        <v>3038</v>
      </c>
      <c r="D34" s="2907" t="s">
        <v>3046</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4">
        <v>200</v>
      </c>
      <c r="C35" s="3028" t="s">
        <v>3039</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7">
        <v>1.4999999999999999E-2</v>
      </c>
      <c r="C36" s="3028" t="s">
        <v>3040</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4" t="s">
        <v>1916</v>
      </c>
      <c r="B37" s="118">
        <v>0.02</v>
      </c>
      <c r="C37" s="3028" t="s">
        <v>3041</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2" t="s">
        <v>1917</v>
      </c>
      <c r="B38" s="116">
        <v>0.02</v>
      </c>
      <c r="C38" s="3028" t="s">
        <v>3041</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5" t="s">
        <v>1918</v>
      </c>
      <c r="B39" s="321">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39" t="s">
        <v>3058</v>
      </c>
      <c r="B40" s="1208">
        <f ca="1">IF(A40="利息：取LPR",存贷款利率!G1,存贷款利率!G1+C40)</f>
        <v>3.85E-2</v>
      </c>
      <c r="C40" s="3038">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0" t="s">
        <v>1919</v>
      </c>
      <c r="B41" s="119">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6" t="s">
        <v>1920</v>
      </c>
      <c r="B42" s="120">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6" t="s">
        <v>1921</v>
      </c>
      <c r="B43" s="121">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7" t="s">
        <v>1922</v>
      </c>
      <c r="B44" s="122">
        <v>0.05</v>
      </c>
      <c r="C44" s="3028" t="s">
        <v>3050</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7" t="s">
        <v>1923</v>
      </c>
      <c r="B45" s="120">
        <v>0.03</v>
      </c>
      <c r="C45" s="3027" t="s">
        <v>3042</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7" t="s">
        <v>1924</v>
      </c>
      <c r="B46" s="120">
        <v>0.02</v>
      </c>
      <c r="C46" s="3027" t="s">
        <v>3043</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8" t="s">
        <v>1925</v>
      </c>
      <c r="B47" s="123">
        <v>0</v>
      </c>
      <c r="C47" s="3030" t="s">
        <v>3051</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9" t="s">
        <v>1926</v>
      </c>
      <c r="B48" s="124">
        <v>0.03</v>
      </c>
      <c r="C48" s="3027" t="s">
        <v>3042</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5" t="s">
        <v>1927</v>
      </c>
      <c r="B49" s="120">
        <v>5.0000000000000001E-4</v>
      </c>
      <c r="C49" s="3027" t="s">
        <v>3044</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0" t="s">
        <v>1928</v>
      </c>
      <c r="B50" s="125">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3" t="s">
        <v>1929</v>
      </c>
      <c r="B51" s="126">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0" t="s">
        <v>1930</v>
      </c>
      <c r="B52" s="127">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2" t="s">
        <v>1931</v>
      </c>
      <c r="B53" s="1921" t="s">
        <v>56</v>
      </c>
      <c r="C53" s="2882" t="s">
        <v>1932</v>
      </c>
      <c r="D53" s="3029" t="s">
        <v>3048</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2" t="s">
        <v>1933</v>
      </c>
      <c r="B54" s="79">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2" t="s">
        <v>1934</v>
      </c>
      <c r="B55" s="79">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2" t="s">
        <v>1935</v>
      </c>
      <c r="B56" s="79">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2" t="s">
        <v>1936</v>
      </c>
      <c r="B57" s="79">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2" t="s">
        <v>1937</v>
      </c>
      <c r="B58" s="79">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2" t="s">
        <v>1938</v>
      </c>
      <c r="B59" s="79">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2" t="s">
        <v>1939</v>
      </c>
      <c r="B60" s="79"/>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2" t="s">
        <v>1940</v>
      </c>
      <c r="B61" s="79"/>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2" t="s">
        <v>1941</v>
      </c>
      <c r="B62" s="79"/>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3" t="s">
        <v>1942</v>
      </c>
      <c r="B63" s="128"/>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9"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9"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9"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9"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9"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9" customFormat="1">
      <c r="A69" s="1924"/>
      <c r="D69" s="1925"/>
      <c r="K69" s="735"/>
      <c r="L69" s="735"/>
    </row>
    <row r="70" spans="1:44" s="899" customFormat="1">
      <c r="A70" s="1924"/>
      <c r="D70" s="1925"/>
      <c r="K70" s="735"/>
      <c r="L70" s="735"/>
    </row>
    <row r="71" spans="1:44" s="899" customFormat="1">
      <c r="A71" s="1924"/>
      <c r="D71" s="1925"/>
      <c r="K71" s="735"/>
      <c r="L71" s="735"/>
    </row>
    <row r="72" spans="1:44" s="899" customFormat="1">
      <c r="A72" s="1924"/>
      <c r="D72" s="1925"/>
      <c r="K72" s="735"/>
      <c r="L72" s="735"/>
    </row>
    <row r="73" spans="1:44" s="899" customFormat="1">
      <c r="A73" s="1924"/>
      <c r="D73" s="1925"/>
      <c r="K73" s="735"/>
      <c r="L73" s="735"/>
    </row>
    <row r="74" spans="1:44" s="899" customFormat="1">
      <c r="A74" s="1924"/>
      <c r="D74" s="1925"/>
      <c r="K74" s="735"/>
      <c r="L74" s="735"/>
    </row>
    <row r="75" spans="1:44" s="899" customFormat="1">
      <c r="A75" s="1924"/>
      <c r="D75" s="1925"/>
      <c r="K75" s="735"/>
      <c r="L75" s="735"/>
    </row>
    <row r="76" spans="1:44" s="899" customFormat="1">
      <c r="A76" s="1924"/>
      <c r="D76" s="1925"/>
      <c r="K76" s="735"/>
      <c r="L76" s="735"/>
    </row>
    <row r="77" spans="1:44" s="899" customFormat="1">
      <c r="A77" s="1924"/>
      <c r="D77" s="1925"/>
      <c r="K77" s="735"/>
      <c r="L77" s="735"/>
    </row>
    <row r="78" spans="1:44" s="899" customFormat="1">
      <c r="A78" s="1924"/>
      <c r="D78" s="1925"/>
      <c r="K78" s="735"/>
      <c r="L78" s="735"/>
    </row>
    <row r="79" spans="1:44" s="899" customFormat="1">
      <c r="A79" s="1924"/>
      <c r="D79" s="1925"/>
      <c r="K79" s="735"/>
      <c r="L79" s="735"/>
    </row>
    <row r="80" spans="1:44" s="899" customFormat="1">
      <c r="A80" s="1924"/>
      <c r="D80" s="1925"/>
      <c r="K80" s="735"/>
      <c r="L80" s="735"/>
    </row>
    <row r="81" spans="1:12" s="899" customFormat="1">
      <c r="A81" s="1924"/>
      <c r="D81" s="1925"/>
      <c r="K81" s="735"/>
      <c r="L81" s="735"/>
    </row>
    <row r="82" spans="1:12" s="899" customFormat="1">
      <c r="A82" s="1924"/>
      <c r="D82" s="1925"/>
      <c r="K82" s="735"/>
      <c r="L82" s="735"/>
    </row>
    <row r="83" spans="1:12" s="899" customFormat="1">
      <c r="A83" s="1924"/>
      <c r="D83" s="1925"/>
      <c r="K83" s="735"/>
      <c r="L83" s="735"/>
    </row>
    <row r="84" spans="1:12" s="899" customFormat="1">
      <c r="A84" s="1924"/>
      <c r="D84" s="1925"/>
      <c r="K84" s="735"/>
      <c r="L84" s="735"/>
    </row>
    <row r="85" spans="1:12" s="899" customFormat="1">
      <c r="A85" s="1924"/>
      <c r="D85" s="1925"/>
      <c r="K85" s="735"/>
      <c r="L85" s="735"/>
    </row>
    <row r="86" spans="1:12" s="899" customFormat="1">
      <c r="A86" s="1924"/>
      <c r="D86" s="1925"/>
      <c r="K86" s="735"/>
      <c r="L86" s="735"/>
    </row>
    <row r="87" spans="1:12" s="899" customFormat="1">
      <c r="A87" s="1924"/>
      <c r="D87" s="1925"/>
      <c r="K87" s="735"/>
      <c r="L87" s="735"/>
    </row>
    <row r="88" spans="1:12" s="899" customFormat="1">
      <c r="A88" s="1924"/>
      <c r="D88" s="1925"/>
      <c r="K88" s="735"/>
      <c r="L88" s="735"/>
    </row>
    <row r="89" spans="1:12" s="899" customFormat="1">
      <c r="A89" s="1924"/>
      <c r="D89" s="1925"/>
      <c r="K89" s="735"/>
      <c r="L89" s="735"/>
    </row>
    <row r="90" spans="1:12" s="899" customFormat="1">
      <c r="A90" s="1924"/>
      <c r="D90" s="1925"/>
      <c r="K90" s="735"/>
      <c r="L90" s="735"/>
    </row>
    <row r="91" spans="1:12" s="899" customFormat="1">
      <c r="A91" s="1924"/>
      <c r="D91" s="1925"/>
      <c r="K91" s="735"/>
      <c r="L91" s="735"/>
    </row>
    <row r="92" spans="1:12" s="899" customFormat="1">
      <c r="A92" s="1924"/>
      <c r="D92" s="1925"/>
      <c r="K92" s="735"/>
      <c r="L92" s="735"/>
    </row>
    <row r="93" spans="1:12" s="899" customFormat="1">
      <c r="A93" s="1924"/>
      <c r="D93" s="1925"/>
      <c r="K93" s="735"/>
      <c r="L93" s="735"/>
    </row>
    <row r="94" spans="1:12" s="899" customFormat="1">
      <c r="A94" s="1924"/>
      <c r="D94" s="1925"/>
      <c r="K94" s="735"/>
      <c r="L94" s="735"/>
    </row>
    <row r="95" spans="1:12" s="899" customFormat="1">
      <c r="A95" s="1924"/>
      <c r="D95" s="1925"/>
      <c r="K95" s="735"/>
      <c r="L95" s="735"/>
    </row>
    <row r="96" spans="1:12" s="899" customFormat="1">
      <c r="A96" s="1924"/>
      <c r="D96" s="1925"/>
      <c r="K96" s="735"/>
      <c r="L96" s="735"/>
    </row>
    <row r="97" spans="1:12" s="899" customFormat="1">
      <c r="A97" s="1924"/>
      <c r="D97" s="1925"/>
      <c r="K97" s="735"/>
      <c r="L97" s="735"/>
    </row>
    <row r="98" spans="1:12" s="899" customFormat="1">
      <c r="A98" s="1924"/>
      <c r="D98" s="1925"/>
      <c r="K98" s="735"/>
      <c r="L98" s="735"/>
    </row>
    <row r="99" spans="1:12" s="899" customFormat="1">
      <c r="A99" s="1924"/>
      <c r="D99" s="1925"/>
      <c r="K99" s="735"/>
      <c r="L99" s="735"/>
    </row>
    <row r="100" spans="1:12" s="899" customFormat="1">
      <c r="A100" s="1924"/>
      <c r="D100" s="1925"/>
      <c r="K100" s="735"/>
      <c r="L100" s="735"/>
    </row>
    <row r="101" spans="1:12" s="899" customFormat="1">
      <c r="A101" s="1924"/>
      <c r="D101" s="1925"/>
      <c r="K101" s="735"/>
      <c r="L101" s="735"/>
    </row>
    <row r="102" spans="1:12" s="899" customFormat="1">
      <c r="A102" s="1924"/>
      <c r="D102" s="1925"/>
      <c r="K102" s="735"/>
      <c r="L102" s="735"/>
    </row>
    <row r="103" spans="1:12" s="899" customFormat="1">
      <c r="A103" s="1924"/>
      <c r="D103" s="1925"/>
      <c r="K103" s="735"/>
      <c r="L103" s="735"/>
    </row>
    <row r="104" spans="1:12" s="899" customFormat="1">
      <c r="A104" s="1924"/>
      <c r="D104" s="1925"/>
      <c r="K104" s="735"/>
      <c r="L104" s="735"/>
    </row>
    <row r="105" spans="1:12" s="899" customFormat="1">
      <c r="A105" s="1924"/>
      <c r="D105" s="1925"/>
      <c r="K105" s="735"/>
      <c r="L105" s="735"/>
    </row>
    <row r="106" spans="1:12" s="899" customFormat="1">
      <c r="A106" s="1924"/>
      <c r="D106" s="1925"/>
      <c r="K106" s="735"/>
      <c r="L106" s="735"/>
    </row>
    <row r="107" spans="1:12" s="899" customFormat="1">
      <c r="A107" s="1924"/>
      <c r="D107" s="1925"/>
      <c r="K107" s="735"/>
      <c r="L107" s="735"/>
    </row>
    <row r="108" spans="1:12" s="899" customFormat="1">
      <c r="A108" s="1924"/>
      <c r="D108" s="1925"/>
      <c r="K108" s="735"/>
      <c r="L108" s="735"/>
    </row>
    <row r="109" spans="1:12" s="899" customFormat="1">
      <c r="A109" s="1924"/>
      <c r="D109" s="1925"/>
      <c r="K109" s="735"/>
      <c r="L109" s="735"/>
    </row>
    <row r="110" spans="1:12" s="899" customFormat="1">
      <c r="A110" s="1924"/>
      <c r="D110" s="1925"/>
      <c r="K110" s="735"/>
      <c r="L110" s="735"/>
    </row>
    <row r="111" spans="1:12" s="899" customFormat="1">
      <c r="A111" s="1924"/>
      <c r="D111" s="1925"/>
      <c r="K111" s="735"/>
      <c r="L111" s="735"/>
    </row>
    <row r="112" spans="1:12" s="899" customFormat="1">
      <c r="A112" s="1924"/>
      <c r="D112" s="1925"/>
      <c r="K112" s="735"/>
      <c r="L112" s="735"/>
    </row>
    <row r="113" spans="1:12" s="899" customFormat="1">
      <c r="A113" s="1924"/>
      <c r="D113" s="1925"/>
      <c r="K113" s="735"/>
      <c r="L113" s="735"/>
    </row>
    <row r="114" spans="1:12" s="899" customFormat="1">
      <c r="A114" s="1924"/>
      <c r="D114" s="1925"/>
      <c r="K114" s="735"/>
      <c r="L114" s="735"/>
    </row>
    <row r="115" spans="1:12" s="899" customFormat="1">
      <c r="A115" s="1924"/>
      <c r="D115" s="1925"/>
      <c r="K115" s="735"/>
      <c r="L115" s="735"/>
    </row>
    <row r="116" spans="1:12" s="899" customFormat="1">
      <c r="A116" s="1924"/>
      <c r="D116" s="1925"/>
      <c r="K116" s="735"/>
      <c r="L116" s="735"/>
    </row>
    <row r="117" spans="1:12" s="899" customFormat="1">
      <c r="A117" s="1924"/>
      <c r="D117" s="1925"/>
      <c r="K117" s="735"/>
      <c r="L117" s="735"/>
    </row>
    <row r="118" spans="1:12" s="899" customFormat="1">
      <c r="A118" s="1924"/>
      <c r="D118" s="1925"/>
      <c r="K118" s="735"/>
      <c r="L118" s="735"/>
    </row>
    <row r="119" spans="1:12" s="899" customFormat="1">
      <c r="A119" s="1924"/>
      <c r="D119" s="1925"/>
      <c r="K119" s="735"/>
      <c r="L119" s="735"/>
    </row>
    <row r="120" spans="1:12" s="899" customFormat="1">
      <c r="A120" s="1924"/>
      <c r="D120" s="1925"/>
      <c r="K120" s="735"/>
      <c r="L120" s="735"/>
    </row>
    <row r="121" spans="1:12" s="899" customFormat="1">
      <c r="A121" s="1924"/>
      <c r="D121" s="1925"/>
      <c r="K121" s="735"/>
      <c r="L121" s="735"/>
    </row>
    <row r="122" spans="1:12" s="899" customFormat="1">
      <c r="A122" s="1924"/>
      <c r="D122" s="1925"/>
      <c r="K122" s="735"/>
      <c r="L122" s="735"/>
    </row>
    <row r="123" spans="1:12" s="899" customFormat="1">
      <c r="A123" s="1924"/>
      <c r="D123" s="1925"/>
      <c r="K123" s="735"/>
      <c r="L123" s="735"/>
    </row>
    <row r="124" spans="1:12" s="899" customFormat="1">
      <c r="A124" s="1924"/>
      <c r="D124" s="1925"/>
      <c r="K124" s="735"/>
      <c r="L124" s="735"/>
    </row>
    <row r="125" spans="1:12" s="899" customFormat="1">
      <c r="A125" s="1924"/>
      <c r="D125" s="1925"/>
      <c r="K125" s="735"/>
      <c r="L125" s="735"/>
    </row>
    <row r="126" spans="1:12" s="899" customFormat="1">
      <c r="A126" s="1924"/>
      <c r="D126" s="1925"/>
      <c r="K126" s="735"/>
      <c r="L126" s="735"/>
    </row>
    <row r="127" spans="1:12" s="899" customFormat="1">
      <c r="A127" s="1924"/>
      <c r="D127" s="1925"/>
      <c r="K127" s="735"/>
      <c r="L127" s="735"/>
    </row>
    <row r="128" spans="1:12" s="899" customFormat="1">
      <c r="A128" s="1924"/>
      <c r="D128" s="1925"/>
      <c r="K128" s="735"/>
      <c r="L128" s="735"/>
    </row>
    <row r="129" spans="1:12" s="899" customFormat="1">
      <c r="A129" s="1924"/>
      <c r="D129" s="1925"/>
      <c r="K129" s="735"/>
      <c r="L129" s="735"/>
    </row>
    <row r="130" spans="1:12" s="899" customFormat="1">
      <c r="A130" s="1924"/>
      <c r="D130" s="1925"/>
      <c r="K130" s="735"/>
      <c r="L130" s="735"/>
    </row>
    <row r="131" spans="1:12" s="899" customFormat="1">
      <c r="A131" s="1924"/>
      <c r="D131" s="1925"/>
      <c r="K131" s="735"/>
      <c r="L131" s="735"/>
    </row>
    <row r="132" spans="1:12" s="899" customFormat="1">
      <c r="A132" s="1924"/>
      <c r="D132" s="1925"/>
      <c r="K132" s="735"/>
      <c r="L132" s="735"/>
    </row>
    <row r="133" spans="1:12" s="899" customFormat="1">
      <c r="A133" s="1924"/>
      <c r="D133" s="1925"/>
      <c r="K133" s="735"/>
      <c r="L133" s="735"/>
    </row>
    <row r="134" spans="1:12" s="1865" customFormat="1">
      <c r="A134" s="1926"/>
      <c r="D134" s="1927"/>
      <c r="K134" s="26"/>
      <c r="L134" s="26"/>
    </row>
    <row r="135" spans="1:12" s="1865" customFormat="1">
      <c r="A135" s="1926"/>
      <c r="D135" s="1927"/>
      <c r="K135" s="26"/>
      <c r="L135" s="26"/>
    </row>
    <row r="136" spans="1:12" s="1865" customFormat="1">
      <c r="A136" s="1926"/>
      <c r="D136" s="1927"/>
      <c r="K136" s="26"/>
      <c r="L136" s="26"/>
    </row>
    <row r="137" spans="1:12" s="1865" customFormat="1">
      <c r="A137" s="1926"/>
      <c r="D137" s="1927"/>
      <c r="K137" s="26"/>
      <c r="L137" s="26"/>
    </row>
    <row r="138" spans="1:12" s="1865" customFormat="1">
      <c r="A138" s="1926"/>
      <c r="D138" s="1927"/>
      <c r="K138" s="26"/>
      <c r="L138" s="26"/>
    </row>
    <row r="139" spans="1:12" s="1865" customFormat="1">
      <c r="A139" s="1926"/>
      <c r="D139" s="1927"/>
      <c r="K139" s="26"/>
      <c r="L139" s="26"/>
    </row>
    <row r="140" spans="1:12" s="1865" customFormat="1">
      <c r="A140" s="1926"/>
      <c r="D140" s="1927"/>
      <c r="K140" s="26"/>
      <c r="L140" s="26"/>
    </row>
    <row r="141" spans="1:12" s="1865" customFormat="1">
      <c r="A141" s="1926"/>
      <c r="D141" s="1927"/>
      <c r="K141" s="26"/>
      <c r="L141" s="26"/>
    </row>
    <row r="142" spans="1:12" s="1865" customFormat="1">
      <c r="A142" s="1926"/>
      <c r="D142" s="1927"/>
      <c r="K142" s="26"/>
      <c r="L142" s="26"/>
    </row>
    <row r="143" spans="1:12" s="1865" customFormat="1">
      <c r="A143" s="1926"/>
      <c r="D143" s="1927"/>
      <c r="K143" s="26"/>
      <c r="L143" s="26"/>
    </row>
    <row r="144" spans="1:12" s="1865" customFormat="1">
      <c r="A144" s="1926"/>
      <c r="D144" s="1927"/>
      <c r="K144" s="26"/>
      <c r="L144" s="26"/>
    </row>
    <row r="145" spans="1:12" s="1865" customFormat="1">
      <c r="A145" s="1926"/>
      <c r="D145" s="1927"/>
      <c r="K145" s="26"/>
      <c r="L145" s="26"/>
    </row>
    <row r="146" spans="1:12" s="1865" customFormat="1">
      <c r="A146" s="1926"/>
      <c r="D146" s="1927"/>
      <c r="K146" s="26"/>
      <c r="L146" s="26"/>
    </row>
    <row r="147" spans="1:12" s="1865" customFormat="1">
      <c r="A147" s="1926"/>
      <c r="D147" s="1927"/>
      <c r="K147" s="26"/>
      <c r="L147" s="26"/>
    </row>
    <row r="148" spans="1:12" s="1865" customFormat="1">
      <c r="A148" s="1926"/>
      <c r="D148" s="1927"/>
      <c r="K148" s="26"/>
      <c r="L148" s="26"/>
    </row>
    <row r="149" spans="1:12" s="1865" customFormat="1">
      <c r="A149" s="1926"/>
      <c r="D149" s="1927"/>
      <c r="K149" s="26"/>
      <c r="L149" s="26"/>
    </row>
    <row r="150" spans="1:12" s="1865" customFormat="1">
      <c r="A150" s="1926"/>
      <c r="D150" s="1927"/>
      <c r="K150" s="26"/>
      <c r="L150" s="26"/>
    </row>
    <row r="151" spans="1:12" s="1865" customFormat="1">
      <c r="A151" s="1926"/>
      <c r="D151" s="1927"/>
      <c r="K151" s="26"/>
      <c r="L151" s="26"/>
    </row>
    <row r="152" spans="1:12" s="1865" customFormat="1">
      <c r="A152" s="1926"/>
      <c r="D152" s="1927"/>
      <c r="K152" s="26"/>
      <c r="L152" s="26"/>
    </row>
    <row r="153" spans="1:12" s="1865" customFormat="1">
      <c r="A153" s="1926"/>
      <c r="D153" s="1927"/>
      <c r="K153" s="26"/>
      <c r="L153" s="26"/>
    </row>
    <row r="154" spans="1:12" s="1865" customFormat="1">
      <c r="A154" s="1926"/>
      <c r="D154" s="1927"/>
      <c r="K154" s="26"/>
      <c r="L154" s="26"/>
    </row>
    <row r="155" spans="1:12" s="1865" customFormat="1">
      <c r="A155" s="1926"/>
      <c r="D155" s="1927"/>
      <c r="K155" s="26"/>
      <c r="L155" s="26"/>
    </row>
    <row r="156" spans="1:12" s="1865" customFormat="1">
      <c r="A156" s="1926"/>
      <c r="D156" s="1927"/>
      <c r="K156" s="26"/>
      <c r="L156" s="26"/>
    </row>
    <row r="157" spans="1:12" s="1865" customFormat="1">
      <c r="A157" s="1926"/>
      <c r="D157" s="1927"/>
      <c r="K157" s="26"/>
      <c r="L157" s="26"/>
    </row>
    <row r="158" spans="1:12" s="1865" customFormat="1">
      <c r="A158" s="1926"/>
      <c r="D158" s="1927"/>
      <c r="K158" s="26"/>
      <c r="L158" s="26"/>
    </row>
    <row r="159" spans="1:12" s="1865" customFormat="1">
      <c r="A159" s="1926"/>
      <c r="D159" s="1927"/>
      <c r="K159" s="26"/>
      <c r="L159" s="26"/>
    </row>
    <row r="160" spans="1:12" s="1865" customFormat="1">
      <c r="A160" s="1926"/>
      <c r="D160" s="1927"/>
      <c r="K160" s="26"/>
      <c r="L160" s="26"/>
    </row>
    <row r="161" spans="1:12" s="1865" customFormat="1">
      <c r="A161" s="1926"/>
      <c r="D161" s="1927"/>
      <c r="K161" s="26"/>
      <c r="L161" s="26"/>
    </row>
    <row r="162" spans="1:12" s="1865" customFormat="1">
      <c r="A162" s="1926"/>
      <c r="D162" s="1927"/>
      <c r="K162" s="26"/>
      <c r="L162" s="26"/>
    </row>
    <row r="163" spans="1:12" s="1865" customFormat="1">
      <c r="A163" s="1926"/>
      <c r="D163" s="1927"/>
      <c r="K163" s="26"/>
      <c r="L163" s="26"/>
    </row>
    <row r="164" spans="1:12" s="1865" customFormat="1">
      <c r="A164" s="1926"/>
      <c r="D164" s="1927"/>
      <c r="K164" s="26"/>
      <c r="L164" s="26"/>
    </row>
    <row r="165" spans="1:12" s="1865" customFormat="1">
      <c r="A165" s="1926"/>
      <c r="D165" s="1927"/>
      <c r="K165" s="26"/>
      <c r="L165" s="26"/>
    </row>
    <row r="166" spans="1:12" s="1865" customFormat="1">
      <c r="A166" s="1926"/>
      <c r="D166" s="1927"/>
      <c r="K166" s="26"/>
      <c r="L166" s="26"/>
    </row>
    <row r="167" spans="1:12" s="1865" customFormat="1">
      <c r="A167" s="1926"/>
      <c r="D167" s="1927"/>
      <c r="K167" s="26"/>
      <c r="L167" s="26"/>
    </row>
    <row r="168" spans="1:12" s="1865" customFormat="1">
      <c r="A168" s="1926"/>
      <c r="D168" s="1927"/>
      <c r="K168" s="26"/>
      <c r="L168" s="26"/>
    </row>
    <row r="169" spans="1:12" s="1865" customFormat="1">
      <c r="A169" s="1926"/>
      <c r="D169" s="1927"/>
      <c r="K169" s="26"/>
      <c r="L169" s="26"/>
    </row>
    <row r="170" spans="1:12" s="1865" customFormat="1">
      <c r="A170" s="1926"/>
      <c r="D170" s="1927"/>
      <c r="K170" s="26"/>
      <c r="L170" s="26"/>
    </row>
    <row r="171" spans="1:12" s="1865" customFormat="1">
      <c r="A171" s="1926"/>
      <c r="D171" s="1927"/>
      <c r="K171" s="26"/>
      <c r="L171" s="26"/>
    </row>
    <row r="172" spans="1:12" s="1865" customFormat="1">
      <c r="A172" s="1926"/>
      <c r="D172" s="1927"/>
      <c r="K172" s="26"/>
      <c r="L172" s="26"/>
    </row>
    <row r="173" spans="1:12" s="1865" customFormat="1">
      <c r="A173" s="1926"/>
      <c r="D173" s="1927"/>
      <c r="K173" s="26"/>
      <c r="L173" s="26"/>
    </row>
    <row r="174" spans="1:12" s="1865" customFormat="1">
      <c r="A174" s="1926"/>
      <c r="D174" s="192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0" customWidth="1"/>
    <col min="4" max="4" width="2.625" style="2730" customWidth="1"/>
    <col min="5" max="5" width="5.875" style="2730" customWidth="1"/>
    <col min="6" max="6" width="27" style="1755"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5"/>
    <col min="30" max="16384" width="9" style="1870"/>
  </cols>
  <sheetData>
    <row r="1" spans="1:29" s="2677" customFormat="1" ht="18.75" thickBot="1">
      <c r="A1" s="3156" t="s">
        <v>3028</v>
      </c>
      <c r="B1" s="3157"/>
      <c r="C1" s="3157"/>
      <c r="D1" s="3157"/>
      <c r="E1" s="3157"/>
      <c r="F1" s="3157"/>
      <c r="G1" s="3157"/>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3023</v>
      </c>
      <c r="D2" s="2681"/>
      <c r="E2" s="2678"/>
      <c r="F2" s="2682"/>
      <c r="G2" s="2680" t="s">
        <v>3024</v>
      </c>
      <c r="H2" s="905"/>
      <c r="I2" s="905"/>
      <c r="J2" s="905"/>
      <c r="K2" s="905"/>
      <c r="L2" s="905"/>
      <c r="M2" s="905"/>
      <c r="N2" s="905"/>
      <c r="O2" s="905"/>
      <c r="P2" s="905"/>
      <c r="Q2" s="905"/>
      <c r="R2" s="905"/>
    </row>
    <row r="3" spans="1:29" ht="48">
      <c r="A3" s="2661" t="s">
        <v>3025</v>
      </c>
      <c r="B3" s="2683" t="s">
        <v>2994</v>
      </c>
      <c r="C3" s="2684" t="s">
        <v>3026</v>
      </c>
      <c r="D3" s="2685"/>
      <c r="E3" s="2662" t="s">
        <v>3025</v>
      </c>
      <c r="F3" s="2686" t="s">
        <v>2995</v>
      </c>
      <c r="G3" s="2687" t="s">
        <v>3027</v>
      </c>
      <c r="H3" s="905"/>
      <c r="I3" s="905"/>
      <c r="J3" s="905"/>
      <c r="K3" s="905"/>
      <c r="L3" s="905"/>
      <c r="M3" s="905"/>
      <c r="N3" s="905"/>
      <c r="O3" s="905"/>
      <c r="P3" s="905"/>
      <c r="Q3" s="905"/>
      <c r="R3" s="905"/>
    </row>
    <row r="4" spans="1:29" ht="36.75">
      <c r="A4" s="2662"/>
      <c r="B4" s="327" t="s">
        <v>2996</v>
      </c>
      <c r="C4" s="2688" t="s">
        <v>2997</v>
      </c>
      <c r="D4" s="2685"/>
      <c r="E4" s="2689"/>
      <c r="F4" s="1555" t="s">
        <v>2998</v>
      </c>
      <c r="G4" s="2690" t="s">
        <v>2999</v>
      </c>
      <c r="H4" s="905"/>
      <c r="I4" s="905"/>
      <c r="J4" s="905"/>
      <c r="K4" s="905"/>
      <c r="L4" s="905"/>
      <c r="M4" s="905"/>
      <c r="N4" s="905"/>
      <c r="O4" s="905"/>
      <c r="P4" s="905"/>
      <c r="Q4" s="905"/>
      <c r="R4" s="905"/>
    </row>
    <row r="5" spans="1:29" ht="36.75">
      <c r="A5" s="2662"/>
      <c r="B5" s="327" t="s">
        <v>3000</v>
      </c>
      <c r="C5" s="2688" t="s">
        <v>3001</v>
      </c>
      <c r="D5" s="2685"/>
      <c r="E5" s="2689"/>
      <c r="F5" s="327" t="s">
        <v>3002</v>
      </c>
      <c r="G5" s="2690" t="s">
        <v>3003</v>
      </c>
      <c r="H5" s="905"/>
      <c r="I5" s="905"/>
      <c r="J5" s="905"/>
      <c r="K5" s="905"/>
      <c r="L5" s="905"/>
      <c r="M5" s="905"/>
      <c r="N5" s="905"/>
      <c r="O5" s="905"/>
      <c r="P5" s="905"/>
      <c r="Q5" s="905"/>
      <c r="R5" s="905"/>
    </row>
    <row r="6" spans="1:29" ht="36">
      <c r="A6" s="2662"/>
      <c r="B6" s="327" t="s">
        <v>3004</v>
      </c>
      <c r="C6" s="2690" t="s">
        <v>2999</v>
      </c>
      <c r="D6" s="2685"/>
      <c r="E6" s="2689"/>
      <c r="F6" s="327" t="s">
        <v>3005</v>
      </c>
      <c r="G6" s="2690" t="s">
        <v>3006</v>
      </c>
      <c r="H6" s="905"/>
      <c r="I6" s="905"/>
      <c r="J6" s="905"/>
      <c r="K6" s="905"/>
      <c r="L6" s="905"/>
      <c r="M6" s="905"/>
      <c r="N6" s="905"/>
      <c r="O6" s="905"/>
      <c r="P6" s="905"/>
      <c r="Q6" s="905"/>
      <c r="R6" s="905"/>
    </row>
    <row r="7" spans="1:29" ht="24.75" thickBot="1">
      <c r="A7" s="2662"/>
      <c r="B7" s="327" t="s">
        <v>3002</v>
      </c>
      <c r="C7" s="2690" t="s">
        <v>3003</v>
      </c>
      <c r="D7" s="2691"/>
      <c r="E7" s="2692"/>
      <c r="F7" s="2693" t="s">
        <v>3007</v>
      </c>
      <c r="G7" s="2694" t="s">
        <v>3008</v>
      </c>
      <c r="H7" s="905"/>
      <c r="I7" s="905"/>
      <c r="J7" s="905"/>
      <c r="K7" s="905"/>
      <c r="L7" s="905"/>
      <c r="M7" s="905"/>
      <c r="N7" s="905"/>
      <c r="O7" s="905"/>
      <c r="P7" s="905"/>
      <c r="Q7" s="905"/>
      <c r="R7" s="905"/>
    </row>
    <row r="8" spans="1:29">
      <c r="A8" s="2662"/>
      <c r="B8" s="327" t="s">
        <v>3005</v>
      </c>
      <c r="C8" s="2690" t="s">
        <v>3006</v>
      </c>
      <c r="D8" s="2691"/>
      <c r="E8" s="2691"/>
      <c r="F8" s="2695"/>
      <c r="G8" s="2695"/>
      <c r="H8" s="905"/>
      <c r="I8" s="905"/>
      <c r="J8" s="905"/>
      <c r="K8" s="905"/>
      <c r="L8" s="905"/>
      <c r="M8" s="905"/>
      <c r="N8" s="905"/>
      <c r="O8" s="905"/>
      <c r="P8" s="905"/>
      <c r="Q8" s="905"/>
      <c r="R8" s="905"/>
    </row>
    <row r="9" spans="1:29" ht="24">
      <c r="A9" s="2662"/>
      <c r="B9" s="327" t="s">
        <v>3009</v>
      </c>
      <c r="C9" s="2688" t="s">
        <v>3010</v>
      </c>
      <c r="D9" s="2685"/>
      <c r="E9" s="2691"/>
      <c r="F9" s="2695"/>
      <c r="G9" s="2695"/>
      <c r="H9" s="905"/>
      <c r="I9" s="905"/>
      <c r="J9" s="905"/>
      <c r="K9" s="905"/>
      <c r="L9" s="905"/>
      <c r="M9" s="905"/>
      <c r="N9" s="905"/>
      <c r="O9" s="905"/>
      <c r="P9" s="905"/>
      <c r="Q9" s="905"/>
      <c r="R9" s="905"/>
    </row>
    <row r="10" spans="1:29" s="2701" customFormat="1" ht="15" thickBot="1">
      <c r="A10" s="2663"/>
      <c r="B10" s="2696" t="s">
        <v>3011</v>
      </c>
      <c r="C10" s="2697"/>
      <c r="D10" s="2685"/>
      <c r="E10" s="2685"/>
      <c r="F10" s="2695"/>
      <c r="G10" s="2695"/>
      <c r="H10" s="2698"/>
      <c r="I10" s="2699"/>
      <c r="J10" s="2700"/>
      <c r="K10" s="2698"/>
      <c r="L10" s="2699"/>
      <c r="M10" s="2700"/>
      <c r="N10" s="2698"/>
      <c r="O10" s="2699"/>
      <c r="P10" s="2700"/>
      <c r="Q10" s="2698"/>
      <c r="R10" s="2699"/>
      <c r="S10" s="905"/>
      <c r="T10" s="905"/>
      <c r="U10" s="905"/>
      <c r="V10" s="905"/>
      <c r="W10" s="905"/>
      <c r="X10" s="905"/>
      <c r="Y10" s="905"/>
      <c r="Z10" s="905"/>
      <c r="AA10" s="905"/>
      <c r="AB10" s="905"/>
      <c r="AC10" s="905"/>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5"/>
      <c r="T11" s="905"/>
      <c r="U11" s="905"/>
      <c r="V11" s="905"/>
      <c r="W11" s="905"/>
      <c r="X11" s="905"/>
      <c r="Y11" s="905"/>
      <c r="Z11" s="905"/>
      <c r="AA11" s="905"/>
      <c r="AB11" s="905"/>
      <c r="AC11" s="905"/>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3029</v>
      </c>
      <c r="B13" s="2704"/>
      <c r="C13" s="2704"/>
      <c r="D13" s="2702"/>
      <c r="E13" s="2704"/>
      <c r="F13" s="2704"/>
      <c r="G13" s="2704"/>
    </row>
    <row r="14" spans="1:29" ht="15" thickBot="1">
      <c r="A14" s="2714"/>
      <c r="B14" s="2714"/>
      <c r="C14" s="2715" t="s">
        <v>3012</v>
      </c>
      <c r="D14" s="2685"/>
      <c r="E14" s="2716"/>
      <c r="F14" s="2716"/>
      <c r="G14" s="2680" t="s">
        <v>3013</v>
      </c>
    </row>
    <row r="15" spans="1:29" ht="51">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8.25">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8.25">
      <c r="A17" s="2666"/>
      <c r="B17" s="2720" t="s">
        <v>3000</v>
      </c>
      <c r="C17" s="2721" t="str">
        <f>C5</f>
        <v>估价对象位于XX商圈，周边办公楼项目较多，入驻率高，办公集聚程度较好</v>
      </c>
      <c r="D17" s="2691"/>
      <c r="E17" s="2667"/>
      <c r="F17" s="2722" t="s">
        <v>3017</v>
      </c>
      <c r="G17" s="2724"/>
    </row>
    <row r="18" spans="1:18" ht="38.25">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5.5">
      <c r="A19" s="2666"/>
      <c r="B19" s="2722" t="s">
        <v>3018</v>
      </c>
      <c r="C19" s="2724"/>
      <c r="D19" s="2685"/>
      <c r="E19" s="2667"/>
      <c r="F19" s="327" t="s">
        <v>3002</v>
      </c>
      <c r="G19" s="2723" t="str">
        <f>G5</f>
        <v>估价对象所在区域公共配套设施齐备情况</v>
      </c>
    </row>
    <row r="20" spans="1:18" ht="25.5">
      <c r="A20" s="2666"/>
      <c r="B20" s="2722" t="s">
        <v>3019</v>
      </c>
      <c r="C20" s="2721" t="str">
        <f>C9</f>
        <v>区域自然环境：；人文环境；综合评价环境状况一般</v>
      </c>
      <c r="D20" s="2691"/>
      <c r="E20" s="2667"/>
      <c r="F20" s="327" t="s">
        <v>3005</v>
      </c>
      <c r="G20" s="2723" t="str">
        <f>G6</f>
        <v>估价对象所在区域基础设施水平</v>
      </c>
    </row>
    <row r="21" spans="1:18" ht="25.5">
      <c r="A21" s="2666"/>
      <c r="B21" s="327" t="s">
        <v>3002</v>
      </c>
      <c r="C21" s="2723" t="str">
        <f>C7</f>
        <v>估价对象所在区域公共配套设施齐备情况</v>
      </c>
      <c r="D21" s="2685"/>
      <c r="E21" s="2667"/>
      <c r="F21" s="2722" t="s">
        <v>3020</v>
      </c>
      <c r="G21" s="2725"/>
    </row>
    <row r="22" spans="1:18" ht="13.5" customHeight="1">
      <c r="A22" s="2666"/>
      <c r="B22" s="327" t="s">
        <v>3005</v>
      </c>
      <c r="C22" s="2723" t="str">
        <f>C8</f>
        <v>估价对象所在区域基础设施水平</v>
      </c>
      <c r="D22" s="2685"/>
      <c r="E22" s="2667"/>
      <c r="F22" s="2722" t="s">
        <v>3011</v>
      </c>
      <c r="G22" s="2724"/>
    </row>
    <row r="23" spans="1:18" s="905" customFormat="1" ht="15" thickBot="1">
      <c r="A23" s="2666"/>
      <c r="B23" s="2722" t="s">
        <v>3020</v>
      </c>
      <c r="C23" s="2725"/>
      <c r="D23" s="1924"/>
      <c r="E23" s="2668"/>
      <c r="F23" s="2726" t="s">
        <v>3021</v>
      </c>
      <c r="G23" s="2727"/>
      <c r="H23" s="2711"/>
      <c r="I23" s="2712"/>
      <c r="J23" s="2711"/>
      <c r="K23" s="2711"/>
      <c r="L23" s="2712"/>
      <c r="M23" s="2711"/>
      <c r="N23" s="2711"/>
      <c r="O23" s="2712"/>
      <c r="P23" s="2711"/>
      <c r="Q23" s="2711"/>
      <c r="R23" s="2713"/>
    </row>
    <row r="24" spans="1:18" s="905" customFormat="1" ht="15" thickBot="1">
      <c r="A24" s="2669"/>
      <c r="B24" s="2726" t="s">
        <v>3022</v>
      </c>
      <c r="C24" s="2728">
        <f>C10</f>
        <v>0</v>
      </c>
      <c r="D24" s="1924"/>
      <c r="E24" s="2659"/>
      <c r="F24" s="2659"/>
      <c r="G24" s="2729"/>
      <c r="H24" s="2711"/>
      <c r="I24" s="2712"/>
      <c r="J24" s="2711"/>
      <c r="K24" s="2711"/>
      <c r="L24" s="2712"/>
      <c r="M24" s="2711"/>
      <c r="N24" s="2711"/>
      <c r="O24" s="2712"/>
      <c r="P24" s="2711"/>
      <c r="Q24" s="2711"/>
      <c r="R24" s="2713"/>
    </row>
    <row r="25" spans="1:18" s="905" customFormat="1">
      <c r="B25" s="2711"/>
      <c r="C25" s="2711"/>
      <c r="D25" s="2711"/>
      <c r="H25" s="2711"/>
      <c r="I25" s="2712"/>
      <c r="J25" s="2711"/>
      <c r="K25" s="2711"/>
      <c r="L25" s="2712"/>
      <c r="M25" s="2711"/>
      <c r="N25" s="2711"/>
      <c r="O25" s="2712"/>
      <c r="P25" s="2711"/>
      <c r="Q25" s="2711"/>
      <c r="R25" s="2713"/>
    </row>
    <row r="26" spans="1:18" s="905" customFormat="1">
      <c r="B26" s="2711"/>
      <c r="C26" s="2711"/>
      <c r="D26" s="2711"/>
      <c r="H26" s="2711"/>
      <c r="I26" s="2712"/>
      <c r="J26" s="2711"/>
      <c r="K26" s="2711"/>
      <c r="L26" s="2712"/>
      <c r="M26" s="2711"/>
      <c r="N26" s="2711"/>
      <c r="O26" s="2712"/>
      <c r="P26" s="2711"/>
      <c r="Q26" s="2711"/>
      <c r="R26" s="2713"/>
    </row>
    <row r="27" spans="1:18" s="905" customFormat="1">
      <c r="B27" s="2711"/>
      <c r="C27" s="2711"/>
      <c r="D27" s="2711"/>
      <c r="H27" s="2711"/>
      <c r="I27" s="2712"/>
      <c r="J27" s="2711"/>
      <c r="K27" s="2711"/>
      <c r="L27" s="2712"/>
      <c r="M27" s="2711"/>
      <c r="N27" s="2711"/>
      <c r="O27" s="2712"/>
      <c r="P27" s="2711"/>
      <c r="Q27" s="2711"/>
      <c r="R27" s="2713"/>
    </row>
    <row r="28" spans="1:18" s="905" customFormat="1">
      <c r="B28" s="2711"/>
      <c r="C28" s="2711"/>
      <c r="D28" s="2711"/>
      <c r="H28" s="2711"/>
      <c r="I28" s="2712"/>
      <c r="J28" s="2711"/>
      <c r="K28" s="2711"/>
      <c r="L28" s="2712"/>
      <c r="M28" s="2711"/>
      <c r="N28" s="2711"/>
      <c r="O28" s="2712"/>
      <c r="P28" s="2711"/>
      <c r="Q28" s="2711"/>
      <c r="R28" s="2713"/>
    </row>
    <row r="29" spans="1:18" s="905" customFormat="1">
      <c r="B29" s="2711"/>
      <c r="C29" s="2711"/>
      <c r="D29" s="2711"/>
      <c r="H29" s="2711"/>
      <c r="I29" s="2712"/>
      <c r="J29" s="2711"/>
      <c r="K29" s="2711"/>
      <c r="L29" s="2712"/>
      <c r="M29" s="2711"/>
      <c r="N29" s="2711"/>
      <c r="O29" s="2712"/>
      <c r="P29" s="2711"/>
      <c r="Q29" s="2711"/>
      <c r="R29" s="2713"/>
    </row>
    <row r="30" spans="1:18" s="905" customFormat="1">
      <c r="B30" s="2711"/>
      <c r="C30" s="2711"/>
      <c r="D30" s="2711"/>
      <c r="H30" s="2711"/>
      <c r="I30" s="2712"/>
      <c r="J30" s="2711"/>
      <c r="K30" s="2711"/>
      <c r="L30" s="2712"/>
      <c r="M30" s="2711"/>
      <c r="N30" s="2711"/>
      <c r="O30" s="2712"/>
      <c r="P30" s="2711"/>
      <c r="Q30" s="2711"/>
      <c r="R30" s="2713"/>
    </row>
    <row r="31" spans="1:18" s="905" customFormat="1">
      <c r="B31" s="2711"/>
      <c r="C31" s="2711"/>
      <c r="D31" s="2711"/>
      <c r="H31" s="2711"/>
      <c r="I31" s="2712"/>
      <c r="J31" s="2711"/>
      <c r="K31" s="2711"/>
      <c r="L31" s="2712"/>
      <c r="M31" s="2711"/>
      <c r="N31" s="2711"/>
      <c r="O31" s="2712"/>
      <c r="P31" s="2711"/>
      <c r="Q31" s="2711"/>
      <c r="R31" s="2713"/>
    </row>
    <row r="32" spans="1:18" s="905" customFormat="1">
      <c r="B32" s="2711"/>
      <c r="C32" s="2711"/>
      <c r="D32" s="2711"/>
      <c r="H32" s="2711"/>
      <c r="I32" s="2712"/>
      <c r="J32" s="2711"/>
      <c r="K32" s="2711"/>
      <c r="L32" s="2712"/>
      <c r="M32" s="2711"/>
      <c r="N32" s="2711"/>
      <c r="O32" s="2712"/>
      <c r="P32" s="2711"/>
      <c r="Q32" s="2711"/>
      <c r="R32" s="2713"/>
    </row>
    <row r="33" spans="2:18" s="905" customFormat="1">
      <c r="B33" s="2711"/>
      <c r="C33" s="2711"/>
      <c r="D33" s="2711"/>
      <c r="H33" s="2711"/>
      <c r="I33" s="2712"/>
      <c r="J33" s="2711"/>
      <c r="K33" s="2711"/>
      <c r="L33" s="2712"/>
      <c r="M33" s="2711"/>
      <c r="N33" s="2711"/>
      <c r="O33" s="2712"/>
      <c r="P33" s="2711"/>
      <c r="Q33" s="2711"/>
      <c r="R33" s="2713"/>
    </row>
    <row r="34" spans="2:18" s="905" customFormat="1">
      <c r="B34" s="2711"/>
      <c r="C34" s="2711"/>
      <c r="D34" s="2711"/>
      <c r="H34" s="2711"/>
      <c r="I34" s="2712"/>
      <c r="J34" s="2711"/>
      <c r="K34" s="2711"/>
      <c r="L34" s="2712"/>
      <c r="M34" s="2711"/>
      <c r="N34" s="2711"/>
      <c r="O34" s="2712"/>
      <c r="P34" s="2711"/>
      <c r="Q34" s="2711"/>
      <c r="R34" s="2713"/>
    </row>
    <row r="35" spans="2:18" s="905" customFormat="1">
      <c r="B35" s="2711"/>
      <c r="C35" s="2711"/>
      <c r="D35" s="2711"/>
      <c r="H35" s="2711"/>
      <c r="I35" s="2712"/>
      <c r="J35" s="2711"/>
      <c r="K35" s="2711"/>
      <c r="L35" s="2712"/>
      <c r="M35" s="2711"/>
      <c r="N35" s="2711"/>
      <c r="O35" s="2712"/>
      <c r="P35" s="2711"/>
      <c r="Q35" s="2711"/>
      <c r="R35" s="2713"/>
    </row>
    <row r="36" spans="2:18" s="905" customFormat="1">
      <c r="B36" s="2711"/>
      <c r="C36" s="2711"/>
      <c r="D36" s="2711"/>
      <c r="H36" s="2711"/>
      <c r="I36" s="2712"/>
      <c r="J36" s="2711"/>
      <c r="K36" s="2711"/>
      <c r="L36" s="2712"/>
      <c r="M36" s="2711"/>
      <c r="N36" s="2711"/>
      <c r="O36" s="2712"/>
      <c r="P36" s="2711"/>
      <c r="Q36" s="2711"/>
      <c r="R36" s="2713"/>
    </row>
    <row r="37" spans="2:18" s="905" customFormat="1">
      <c r="B37" s="2711"/>
      <c r="C37" s="2711"/>
      <c r="D37" s="2711"/>
      <c r="H37" s="2711"/>
      <c r="I37" s="2712"/>
      <c r="J37" s="2711"/>
      <c r="K37" s="2711"/>
      <c r="L37" s="2712"/>
      <c r="M37" s="2711"/>
      <c r="N37" s="2711"/>
      <c r="O37" s="2712"/>
      <c r="P37" s="2711"/>
      <c r="Q37" s="2711"/>
      <c r="R37" s="2713"/>
    </row>
    <row r="38" spans="2:18" s="905" customFormat="1">
      <c r="B38" s="2711"/>
      <c r="C38" s="2711"/>
      <c r="D38" s="2711"/>
      <c r="E38" s="2711"/>
      <c r="F38" s="2711"/>
      <c r="G38" s="2712"/>
      <c r="H38" s="2711"/>
      <c r="I38" s="2712"/>
      <c r="J38" s="2711"/>
      <c r="K38" s="2711"/>
      <c r="L38" s="2712"/>
      <c r="M38" s="2711"/>
      <c r="N38" s="2711"/>
      <c r="O38" s="2712"/>
      <c r="P38" s="2711"/>
      <c r="Q38" s="2711"/>
      <c r="R38" s="2713"/>
    </row>
    <row r="39" spans="2:18" s="905" customFormat="1">
      <c r="B39" s="2711"/>
      <c r="C39" s="2711"/>
      <c r="D39" s="2711"/>
      <c r="E39" s="2711"/>
      <c r="F39" s="2711"/>
      <c r="G39" s="2712"/>
      <c r="H39" s="2711"/>
      <c r="I39" s="2712"/>
      <c r="J39" s="2711"/>
      <c r="K39" s="2711"/>
      <c r="L39" s="2712"/>
      <c r="M39" s="2711"/>
      <c r="N39" s="2711"/>
      <c r="O39" s="2712"/>
      <c r="P39" s="2711"/>
      <c r="Q39" s="2711"/>
      <c r="R39" s="2713"/>
    </row>
    <row r="40" spans="2:18" s="905" customFormat="1">
      <c r="B40" s="2711"/>
      <c r="C40" s="2711"/>
      <c r="D40" s="2711"/>
      <c r="E40" s="2711"/>
      <c r="F40" s="2711"/>
      <c r="G40" s="2712"/>
      <c r="H40" s="2711"/>
      <c r="I40" s="2712"/>
      <c r="J40" s="2711"/>
      <c r="K40" s="2711"/>
      <c r="L40" s="2712"/>
      <c r="M40" s="2711"/>
      <c r="N40" s="2711"/>
      <c r="O40" s="2712"/>
      <c r="P40" s="2711"/>
      <c r="Q40" s="2711"/>
      <c r="R40" s="2713"/>
    </row>
    <row r="41" spans="2:18" s="905" customFormat="1">
      <c r="B41" s="2711"/>
      <c r="C41" s="2711"/>
      <c r="D41" s="2711"/>
      <c r="E41" s="2711"/>
      <c r="F41" s="2711"/>
      <c r="G41" s="2712"/>
      <c r="H41" s="2711"/>
      <c r="I41" s="2712"/>
      <c r="J41" s="2711"/>
      <c r="K41" s="2711"/>
      <c r="L41" s="2712"/>
      <c r="M41" s="2711"/>
      <c r="N41" s="2711"/>
      <c r="O41" s="2712"/>
      <c r="P41" s="2711"/>
      <c r="Q41" s="2711"/>
      <c r="R41" s="2713"/>
    </row>
    <row r="42" spans="2:18" s="905" customFormat="1">
      <c r="B42" s="2711"/>
      <c r="C42" s="2711"/>
      <c r="D42" s="2711"/>
      <c r="E42" s="2711"/>
      <c r="F42" s="2711"/>
      <c r="G42" s="2712"/>
      <c r="H42" s="2711"/>
      <c r="I42" s="2712"/>
      <c r="J42" s="2711"/>
      <c r="K42" s="2711"/>
      <c r="L42" s="2712"/>
      <c r="M42" s="2711"/>
      <c r="N42" s="2711"/>
      <c r="O42" s="2712"/>
      <c r="P42" s="2711"/>
      <c r="Q42" s="2711"/>
      <c r="R42" s="2713"/>
    </row>
    <row r="43" spans="2:18" s="905" customFormat="1">
      <c r="B43" s="2711"/>
      <c r="C43" s="2711"/>
      <c r="D43" s="2711"/>
      <c r="E43" s="2711"/>
      <c r="F43" s="2711"/>
      <c r="G43" s="2712"/>
      <c r="H43" s="2711"/>
      <c r="I43" s="2712"/>
      <c r="J43" s="2711"/>
      <c r="K43" s="2711"/>
      <c r="L43" s="2712"/>
      <c r="M43" s="2711"/>
      <c r="N43" s="2711"/>
      <c r="O43" s="2712"/>
      <c r="P43" s="2711"/>
      <c r="Q43" s="2711"/>
      <c r="R43" s="2713"/>
    </row>
    <row r="44" spans="2:18" s="905" customFormat="1">
      <c r="B44" s="2711"/>
      <c r="C44" s="2711"/>
      <c r="D44" s="2711"/>
      <c r="E44" s="2711"/>
      <c r="F44" s="2711"/>
      <c r="G44" s="2712"/>
      <c r="H44" s="2711"/>
      <c r="I44" s="2712"/>
      <c r="J44" s="2711"/>
      <c r="K44" s="2711"/>
      <c r="L44" s="2712"/>
      <c r="M44" s="2711"/>
      <c r="N44" s="2711"/>
      <c r="O44" s="2712"/>
      <c r="P44" s="2711"/>
      <c r="Q44" s="2711"/>
      <c r="R44" s="2713"/>
    </row>
    <row r="45" spans="2:18" s="905" customFormat="1">
      <c r="B45" s="2711"/>
      <c r="C45" s="2711"/>
      <c r="D45" s="2711"/>
      <c r="E45" s="2711"/>
      <c r="F45" s="2711"/>
      <c r="G45" s="2712"/>
      <c r="H45" s="2711"/>
      <c r="I45" s="2712"/>
      <c r="J45" s="2711"/>
      <c r="K45" s="2711"/>
      <c r="L45" s="2712"/>
      <c r="M45" s="2711"/>
      <c r="N45" s="2711"/>
      <c r="O45" s="2712"/>
      <c r="P45" s="2711"/>
      <c r="Q45" s="2711"/>
      <c r="R45" s="2713"/>
    </row>
    <row r="46" spans="2:18" s="905" customFormat="1">
      <c r="B46" s="2711"/>
      <c r="C46" s="2711"/>
      <c r="D46" s="2711"/>
      <c r="E46" s="2711"/>
      <c r="F46" s="2711"/>
      <c r="G46" s="2712"/>
      <c r="H46" s="2711"/>
      <c r="I46" s="2712"/>
      <c r="J46" s="2711"/>
      <c r="K46" s="2711"/>
      <c r="L46" s="2712"/>
      <c r="M46" s="2711"/>
      <c r="N46" s="2711"/>
      <c r="O46" s="2712"/>
      <c r="P46" s="2711"/>
      <c r="Q46" s="2711"/>
      <c r="R46" s="2713"/>
    </row>
    <row r="47" spans="2:18" s="905" customFormat="1">
      <c r="B47" s="2711"/>
      <c r="C47" s="2711"/>
      <c r="D47" s="2711"/>
      <c r="E47" s="2711"/>
      <c r="F47" s="2711"/>
      <c r="G47" s="2712"/>
      <c r="H47" s="2711"/>
      <c r="I47" s="2712"/>
      <c r="J47" s="2711"/>
      <c r="K47" s="2711"/>
      <c r="L47" s="2712"/>
      <c r="M47" s="2711"/>
      <c r="N47" s="2711"/>
      <c r="O47" s="2712"/>
      <c r="P47" s="2711"/>
      <c r="Q47" s="2711"/>
      <c r="R47" s="2713"/>
    </row>
    <row r="48" spans="2:18" s="905" customFormat="1">
      <c r="B48" s="2711"/>
      <c r="C48" s="2711"/>
      <c r="D48" s="2711"/>
      <c r="E48" s="2711"/>
      <c r="F48" s="2711"/>
      <c r="G48" s="2712"/>
      <c r="H48" s="2711"/>
      <c r="I48" s="2712"/>
      <c r="J48" s="2711"/>
      <c r="K48" s="2711"/>
      <c r="L48" s="2712"/>
      <c r="M48" s="2711"/>
      <c r="N48" s="2711"/>
      <c r="O48" s="2712"/>
      <c r="P48" s="2711"/>
      <c r="Q48" s="2711"/>
      <c r="R48" s="2713"/>
    </row>
    <row r="49" spans="2:18" s="905" customFormat="1">
      <c r="B49" s="2711"/>
      <c r="C49" s="2711"/>
      <c r="D49" s="2711"/>
      <c r="E49" s="2711"/>
      <c r="F49" s="2711"/>
      <c r="G49" s="2712"/>
      <c r="H49" s="2711"/>
      <c r="I49" s="2712"/>
      <c r="J49" s="2711"/>
      <c r="K49" s="2711"/>
      <c r="L49" s="2712"/>
      <c r="M49" s="2711"/>
      <c r="N49" s="2711"/>
      <c r="O49" s="2712"/>
      <c r="P49" s="2711"/>
      <c r="Q49" s="2711"/>
      <c r="R49" s="2713"/>
    </row>
    <row r="50" spans="2:18" s="905" customFormat="1">
      <c r="B50" s="2711"/>
      <c r="C50" s="2711"/>
      <c r="D50" s="2711"/>
      <c r="E50" s="2711"/>
      <c r="F50" s="2711"/>
      <c r="G50" s="2712"/>
      <c r="H50" s="2711"/>
      <c r="I50" s="2712"/>
      <c r="J50" s="2711"/>
      <c r="K50" s="2711"/>
      <c r="L50" s="2712"/>
      <c r="M50" s="2711"/>
      <c r="N50" s="2711"/>
      <c r="O50" s="2712"/>
      <c r="P50" s="2711"/>
      <c r="Q50" s="2711"/>
      <c r="R50" s="2713"/>
    </row>
    <row r="51" spans="2:18" s="905" customFormat="1">
      <c r="B51" s="2711"/>
      <c r="C51" s="2711"/>
      <c r="D51" s="2711"/>
      <c r="E51" s="2711"/>
      <c r="F51" s="2711"/>
      <c r="G51" s="2712"/>
      <c r="H51" s="2711"/>
      <c r="I51" s="2712"/>
      <c r="J51" s="2711"/>
      <c r="K51" s="2711"/>
      <c r="L51" s="2712"/>
      <c r="M51" s="2711"/>
      <c r="N51" s="2711"/>
      <c r="O51" s="2712"/>
      <c r="P51" s="2711"/>
      <c r="Q51" s="2711"/>
      <c r="R51" s="2713"/>
    </row>
    <row r="52" spans="2:18" s="905" customFormat="1">
      <c r="B52" s="2711"/>
      <c r="C52" s="2711"/>
      <c r="D52" s="2711"/>
      <c r="E52" s="2711"/>
      <c r="F52" s="2711"/>
      <c r="G52" s="2712"/>
      <c r="H52" s="2711"/>
      <c r="I52" s="2712"/>
      <c r="J52" s="2711"/>
      <c r="K52" s="2711"/>
      <c r="L52" s="2712"/>
      <c r="M52" s="2711"/>
      <c r="N52" s="2711"/>
      <c r="O52" s="2712"/>
      <c r="P52" s="2711"/>
      <c r="Q52" s="2711"/>
      <c r="R52" s="2713"/>
    </row>
    <row r="53" spans="2:18" s="905" customFormat="1">
      <c r="B53" s="2711"/>
      <c r="C53" s="2711"/>
      <c r="D53" s="2711"/>
      <c r="E53" s="2711"/>
      <c r="F53" s="2711"/>
      <c r="G53" s="2712"/>
      <c r="H53" s="2711"/>
      <c r="I53" s="2712"/>
      <c r="J53" s="2711"/>
      <c r="K53" s="2711"/>
      <c r="L53" s="2712"/>
      <c r="M53" s="2711"/>
      <c r="N53" s="2711"/>
      <c r="O53" s="2712"/>
      <c r="P53" s="2711"/>
      <c r="Q53" s="2711"/>
      <c r="R53" s="2713"/>
    </row>
    <row r="54" spans="2:18" s="905" customFormat="1">
      <c r="B54" s="2711"/>
      <c r="C54" s="2711"/>
      <c r="D54" s="2711"/>
      <c r="E54" s="2711"/>
      <c r="F54" s="2711"/>
      <c r="G54" s="2712"/>
      <c r="H54" s="2711"/>
      <c r="I54" s="2712"/>
      <c r="J54" s="2711"/>
      <c r="K54" s="2711"/>
      <c r="L54" s="2712"/>
      <c r="M54" s="2711"/>
      <c r="N54" s="2711"/>
      <c r="O54" s="2712"/>
      <c r="P54" s="2711"/>
      <c r="Q54" s="2711"/>
      <c r="R54" s="2713"/>
    </row>
    <row r="55" spans="2:18" s="905" customFormat="1">
      <c r="B55" s="2711"/>
      <c r="C55" s="2711"/>
      <c r="D55" s="2711"/>
      <c r="E55" s="2711"/>
      <c r="F55" s="2711"/>
      <c r="G55" s="2712"/>
      <c r="H55" s="2711"/>
      <c r="I55" s="2712"/>
      <c r="J55" s="2711"/>
      <c r="K55" s="2711"/>
      <c r="L55" s="2712"/>
      <c r="M55" s="2711"/>
      <c r="N55" s="2711"/>
      <c r="O55" s="2712"/>
      <c r="P55" s="2711"/>
      <c r="Q55" s="2711"/>
      <c r="R55" s="2713"/>
    </row>
    <row r="56" spans="2:18" s="905" customFormat="1">
      <c r="B56" s="2711"/>
      <c r="C56" s="2711"/>
      <c r="D56" s="2711"/>
      <c r="E56" s="2711"/>
      <c r="F56" s="2711"/>
      <c r="G56" s="2712"/>
      <c r="H56" s="2711"/>
      <c r="I56" s="2712"/>
      <c r="J56" s="2711"/>
      <c r="K56" s="2711"/>
      <c r="L56" s="2712"/>
      <c r="M56" s="2711"/>
      <c r="N56" s="2711"/>
      <c r="O56" s="2712"/>
      <c r="P56" s="2711"/>
      <c r="Q56" s="2711"/>
      <c r="R56" s="2713"/>
    </row>
    <row r="57" spans="2:18" s="905" customFormat="1">
      <c r="B57" s="2711"/>
      <c r="C57" s="2711"/>
      <c r="D57" s="2711"/>
      <c r="E57" s="2711"/>
      <c r="F57" s="2711"/>
      <c r="G57" s="2712"/>
      <c r="H57" s="2711"/>
      <c r="I57" s="2712"/>
      <c r="J57" s="2711"/>
      <c r="K57" s="2711"/>
      <c r="L57" s="2712"/>
      <c r="M57" s="2711"/>
      <c r="N57" s="2711"/>
      <c r="O57" s="2712"/>
      <c r="P57" s="2711"/>
      <c r="Q57" s="2711"/>
      <c r="R57" s="2713"/>
    </row>
    <row r="58" spans="2:18" s="905" customFormat="1">
      <c r="B58" s="2711"/>
      <c r="C58" s="2711"/>
      <c r="D58" s="2711"/>
      <c r="E58" s="2711"/>
      <c r="F58" s="2711"/>
      <c r="G58" s="2712"/>
      <c r="H58" s="2711"/>
      <c r="I58" s="2712"/>
      <c r="J58" s="2711"/>
      <c r="K58" s="2711"/>
      <c r="L58" s="2712"/>
      <c r="M58" s="2711"/>
      <c r="N58" s="2711"/>
      <c r="O58" s="2712"/>
      <c r="P58" s="2711"/>
      <c r="Q58" s="2711"/>
      <c r="R58" s="2713"/>
    </row>
    <row r="59" spans="2:18" s="905" customFormat="1">
      <c r="B59" s="2711"/>
      <c r="C59" s="2711"/>
      <c r="D59" s="2711"/>
      <c r="E59" s="2711"/>
      <c r="F59" s="2711"/>
      <c r="G59" s="2712"/>
      <c r="H59" s="2711"/>
      <c r="I59" s="2712"/>
      <c r="J59" s="2711"/>
      <c r="K59" s="2711"/>
      <c r="L59" s="2712"/>
      <c r="M59" s="2711"/>
      <c r="N59" s="2711"/>
      <c r="O59" s="2712"/>
      <c r="P59" s="2711"/>
      <c r="Q59" s="2711"/>
      <c r="R59" s="2713"/>
    </row>
    <row r="60" spans="2:18" s="905" customFormat="1">
      <c r="B60" s="2711"/>
      <c r="C60" s="2711"/>
      <c r="D60" s="2711"/>
      <c r="E60" s="2711"/>
      <c r="F60" s="2711"/>
      <c r="G60" s="2712"/>
      <c r="H60" s="2711"/>
      <c r="I60" s="2712"/>
      <c r="J60" s="2711"/>
      <c r="K60" s="2711"/>
      <c r="L60" s="2712"/>
      <c r="M60" s="2711"/>
      <c r="N60" s="2711"/>
      <c r="O60" s="2712"/>
      <c r="P60" s="2711"/>
      <c r="Q60" s="2711"/>
      <c r="R60" s="2713"/>
    </row>
    <row r="61" spans="2:18" s="905" customFormat="1">
      <c r="B61" s="2711"/>
      <c r="C61" s="2711"/>
      <c r="D61" s="2711"/>
      <c r="E61" s="2711"/>
      <c r="F61" s="2711"/>
      <c r="G61" s="2712"/>
      <c r="H61" s="2711"/>
      <c r="I61" s="2712"/>
      <c r="J61" s="2711"/>
      <c r="K61" s="2711"/>
      <c r="L61" s="2712"/>
      <c r="M61" s="2711"/>
      <c r="N61" s="2711"/>
      <c r="O61" s="2712"/>
      <c r="P61" s="2711"/>
      <c r="Q61" s="2711"/>
      <c r="R61" s="2713"/>
    </row>
    <row r="62" spans="2:18" s="905" customFormat="1">
      <c r="B62" s="2711"/>
      <c r="C62" s="2711"/>
      <c r="D62" s="2711"/>
      <c r="E62" s="2711"/>
      <c r="F62" s="2711"/>
      <c r="G62" s="2712"/>
      <c r="H62" s="2711"/>
      <c r="I62" s="2712"/>
      <c r="J62" s="2711"/>
      <c r="K62" s="2711"/>
      <c r="L62" s="2712"/>
      <c r="M62" s="2711"/>
      <c r="N62" s="2711"/>
      <c r="O62" s="2712"/>
      <c r="P62" s="2711"/>
      <c r="Q62" s="2711"/>
      <c r="R62" s="2713"/>
    </row>
    <row r="63" spans="2:18" s="905" customFormat="1">
      <c r="B63" s="2711"/>
      <c r="C63" s="2711"/>
      <c r="D63" s="2711"/>
      <c r="E63" s="2711"/>
      <c r="F63" s="2711"/>
      <c r="G63" s="2712"/>
      <c r="H63" s="2711"/>
      <c r="I63" s="2712"/>
      <c r="J63" s="2711"/>
      <c r="K63" s="2711"/>
      <c r="L63" s="2712"/>
      <c r="M63" s="2711"/>
      <c r="N63" s="2711"/>
      <c r="O63" s="2712"/>
      <c r="P63" s="2711"/>
      <c r="Q63" s="2711"/>
      <c r="R63" s="2713"/>
    </row>
    <row r="64" spans="2:18" s="905" customFormat="1">
      <c r="B64" s="2711"/>
      <c r="C64" s="2711"/>
      <c r="D64" s="2711"/>
      <c r="E64" s="2711"/>
      <c r="F64" s="2711"/>
      <c r="G64" s="2712"/>
      <c r="H64" s="2711"/>
      <c r="I64" s="2712"/>
      <c r="J64" s="2711"/>
      <c r="K64" s="2711"/>
      <c r="L64" s="2712"/>
      <c r="M64" s="2711"/>
      <c r="N64" s="2711"/>
      <c r="O64" s="2712"/>
      <c r="P64" s="2711"/>
      <c r="Q64" s="2711"/>
      <c r="R64" s="2713"/>
    </row>
    <row r="65" spans="2:18" s="905" customFormat="1">
      <c r="B65" s="2711"/>
      <c r="C65" s="2711"/>
      <c r="D65" s="2711"/>
      <c r="E65" s="2711"/>
      <c r="F65" s="2711"/>
      <c r="G65" s="2712"/>
      <c r="H65" s="2711"/>
      <c r="I65" s="2712"/>
      <c r="J65" s="2711"/>
      <c r="K65" s="2711"/>
      <c r="L65" s="2712"/>
      <c r="M65" s="2711"/>
      <c r="N65" s="2711"/>
      <c r="O65" s="2712"/>
      <c r="P65" s="2711"/>
      <c r="Q65" s="2711"/>
      <c r="R65" s="2713"/>
    </row>
    <row r="66" spans="2:18" s="905" customFormat="1">
      <c r="B66" s="2711"/>
      <c r="C66" s="2711"/>
      <c r="D66" s="2711"/>
      <c r="E66" s="2711"/>
      <c r="F66" s="2711"/>
      <c r="G66" s="2712"/>
      <c r="H66" s="2711"/>
      <c r="I66" s="2712"/>
      <c r="J66" s="2711"/>
      <c r="K66" s="2711"/>
      <c r="L66" s="2712"/>
      <c r="M66" s="2711"/>
      <c r="N66" s="2711"/>
      <c r="O66" s="2712"/>
      <c r="P66" s="2711"/>
      <c r="Q66" s="2711"/>
      <c r="R66" s="2713"/>
    </row>
    <row r="67" spans="2:18" s="905" customFormat="1">
      <c r="B67" s="2711"/>
      <c r="C67" s="2711"/>
      <c r="D67" s="2711"/>
      <c r="E67" s="2711"/>
      <c r="F67" s="2711"/>
      <c r="G67" s="2712"/>
      <c r="H67" s="2711"/>
      <c r="I67" s="2712"/>
      <c r="J67" s="2711"/>
      <c r="K67" s="2711"/>
      <c r="L67" s="2712"/>
      <c r="M67" s="2711"/>
      <c r="N67" s="2711"/>
      <c r="O67" s="2712"/>
      <c r="P67" s="2711"/>
      <c r="Q67" s="2711"/>
      <c r="R67" s="2713"/>
    </row>
    <row r="68" spans="2:18" s="905" customFormat="1">
      <c r="B68" s="2711"/>
      <c r="C68" s="2711"/>
      <c r="D68" s="2711"/>
      <c r="E68" s="2711"/>
      <c r="F68" s="2711"/>
      <c r="G68" s="2712"/>
      <c r="H68" s="2711"/>
      <c r="I68" s="2712"/>
      <c r="J68" s="2711"/>
      <c r="K68" s="2711"/>
      <c r="L68" s="2712"/>
      <c r="M68" s="2711"/>
      <c r="N68" s="2711"/>
      <c r="O68" s="2712"/>
      <c r="P68" s="2711"/>
      <c r="Q68" s="2711"/>
      <c r="R68" s="2713"/>
    </row>
    <row r="69" spans="2:18" s="905" customFormat="1">
      <c r="B69" s="2711"/>
      <c r="C69" s="2711"/>
      <c r="D69" s="2711"/>
      <c r="E69" s="2711"/>
      <c r="F69" s="2711"/>
      <c r="G69" s="2712"/>
      <c r="H69" s="2711"/>
      <c r="I69" s="2712"/>
      <c r="J69" s="2711"/>
      <c r="K69" s="2711"/>
      <c r="L69" s="2712"/>
      <c r="M69" s="2711"/>
      <c r="N69" s="2711"/>
      <c r="O69" s="2712"/>
      <c r="P69" s="2711"/>
      <c r="Q69" s="2711"/>
      <c r="R69" s="2713"/>
    </row>
    <row r="70" spans="2:18" s="905" customFormat="1">
      <c r="B70" s="2711"/>
      <c r="C70" s="2711"/>
      <c r="D70" s="2711"/>
      <c r="E70" s="2711"/>
      <c r="F70" s="2711"/>
      <c r="G70" s="2712"/>
      <c r="H70" s="2711"/>
      <c r="I70" s="2712"/>
      <c r="J70" s="2711"/>
      <c r="K70" s="2711"/>
      <c r="L70" s="2712"/>
      <c r="M70" s="2711"/>
      <c r="N70" s="2711"/>
      <c r="O70" s="2712"/>
      <c r="P70" s="2711"/>
      <c r="Q70" s="2711"/>
      <c r="R70" s="2713"/>
    </row>
    <row r="71" spans="2:18" s="905" customFormat="1">
      <c r="B71" s="2711"/>
      <c r="C71" s="2711"/>
      <c r="D71" s="2711"/>
      <c r="E71" s="2711"/>
      <c r="F71" s="2711"/>
      <c r="G71" s="2712"/>
      <c r="H71" s="2711"/>
      <c r="I71" s="2712"/>
      <c r="J71" s="2711"/>
      <c r="K71" s="2711"/>
      <c r="L71" s="2712"/>
      <c r="M71" s="2711"/>
      <c r="N71" s="2711"/>
      <c r="O71" s="2712"/>
      <c r="P71" s="2711"/>
      <c r="Q71" s="2711"/>
      <c r="R71" s="2713"/>
    </row>
    <row r="72" spans="2:18" s="905" customFormat="1">
      <c r="B72" s="2711"/>
      <c r="C72" s="2711"/>
      <c r="D72" s="2711"/>
      <c r="E72" s="2711"/>
      <c r="F72" s="2711"/>
      <c r="G72" s="2712"/>
      <c r="H72" s="2711"/>
      <c r="I72" s="2712"/>
      <c r="J72" s="2711"/>
      <c r="K72" s="2711"/>
      <c r="L72" s="2712"/>
      <c r="M72" s="2711"/>
      <c r="N72" s="2711"/>
      <c r="O72" s="2712"/>
      <c r="P72" s="2711"/>
      <c r="Q72" s="2711"/>
      <c r="R72" s="2713"/>
    </row>
    <row r="73" spans="2:18" s="905" customFormat="1">
      <c r="B73" s="2711"/>
      <c r="C73" s="2711"/>
      <c r="D73" s="2711"/>
      <c r="E73" s="2711"/>
      <c r="F73" s="2711"/>
      <c r="G73" s="2712"/>
      <c r="H73" s="2711"/>
      <c r="I73" s="2712"/>
      <c r="J73" s="2711"/>
      <c r="K73" s="2711"/>
      <c r="L73" s="2712"/>
      <c r="M73" s="2711"/>
      <c r="N73" s="2711"/>
      <c r="O73" s="2712"/>
      <c r="P73" s="2711"/>
      <c r="Q73" s="2711"/>
      <c r="R73" s="2713"/>
    </row>
    <row r="74" spans="2:18" s="905" customFormat="1">
      <c r="B74" s="2711"/>
      <c r="C74" s="2711"/>
      <c r="D74" s="2711"/>
      <c r="E74" s="2711"/>
      <c r="F74" s="2711"/>
      <c r="G74" s="2712"/>
      <c r="H74" s="2711"/>
      <c r="I74" s="2712"/>
      <c r="J74" s="2711"/>
      <c r="K74" s="2711"/>
      <c r="L74" s="2712"/>
      <c r="M74" s="2711"/>
      <c r="N74" s="2711"/>
      <c r="O74" s="2712"/>
      <c r="P74" s="2711"/>
      <c r="Q74" s="2711"/>
      <c r="R74" s="2713"/>
    </row>
    <row r="75" spans="2:18" s="905" customFormat="1">
      <c r="B75" s="2711"/>
      <c r="C75" s="2711"/>
      <c r="D75" s="2711"/>
      <c r="E75" s="2711"/>
      <c r="F75" s="2711"/>
      <c r="G75" s="2712"/>
      <c r="H75" s="2711"/>
      <c r="I75" s="2712"/>
      <c r="J75" s="2711"/>
      <c r="K75" s="2711"/>
      <c r="L75" s="2712"/>
      <c r="M75" s="2711"/>
      <c r="N75" s="2711"/>
      <c r="O75" s="2712"/>
      <c r="P75" s="2711"/>
      <c r="Q75" s="2711"/>
      <c r="R75" s="2713"/>
    </row>
    <row r="76" spans="2:18" s="905" customFormat="1">
      <c r="B76" s="2711"/>
      <c r="C76" s="2711"/>
      <c r="D76" s="2711"/>
      <c r="E76" s="2711"/>
      <c r="F76" s="2711"/>
      <c r="G76" s="2712"/>
      <c r="H76" s="2711"/>
      <c r="I76" s="2712"/>
      <c r="J76" s="2711"/>
      <c r="K76" s="2711"/>
      <c r="L76" s="2712"/>
      <c r="M76" s="2711"/>
      <c r="N76" s="2711"/>
      <c r="O76" s="2712"/>
      <c r="P76" s="2711"/>
      <c r="Q76" s="2711"/>
      <c r="R76" s="2713"/>
    </row>
    <row r="77" spans="2:18" s="905" customFormat="1">
      <c r="B77" s="2711"/>
      <c r="C77" s="2711"/>
      <c r="D77" s="2711"/>
      <c r="E77" s="2711"/>
      <c r="F77" s="2711"/>
      <c r="G77" s="2712"/>
      <c r="H77" s="2711"/>
      <c r="I77" s="2712"/>
      <c r="J77" s="2711"/>
      <c r="K77" s="2711"/>
      <c r="L77" s="2712"/>
      <c r="M77" s="2711"/>
      <c r="N77" s="2711"/>
      <c r="O77" s="2712"/>
      <c r="P77" s="2711"/>
      <c r="Q77" s="2711"/>
      <c r="R77" s="2713"/>
    </row>
    <row r="78" spans="2:18" s="905" customFormat="1">
      <c r="B78" s="2711"/>
      <c r="C78" s="2711"/>
      <c r="D78" s="2711"/>
      <c r="E78" s="2711"/>
      <c r="F78" s="2711"/>
      <c r="G78" s="2712"/>
      <c r="H78" s="2711"/>
      <c r="I78" s="2712"/>
      <c r="J78" s="2711"/>
      <c r="K78" s="2711"/>
      <c r="L78" s="2712"/>
      <c r="M78" s="2711"/>
      <c r="N78" s="2711"/>
      <c r="O78" s="2712"/>
      <c r="P78" s="2711"/>
      <c r="Q78" s="2711"/>
      <c r="R78" s="2713"/>
    </row>
    <row r="79" spans="2:18" s="905" customFormat="1">
      <c r="B79" s="2711"/>
      <c r="C79" s="2711"/>
      <c r="D79" s="2711"/>
      <c r="E79" s="2711"/>
      <c r="F79" s="2711"/>
      <c r="G79" s="2712"/>
      <c r="H79" s="2711"/>
      <c r="I79" s="2712"/>
      <c r="J79" s="2711"/>
      <c r="K79" s="2711"/>
      <c r="L79" s="2712"/>
      <c r="M79" s="2711"/>
      <c r="N79" s="2711"/>
      <c r="O79" s="2712"/>
      <c r="P79" s="2711"/>
      <c r="Q79" s="2711"/>
      <c r="R79" s="2713"/>
    </row>
    <row r="80" spans="2:18" s="905" customFormat="1">
      <c r="B80" s="2711"/>
      <c r="C80" s="2711"/>
      <c r="D80" s="2711"/>
      <c r="E80" s="2711"/>
      <c r="F80" s="2711"/>
      <c r="G80" s="2712"/>
      <c r="H80" s="2711"/>
      <c r="I80" s="2712"/>
      <c r="J80" s="2711"/>
      <c r="K80" s="2711"/>
      <c r="L80" s="2712"/>
      <c r="M80" s="2711"/>
      <c r="N80" s="2711"/>
      <c r="O80" s="2712"/>
      <c r="P80" s="2711"/>
      <c r="Q80" s="2711"/>
      <c r="R80" s="2713"/>
    </row>
    <row r="81" spans="2:18" s="905" customFormat="1">
      <c r="B81" s="2711"/>
      <c r="C81" s="2711"/>
      <c r="D81" s="2711"/>
      <c r="E81" s="2711"/>
      <c r="F81" s="2711"/>
      <c r="G81" s="2712"/>
      <c r="H81" s="2711"/>
      <c r="I81" s="2712"/>
      <c r="J81" s="2711"/>
      <c r="K81" s="2711"/>
      <c r="L81" s="2712"/>
      <c r="M81" s="2711"/>
      <c r="N81" s="2711"/>
      <c r="O81" s="2712"/>
      <c r="P81" s="2711"/>
      <c r="Q81" s="2711"/>
      <c r="R81" s="2713"/>
    </row>
    <row r="82" spans="2:18" s="905" customFormat="1">
      <c r="B82" s="2711"/>
      <c r="C82" s="2711"/>
      <c r="D82" s="2711"/>
      <c r="E82" s="2711"/>
      <c r="F82" s="2711"/>
      <c r="G82" s="2712"/>
      <c r="H82" s="2711"/>
      <c r="I82" s="2712"/>
      <c r="J82" s="2711"/>
      <c r="K82" s="2711"/>
      <c r="L82" s="2712"/>
      <c r="M82" s="2711"/>
      <c r="N82" s="2711"/>
      <c r="O82" s="2712"/>
      <c r="P82" s="2711"/>
      <c r="Q82" s="2711"/>
      <c r="R82" s="2713"/>
    </row>
    <row r="83" spans="2:18" s="905" customFormat="1">
      <c r="B83" s="2711"/>
      <c r="C83" s="2711"/>
      <c r="D83" s="2711"/>
      <c r="E83" s="2711"/>
      <c r="F83" s="2711"/>
      <c r="G83" s="2712"/>
      <c r="H83" s="2711"/>
      <c r="I83" s="2712"/>
      <c r="J83" s="2711"/>
      <c r="K83" s="2711"/>
      <c r="L83" s="2712"/>
      <c r="M83" s="2711"/>
      <c r="N83" s="2711"/>
      <c r="O83" s="2712"/>
      <c r="P83" s="2711"/>
      <c r="Q83" s="2711"/>
      <c r="R83" s="2713"/>
    </row>
    <row r="84" spans="2:18" s="905" customFormat="1">
      <c r="B84" s="2711"/>
      <c r="C84" s="2711"/>
      <c r="D84" s="2711"/>
      <c r="E84" s="2711"/>
      <c r="F84" s="2711"/>
      <c r="G84" s="2712"/>
      <c r="H84" s="2711"/>
      <c r="I84" s="2712"/>
      <c r="J84" s="2711"/>
      <c r="K84" s="2711"/>
      <c r="L84" s="2712"/>
      <c r="M84" s="2711"/>
      <c r="N84" s="2711"/>
      <c r="O84" s="2712"/>
      <c r="P84" s="2711"/>
      <c r="Q84" s="2711"/>
      <c r="R84" s="2713"/>
    </row>
    <row r="85" spans="2:18" s="905" customFormat="1">
      <c r="B85" s="2711"/>
      <c r="C85" s="2711"/>
      <c r="D85" s="2711"/>
      <c r="E85" s="2711"/>
      <c r="F85" s="2711"/>
      <c r="G85" s="2712"/>
      <c r="H85" s="2711"/>
      <c r="I85" s="2712"/>
      <c r="J85" s="2711"/>
      <c r="K85" s="2711"/>
      <c r="L85" s="2712"/>
      <c r="M85" s="2711"/>
      <c r="N85" s="2711"/>
      <c r="O85" s="2712"/>
      <c r="P85" s="2711"/>
      <c r="Q85" s="2711"/>
      <c r="R85" s="2713"/>
    </row>
    <row r="86" spans="2:18" s="905" customFormat="1">
      <c r="B86" s="2711"/>
      <c r="C86" s="2711"/>
      <c r="D86" s="2711"/>
      <c r="E86" s="2711"/>
      <c r="F86" s="2711"/>
      <c r="G86" s="2712"/>
      <c r="H86" s="2711"/>
      <c r="I86" s="2712"/>
      <c r="J86" s="2711"/>
      <c r="K86" s="2711"/>
      <c r="L86" s="2712"/>
      <c r="M86" s="2711"/>
      <c r="N86" s="2711"/>
      <c r="O86" s="2712"/>
      <c r="P86" s="2711"/>
      <c r="Q86" s="2711"/>
      <c r="R86" s="2713"/>
    </row>
    <row r="87" spans="2:18" s="905" customFormat="1">
      <c r="B87" s="2711"/>
      <c r="C87" s="2711"/>
      <c r="D87" s="2711"/>
      <c r="E87" s="2711"/>
      <c r="F87" s="2711"/>
      <c r="G87" s="2712"/>
      <c r="H87" s="2711"/>
      <c r="I87" s="2712"/>
      <c r="J87" s="2711"/>
      <c r="K87" s="2711"/>
      <c r="L87" s="2712"/>
      <c r="M87" s="2711"/>
      <c r="N87" s="2711"/>
      <c r="O87" s="2712"/>
      <c r="P87" s="2711"/>
      <c r="Q87" s="2711"/>
      <c r="R87" s="2713"/>
    </row>
    <row r="88" spans="2:18" s="905" customFormat="1">
      <c r="B88" s="2711"/>
      <c r="C88" s="2711"/>
      <c r="D88" s="2711"/>
      <c r="E88" s="2711"/>
      <c r="F88" s="2711"/>
      <c r="G88" s="2712"/>
      <c r="H88" s="2711"/>
      <c r="I88" s="2712"/>
      <c r="J88" s="2711"/>
      <c r="K88" s="2711"/>
      <c r="L88" s="2712"/>
      <c r="M88" s="2711"/>
      <c r="N88" s="2711"/>
      <c r="O88" s="2712"/>
      <c r="P88" s="2711"/>
      <c r="Q88" s="2711"/>
      <c r="R88" s="2713"/>
    </row>
    <row r="89" spans="2:18" s="905" customFormat="1">
      <c r="B89" s="2711"/>
      <c r="C89" s="2711"/>
      <c r="D89" s="2711"/>
      <c r="E89" s="2711"/>
      <c r="F89" s="2711"/>
      <c r="G89" s="2712"/>
      <c r="H89" s="2711"/>
      <c r="I89" s="2712"/>
      <c r="J89" s="2711"/>
      <c r="K89" s="2711"/>
      <c r="L89" s="2712"/>
      <c r="M89" s="2711"/>
      <c r="N89" s="2711"/>
      <c r="O89" s="2712"/>
      <c r="P89" s="2711"/>
      <c r="Q89" s="2711"/>
      <c r="R89" s="2713"/>
    </row>
    <row r="90" spans="2:18" s="905" customFormat="1">
      <c r="B90" s="2711"/>
      <c r="C90" s="2711"/>
      <c r="D90" s="2711"/>
      <c r="E90" s="2711"/>
      <c r="F90" s="2711"/>
      <c r="G90" s="2712"/>
      <c r="H90" s="2711"/>
      <c r="I90" s="2712"/>
      <c r="J90" s="2711"/>
      <c r="K90" s="2711"/>
      <c r="L90" s="2712"/>
      <c r="M90" s="2711"/>
      <c r="N90" s="2711"/>
      <c r="O90" s="2712"/>
      <c r="P90" s="2711"/>
      <c r="Q90" s="2711"/>
      <c r="R90" s="2713"/>
    </row>
    <row r="91" spans="2:18" s="905" customFormat="1">
      <c r="B91" s="2711"/>
      <c r="C91" s="2711"/>
      <c r="D91" s="2711"/>
      <c r="E91" s="2711"/>
      <c r="F91" s="2711"/>
      <c r="G91" s="2712"/>
      <c r="H91" s="2711"/>
      <c r="I91" s="2712"/>
      <c r="J91" s="2711"/>
      <c r="K91" s="2711"/>
      <c r="L91" s="2712"/>
      <c r="M91" s="2711"/>
      <c r="N91" s="2711"/>
      <c r="O91" s="2712"/>
      <c r="P91" s="2711"/>
      <c r="Q91" s="2711"/>
      <c r="R91" s="2713"/>
    </row>
    <row r="92" spans="2:18" s="905" customFormat="1">
      <c r="B92" s="2711"/>
      <c r="C92" s="2711"/>
      <c r="D92" s="2711"/>
      <c r="E92" s="2711"/>
      <c r="F92" s="2711"/>
      <c r="G92" s="2712"/>
      <c r="H92" s="2711"/>
      <c r="I92" s="2712"/>
      <c r="J92" s="2711"/>
      <c r="K92" s="2711"/>
      <c r="L92" s="2712"/>
      <c r="M92" s="2711"/>
      <c r="N92" s="2711"/>
      <c r="O92" s="2712"/>
      <c r="P92" s="2711"/>
      <c r="Q92" s="2711"/>
      <c r="R92" s="2713"/>
    </row>
    <row r="93" spans="2:18" s="905" customFormat="1">
      <c r="B93" s="2711"/>
      <c r="C93" s="2711"/>
      <c r="D93" s="2711"/>
      <c r="E93" s="2711"/>
      <c r="F93" s="2711"/>
      <c r="G93" s="2712"/>
      <c r="H93" s="2711"/>
      <c r="I93" s="2712"/>
      <c r="J93" s="2711"/>
      <c r="K93" s="2711"/>
      <c r="L93" s="2712"/>
      <c r="M93" s="2711"/>
      <c r="N93" s="2711"/>
      <c r="O93" s="2712"/>
      <c r="P93" s="2711"/>
      <c r="Q93" s="2711"/>
      <c r="R93" s="2713"/>
    </row>
    <row r="94" spans="2:18" s="905" customFormat="1">
      <c r="B94" s="2711"/>
      <c r="C94" s="2711"/>
      <c r="D94" s="2711"/>
      <c r="E94" s="2711"/>
      <c r="F94" s="2711"/>
      <c r="G94" s="2712"/>
      <c r="H94" s="2711"/>
      <c r="I94" s="2712"/>
      <c r="J94" s="2711"/>
      <c r="K94" s="2711"/>
      <c r="L94" s="2712"/>
      <c r="M94" s="2711"/>
      <c r="N94" s="2711"/>
      <c r="O94" s="2712"/>
      <c r="P94" s="2711"/>
      <c r="Q94" s="2711"/>
      <c r="R94" s="2713"/>
    </row>
    <row r="95" spans="2:18" s="905" customFormat="1">
      <c r="B95" s="2711"/>
      <c r="C95" s="2711"/>
      <c r="D95" s="2711"/>
      <c r="E95" s="2711"/>
      <c r="F95" s="2711"/>
      <c r="G95" s="2712"/>
      <c r="H95" s="2711"/>
      <c r="I95" s="2712"/>
      <c r="J95" s="2711"/>
      <c r="K95" s="2711"/>
      <c r="L95" s="2712"/>
      <c r="M95" s="2711"/>
      <c r="N95" s="2711"/>
      <c r="O95" s="2712"/>
      <c r="P95" s="2711"/>
      <c r="Q95" s="2711"/>
      <c r="R95" s="2713"/>
    </row>
    <row r="96" spans="2:18" s="905" customFormat="1">
      <c r="B96" s="2711"/>
      <c r="C96" s="2711"/>
      <c r="D96" s="2711"/>
      <c r="E96" s="2711"/>
      <c r="F96" s="2711"/>
      <c r="G96" s="2712"/>
      <c r="H96" s="2711"/>
      <c r="I96" s="2712"/>
      <c r="J96" s="2711"/>
      <c r="K96" s="2711"/>
      <c r="L96" s="2712"/>
      <c r="M96" s="2711"/>
      <c r="N96" s="2711"/>
      <c r="O96" s="2712"/>
      <c r="P96" s="2711"/>
      <c r="Q96" s="2711"/>
      <c r="R96" s="2713"/>
    </row>
    <row r="97" spans="2:18" s="905" customFormat="1">
      <c r="B97" s="2711"/>
      <c r="C97" s="2711"/>
      <c r="D97" s="2711"/>
      <c r="E97" s="2711"/>
      <c r="F97" s="2711"/>
      <c r="G97" s="2712"/>
      <c r="H97" s="2711"/>
      <c r="I97" s="2712"/>
      <c r="J97" s="2711"/>
      <c r="K97" s="2711"/>
      <c r="L97" s="2712"/>
      <c r="M97" s="2711"/>
      <c r="N97" s="2711"/>
      <c r="O97" s="2712"/>
      <c r="P97" s="2711"/>
      <c r="Q97" s="2711"/>
      <c r="R97" s="2713"/>
    </row>
    <row r="98" spans="2:18" s="905" customFormat="1">
      <c r="B98" s="2711"/>
      <c r="C98" s="2711"/>
      <c r="D98" s="2711"/>
      <c r="E98" s="2711"/>
      <c r="F98" s="2711"/>
      <c r="G98" s="2712"/>
      <c r="H98" s="2711"/>
      <c r="I98" s="2712"/>
      <c r="J98" s="2711"/>
      <c r="K98" s="2711"/>
      <c r="L98" s="2712"/>
      <c r="M98" s="2711"/>
      <c r="N98" s="2711"/>
      <c r="O98" s="2712"/>
      <c r="P98" s="2711"/>
      <c r="Q98" s="2711"/>
      <c r="R98" s="2713"/>
    </row>
    <row r="99" spans="2:18" s="905" customFormat="1">
      <c r="B99" s="2711"/>
      <c r="C99" s="2711"/>
      <c r="D99" s="2711"/>
      <c r="E99" s="2711"/>
      <c r="F99" s="2711"/>
      <c r="G99" s="2712"/>
      <c r="H99" s="2711"/>
      <c r="I99" s="2712"/>
      <c r="J99" s="2711"/>
      <c r="K99" s="2711"/>
      <c r="L99" s="2712"/>
      <c r="M99" s="2711"/>
      <c r="N99" s="2711"/>
      <c r="O99" s="2712"/>
      <c r="P99" s="2711"/>
      <c r="Q99" s="2711"/>
      <c r="R99" s="2713"/>
    </row>
    <row r="100" spans="2:18" s="905" customFormat="1">
      <c r="B100" s="2711"/>
      <c r="C100" s="2711"/>
      <c r="D100" s="2711"/>
      <c r="E100" s="2711"/>
      <c r="F100" s="2711"/>
      <c r="G100" s="2712"/>
      <c r="H100" s="2711"/>
      <c r="I100" s="2712"/>
      <c r="J100" s="2711"/>
      <c r="K100" s="2711"/>
      <c r="L100" s="2712"/>
      <c r="M100" s="2711"/>
      <c r="N100" s="2711"/>
      <c r="O100" s="2712"/>
      <c r="P100" s="2711"/>
      <c r="Q100" s="2711"/>
      <c r="R100" s="2713"/>
    </row>
    <row r="101" spans="2:18" s="905" customFormat="1">
      <c r="B101" s="2711"/>
      <c r="C101" s="2711"/>
      <c r="D101" s="2711"/>
      <c r="E101" s="2711"/>
      <c r="F101" s="2711"/>
      <c r="G101" s="2712"/>
      <c r="H101" s="2711"/>
      <c r="I101" s="2712"/>
      <c r="J101" s="2711"/>
      <c r="K101" s="2711"/>
      <c r="L101" s="2712"/>
      <c r="M101" s="2711"/>
      <c r="N101" s="2711"/>
      <c r="O101" s="2712"/>
      <c r="P101" s="2711"/>
      <c r="Q101" s="2711"/>
      <c r="R101" s="2713"/>
    </row>
    <row r="102" spans="2:18" s="905" customFormat="1">
      <c r="B102" s="2711"/>
      <c r="C102" s="2711"/>
      <c r="D102" s="2711"/>
      <c r="E102" s="2711"/>
      <c r="F102" s="2711"/>
      <c r="G102" s="2712"/>
      <c r="H102" s="2711"/>
      <c r="I102" s="2712"/>
      <c r="J102" s="2711"/>
      <c r="K102" s="2711"/>
      <c r="L102" s="2712"/>
      <c r="M102" s="2711"/>
      <c r="N102" s="2711"/>
      <c r="O102" s="2712"/>
      <c r="P102" s="2711"/>
      <c r="Q102" s="2711"/>
      <c r="R102" s="2713"/>
    </row>
    <row r="103" spans="2:18" s="905" customFormat="1">
      <c r="B103" s="2711"/>
      <c r="C103" s="2711"/>
      <c r="D103" s="2711"/>
      <c r="E103" s="2711"/>
      <c r="F103" s="2711"/>
      <c r="G103" s="2712"/>
      <c r="H103" s="2711"/>
      <c r="I103" s="2712"/>
      <c r="J103" s="2711"/>
      <c r="K103" s="2711"/>
      <c r="L103" s="2712"/>
      <c r="M103" s="2711"/>
      <c r="N103" s="2711"/>
      <c r="O103" s="2712"/>
      <c r="P103" s="2711"/>
      <c r="Q103" s="2711"/>
      <c r="R103" s="2713"/>
    </row>
    <row r="104" spans="2:18" s="905" customFormat="1">
      <c r="B104" s="2711"/>
      <c r="C104" s="2711"/>
      <c r="D104" s="2711"/>
      <c r="E104" s="2711"/>
      <c r="F104" s="2711"/>
      <c r="G104" s="2712"/>
      <c r="H104" s="2711"/>
      <c r="I104" s="2712"/>
      <c r="J104" s="2711"/>
      <c r="K104" s="2711"/>
      <c r="L104" s="2712"/>
      <c r="M104" s="2711"/>
      <c r="N104" s="2711"/>
      <c r="O104" s="2712"/>
      <c r="P104" s="2711"/>
      <c r="Q104" s="2711"/>
      <c r="R104" s="2713"/>
    </row>
    <row r="105" spans="2:18" s="905" customFormat="1">
      <c r="B105" s="2711"/>
      <c r="C105" s="2711"/>
      <c r="D105" s="2711"/>
      <c r="E105" s="2711"/>
      <c r="F105" s="2711"/>
      <c r="G105" s="2712"/>
      <c r="H105" s="2711"/>
      <c r="I105" s="2712"/>
      <c r="J105" s="2711"/>
      <c r="K105" s="2711"/>
      <c r="L105" s="2712"/>
      <c r="M105" s="2711"/>
      <c r="N105" s="2711"/>
      <c r="O105" s="2712"/>
      <c r="P105" s="2711"/>
      <c r="Q105" s="2711"/>
      <c r="R105" s="2713"/>
    </row>
    <row r="106" spans="2:18" s="905" customFormat="1">
      <c r="B106" s="2711"/>
      <c r="C106" s="2711"/>
      <c r="D106" s="2711"/>
      <c r="E106" s="2711"/>
      <c r="F106" s="2711"/>
      <c r="G106" s="2712"/>
      <c r="H106" s="2711"/>
      <c r="I106" s="2712"/>
      <c r="J106" s="2711"/>
      <c r="K106" s="2711"/>
      <c r="L106" s="2712"/>
      <c r="M106" s="2711"/>
      <c r="N106" s="2711"/>
      <c r="O106" s="2712"/>
      <c r="P106" s="2711"/>
      <c r="Q106" s="2711"/>
      <c r="R106" s="2713"/>
    </row>
    <row r="107" spans="2:18" s="905" customFormat="1">
      <c r="B107" s="2711"/>
      <c r="C107" s="2711"/>
      <c r="D107" s="2711"/>
      <c r="E107" s="2711"/>
      <c r="F107" s="2711"/>
      <c r="G107" s="2712"/>
      <c r="H107" s="2711"/>
      <c r="I107" s="2712"/>
      <c r="J107" s="2711"/>
      <c r="K107" s="2711"/>
      <c r="L107" s="2712"/>
      <c r="M107" s="2711"/>
      <c r="N107" s="2711"/>
      <c r="O107" s="2712"/>
      <c r="P107" s="2711"/>
      <c r="Q107" s="2711"/>
      <c r="R107" s="2713"/>
    </row>
    <row r="108" spans="2:18" s="905" customFormat="1">
      <c r="B108" s="2711"/>
      <c r="C108" s="2711"/>
      <c r="D108" s="2711"/>
      <c r="E108" s="2711"/>
      <c r="F108" s="2711"/>
      <c r="G108" s="2712"/>
      <c r="H108" s="2711"/>
      <c r="I108" s="2712"/>
      <c r="J108" s="2711"/>
      <c r="K108" s="2711"/>
      <c r="L108" s="2712"/>
      <c r="M108" s="2711"/>
      <c r="N108" s="2711"/>
      <c r="O108" s="2712"/>
      <c r="P108" s="2711"/>
      <c r="Q108" s="2711"/>
      <c r="R108" s="2713"/>
    </row>
    <row r="109" spans="2:18" s="905" customFormat="1">
      <c r="B109" s="2711"/>
      <c r="C109" s="2711"/>
      <c r="D109" s="2711"/>
      <c r="E109" s="2711"/>
      <c r="F109" s="2711"/>
      <c r="G109" s="2712"/>
      <c r="H109" s="2711"/>
      <c r="I109" s="2712"/>
      <c r="J109" s="2711"/>
      <c r="K109" s="2711"/>
      <c r="L109" s="2712"/>
      <c r="M109" s="2711"/>
      <c r="N109" s="2711"/>
      <c r="O109" s="2712"/>
      <c r="P109" s="2711"/>
      <c r="Q109" s="2711"/>
      <c r="R109" s="2713"/>
    </row>
    <row r="110" spans="2:18" s="905" customFormat="1">
      <c r="B110" s="2711"/>
      <c r="C110" s="2711"/>
      <c r="D110" s="2711"/>
      <c r="E110" s="2711"/>
      <c r="F110" s="2711"/>
      <c r="G110" s="2712"/>
      <c r="H110" s="2711"/>
      <c r="I110" s="2712"/>
      <c r="J110" s="2711"/>
      <c r="K110" s="2711"/>
      <c r="L110" s="2712"/>
      <c r="M110" s="2711"/>
      <c r="N110" s="2711"/>
      <c r="O110" s="2712"/>
      <c r="P110" s="2711"/>
      <c r="Q110" s="2711"/>
      <c r="R110" s="2713"/>
    </row>
    <row r="111" spans="2:18" s="905" customFormat="1">
      <c r="B111" s="2711"/>
      <c r="C111" s="2711"/>
      <c r="D111" s="2711"/>
      <c r="E111" s="2711"/>
      <c r="F111" s="2711"/>
      <c r="G111" s="2712"/>
      <c r="H111" s="2711"/>
      <c r="I111" s="2712"/>
      <c r="J111" s="2711"/>
      <c r="K111" s="2711"/>
      <c r="L111" s="2712"/>
      <c r="M111" s="2711"/>
      <c r="N111" s="2711"/>
      <c r="O111" s="2712"/>
      <c r="P111" s="2711"/>
      <c r="Q111" s="2711"/>
      <c r="R111" s="2713"/>
    </row>
    <row r="112" spans="2:18" s="905" customFormat="1">
      <c r="B112" s="2711"/>
      <c r="C112" s="2711"/>
      <c r="D112" s="2711"/>
      <c r="E112" s="2711"/>
      <c r="F112" s="2711"/>
      <c r="G112" s="2712"/>
      <c r="H112" s="2711"/>
      <c r="I112" s="2712"/>
      <c r="J112" s="2711"/>
      <c r="K112" s="2711"/>
      <c r="L112" s="2712"/>
      <c r="M112" s="2711"/>
      <c r="N112" s="2711"/>
      <c r="O112" s="2712"/>
      <c r="P112" s="2711"/>
      <c r="Q112" s="2711"/>
      <c r="R112" s="2713"/>
    </row>
    <row r="113" spans="2:18" s="905" customFormat="1">
      <c r="B113" s="2711"/>
      <c r="C113" s="2711"/>
      <c r="D113" s="2711"/>
      <c r="E113" s="2711"/>
      <c r="F113" s="2711"/>
      <c r="G113" s="2712"/>
      <c r="H113" s="2711"/>
      <c r="I113" s="2712"/>
      <c r="J113" s="2711"/>
      <c r="K113" s="2711"/>
      <c r="L113" s="2712"/>
      <c r="M113" s="2711"/>
      <c r="N113" s="2711"/>
      <c r="O113" s="2712"/>
      <c r="P113" s="2711"/>
      <c r="Q113" s="2711"/>
      <c r="R113" s="2713"/>
    </row>
    <row r="114" spans="2:18" s="905" customFormat="1">
      <c r="B114" s="2711"/>
      <c r="C114" s="2711"/>
      <c r="D114" s="2711"/>
      <c r="E114" s="2711"/>
      <c r="F114" s="2711"/>
      <c r="G114" s="2712"/>
      <c r="H114" s="2711"/>
      <c r="I114" s="2712"/>
      <c r="J114" s="2711"/>
      <c r="K114" s="2711"/>
      <c r="L114" s="2712"/>
      <c r="M114" s="2711"/>
      <c r="N114" s="2711"/>
      <c r="O114" s="2712"/>
      <c r="P114" s="2711"/>
      <c r="Q114" s="2711"/>
      <c r="R114" s="2713"/>
    </row>
    <row r="115" spans="2:18" s="905" customFormat="1">
      <c r="B115" s="2711"/>
      <c r="C115" s="2711"/>
      <c r="D115" s="2711"/>
      <c r="E115" s="2711"/>
      <c r="F115" s="2711"/>
      <c r="G115" s="2712"/>
      <c r="H115" s="2711"/>
      <c r="I115" s="2712"/>
      <c r="J115" s="2711"/>
      <c r="K115" s="2711"/>
      <c r="L115" s="2712"/>
      <c r="M115" s="2711"/>
      <c r="N115" s="2711"/>
      <c r="O115" s="2712"/>
      <c r="P115" s="2711"/>
      <c r="Q115" s="2711"/>
      <c r="R115" s="2713"/>
    </row>
    <row r="116" spans="2:18" s="905" customFormat="1">
      <c r="B116" s="2711"/>
      <c r="C116" s="2711"/>
      <c r="D116" s="2711"/>
      <c r="E116" s="2711"/>
      <c r="F116" s="2711"/>
      <c r="G116" s="2712"/>
      <c r="H116" s="2711"/>
      <c r="I116" s="2712"/>
      <c r="J116" s="2711"/>
      <c r="K116" s="2711"/>
      <c r="L116" s="2712"/>
      <c r="M116" s="2711"/>
      <c r="N116" s="2711"/>
      <c r="O116" s="2712"/>
      <c r="P116" s="2711"/>
      <c r="Q116" s="2711"/>
      <c r="R116" s="2713"/>
    </row>
    <row r="117" spans="2:18" s="905" customFormat="1">
      <c r="B117" s="2711"/>
      <c r="C117" s="2711"/>
      <c r="D117" s="2711"/>
      <c r="E117" s="2711"/>
      <c r="F117" s="2711"/>
      <c r="G117" s="2712"/>
      <c r="H117" s="2711"/>
      <c r="I117" s="2712"/>
      <c r="J117" s="2711"/>
      <c r="K117" s="2711"/>
      <c r="L117" s="2712"/>
      <c r="M117" s="2711"/>
      <c r="N117" s="2711"/>
      <c r="O117" s="2712"/>
      <c r="P117" s="2711"/>
      <c r="Q117" s="2711"/>
      <c r="R117" s="2713"/>
    </row>
    <row r="118" spans="2:18" s="905" customFormat="1">
      <c r="B118" s="2711"/>
      <c r="C118" s="2711"/>
      <c r="D118" s="2711"/>
      <c r="E118" s="2711"/>
      <c r="F118" s="2711"/>
      <c r="G118" s="2712"/>
      <c r="H118" s="2711"/>
      <c r="I118" s="2712"/>
      <c r="J118" s="2711"/>
      <c r="K118" s="2711"/>
      <c r="L118" s="2712"/>
      <c r="M118" s="2711"/>
      <c r="N118" s="2711"/>
      <c r="O118" s="2712"/>
      <c r="P118" s="2711"/>
      <c r="Q118" s="2711"/>
      <c r="R118" s="2713"/>
    </row>
    <row r="119" spans="2:18" s="905" customFormat="1">
      <c r="B119" s="2711"/>
      <c r="C119" s="2711"/>
      <c r="D119" s="2711"/>
      <c r="E119" s="2711"/>
      <c r="F119" s="2711"/>
      <c r="G119" s="2712"/>
      <c r="H119" s="2711"/>
      <c r="I119" s="2712"/>
      <c r="J119" s="2711"/>
      <c r="K119" s="2711"/>
      <c r="L119" s="2712"/>
      <c r="M119" s="2711"/>
      <c r="N119" s="2711"/>
      <c r="O119" s="2712"/>
      <c r="P119" s="2711"/>
      <c r="Q119" s="2711"/>
      <c r="R119" s="2713"/>
    </row>
    <row r="120" spans="2:18" s="905" customFormat="1">
      <c r="B120" s="2711"/>
      <c r="C120" s="2711"/>
      <c r="D120" s="2711"/>
      <c r="E120" s="2711"/>
      <c r="F120" s="2711"/>
      <c r="G120" s="2712"/>
      <c r="H120" s="2711"/>
      <c r="I120" s="2712"/>
      <c r="J120" s="2711"/>
      <c r="K120" s="2711"/>
      <c r="L120" s="2712"/>
      <c r="M120" s="2711"/>
      <c r="N120" s="2711"/>
      <c r="O120" s="2712"/>
      <c r="P120" s="2711"/>
      <c r="Q120" s="2711"/>
      <c r="R120" s="2713"/>
    </row>
    <row r="121" spans="2:18" s="905" customFormat="1">
      <c r="B121" s="2711"/>
      <c r="C121" s="2711"/>
      <c r="D121" s="2711"/>
      <c r="E121" s="2711"/>
      <c r="F121" s="2711"/>
      <c r="G121" s="2712"/>
      <c r="H121" s="2711"/>
      <c r="I121" s="2712"/>
      <c r="J121" s="2711"/>
      <c r="K121" s="2711"/>
      <c r="L121" s="2712"/>
      <c r="M121" s="2711"/>
      <c r="N121" s="2711"/>
      <c r="O121" s="2712"/>
      <c r="P121" s="2711"/>
      <c r="Q121" s="2711"/>
      <c r="R121" s="2713"/>
    </row>
    <row r="122" spans="2:18" s="905" customFormat="1">
      <c r="B122" s="2711"/>
      <c r="C122" s="2711"/>
      <c r="D122" s="2711"/>
      <c r="E122" s="2711"/>
      <c r="F122" s="2711"/>
      <c r="G122" s="2712"/>
      <c r="H122" s="2711"/>
      <c r="I122" s="2712"/>
      <c r="J122" s="2711"/>
      <c r="K122" s="2711"/>
      <c r="L122" s="2712"/>
      <c r="M122" s="2711"/>
      <c r="N122" s="2711"/>
      <c r="O122" s="2712"/>
      <c r="P122" s="2711"/>
      <c r="Q122" s="2711"/>
      <c r="R122" s="2713"/>
    </row>
    <row r="123" spans="2:18" s="905" customFormat="1">
      <c r="B123" s="2711"/>
      <c r="C123" s="2711"/>
      <c r="D123" s="2711"/>
      <c r="E123" s="2711"/>
      <c r="F123" s="2711"/>
      <c r="G123" s="2712"/>
      <c r="H123" s="2711"/>
      <c r="I123" s="2712"/>
      <c r="J123" s="2711"/>
      <c r="K123" s="2711"/>
      <c r="L123" s="2712"/>
      <c r="M123" s="2711"/>
      <c r="N123" s="2711"/>
      <c r="O123" s="2712"/>
      <c r="P123" s="2711"/>
      <c r="Q123" s="2711"/>
      <c r="R123" s="2713"/>
    </row>
    <row r="124" spans="2:18" s="905" customFormat="1">
      <c r="B124" s="2711"/>
      <c r="C124" s="2711"/>
      <c r="D124" s="2711"/>
      <c r="E124" s="2711"/>
      <c r="F124" s="2711"/>
      <c r="G124" s="2712"/>
      <c r="H124" s="2711"/>
      <c r="I124" s="2712"/>
      <c r="J124" s="2711"/>
      <c r="K124" s="2711"/>
      <c r="L124" s="2712"/>
      <c r="M124" s="2711"/>
      <c r="N124" s="2711"/>
      <c r="O124" s="2712"/>
      <c r="P124" s="2711"/>
      <c r="Q124" s="2711"/>
      <c r="R124" s="2713"/>
    </row>
    <row r="125" spans="2:18" s="905" customFormat="1">
      <c r="B125" s="2711"/>
      <c r="C125" s="2711"/>
      <c r="D125" s="2711"/>
      <c r="E125" s="2711"/>
      <c r="F125" s="2711"/>
      <c r="G125" s="2712"/>
      <c r="H125" s="2711"/>
      <c r="I125" s="2712"/>
      <c r="J125" s="2711"/>
      <c r="K125" s="2711"/>
      <c r="L125" s="2712"/>
      <c r="M125" s="2711"/>
      <c r="N125" s="2711"/>
      <c r="O125" s="2712"/>
      <c r="P125" s="2711"/>
      <c r="Q125" s="2711"/>
      <c r="R125" s="2713"/>
    </row>
    <row r="126" spans="2:18" s="905" customFormat="1">
      <c r="B126" s="2711"/>
      <c r="C126" s="2711"/>
      <c r="D126" s="2711"/>
      <c r="E126" s="2711"/>
      <c r="F126" s="2711"/>
      <c r="G126" s="2712"/>
      <c r="H126" s="2711"/>
      <c r="I126" s="2712"/>
      <c r="J126" s="2711"/>
      <c r="K126" s="2711"/>
      <c r="L126" s="2712"/>
      <c r="M126" s="2711"/>
      <c r="N126" s="2711"/>
      <c r="O126" s="2712"/>
      <c r="P126" s="2711"/>
      <c r="Q126" s="2711"/>
      <c r="R126" s="2713"/>
    </row>
    <row r="127" spans="2:18" s="905" customFormat="1">
      <c r="B127" s="2711"/>
      <c r="C127" s="2711"/>
      <c r="D127" s="2711"/>
      <c r="E127" s="2711"/>
      <c r="F127" s="2711"/>
      <c r="G127" s="2712"/>
      <c r="H127" s="2711"/>
      <c r="I127" s="2712"/>
      <c r="J127" s="2711"/>
      <c r="K127" s="2711"/>
      <c r="L127" s="2712"/>
      <c r="M127" s="2711"/>
      <c r="N127" s="2711"/>
      <c r="O127" s="2712"/>
      <c r="P127" s="2711"/>
      <c r="Q127" s="2711"/>
      <c r="R127" s="2713"/>
    </row>
    <row r="128" spans="2:18" s="905" customFormat="1">
      <c r="B128" s="2711"/>
      <c r="C128" s="2711"/>
      <c r="D128" s="2711"/>
      <c r="E128" s="2711"/>
      <c r="F128" s="2711"/>
      <c r="G128" s="2712"/>
      <c r="H128" s="2711"/>
      <c r="I128" s="2712"/>
      <c r="J128" s="2711"/>
      <c r="K128" s="2711"/>
      <c r="L128" s="2712"/>
      <c r="M128" s="2711"/>
      <c r="N128" s="2711"/>
      <c r="O128" s="2712"/>
      <c r="P128" s="2711"/>
      <c r="Q128" s="2711"/>
      <c r="R128" s="2713"/>
    </row>
    <row r="129" spans="2:18" s="905" customFormat="1">
      <c r="B129" s="2711"/>
      <c r="C129" s="2711"/>
      <c r="D129" s="2711"/>
      <c r="E129" s="2711"/>
      <c r="F129" s="2711"/>
      <c r="G129" s="2712"/>
      <c r="H129" s="2711"/>
      <c r="I129" s="2712"/>
      <c r="J129" s="2711"/>
      <c r="K129" s="2711"/>
      <c r="L129" s="2712"/>
      <c r="M129" s="2711"/>
      <c r="N129" s="2711"/>
      <c r="O129" s="2712"/>
      <c r="P129" s="2711"/>
      <c r="Q129" s="2711"/>
      <c r="R129" s="2713"/>
    </row>
    <row r="130" spans="2:18" s="905" customFormat="1">
      <c r="B130" s="2711"/>
      <c r="C130" s="2711"/>
      <c r="D130" s="2711"/>
      <c r="E130" s="2711"/>
      <c r="F130" s="2711"/>
      <c r="G130" s="2712"/>
      <c r="H130" s="2711"/>
      <c r="I130" s="2712"/>
      <c r="J130" s="2711"/>
      <c r="K130" s="2711"/>
      <c r="L130" s="2712"/>
      <c r="M130" s="2711"/>
      <c r="N130" s="2711"/>
      <c r="O130" s="2712"/>
      <c r="P130" s="2711"/>
      <c r="Q130" s="2711"/>
      <c r="R130" s="2713"/>
    </row>
    <row r="131" spans="2:18" s="905" customFormat="1">
      <c r="B131" s="2711"/>
      <c r="C131" s="2711"/>
      <c r="D131" s="2711"/>
      <c r="E131" s="2711"/>
      <c r="F131" s="2711"/>
      <c r="G131" s="2712"/>
      <c r="H131" s="2711"/>
      <c r="I131" s="2712"/>
      <c r="J131" s="2711"/>
      <c r="K131" s="2711"/>
      <c r="L131" s="2712"/>
      <c r="M131" s="2711"/>
      <c r="N131" s="2711"/>
      <c r="O131" s="2712"/>
      <c r="P131" s="2711"/>
      <c r="Q131" s="2711"/>
      <c r="R131" s="2713"/>
    </row>
    <row r="132" spans="2:18" s="905" customFormat="1">
      <c r="B132" s="2711"/>
      <c r="C132" s="2711"/>
      <c r="D132" s="2711"/>
      <c r="E132" s="2711"/>
      <c r="F132" s="2711"/>
      <c r="G132" s="2712"/>
      <c r="H132" s="2711"/>
      <c r="I132" s="2712"/>
      <c r="J132" s="2711"/>
      <c r="K132" s="2711"/>
      <c r="L132" s="2712"/>
      <c r="M132" s="2711"/>
      <c r="N132" s="2711"/>
      <c r="O132" s="2712"/>
      <c r="P132" s="2711"/>
      <c r="Q132" s="2711"/>
      <c r="R132" s="2713"/>
    </row>
    <row r="133" spans="2:18" s="905" customFormat="1">
      <c r="B133" s="2711"/>
      <c r="C133" s="2711"/>
      <c r="D133" s="2711"/>
      <c r="E133" s="2711"/>
      <c r="F133" s="2711"/>
      <c r="G133" s="2712"/>
      <c r="H133" s="2711"/>
      <c r="I133" s="2712"/>
      <c r="J133" s="2711"/>
      <c r="K133" s="2711"/>
      <c r="L133" s="2712"/>
      <c r="M133" s="2711"/>
      <c r="N133" s="2711"/>
      <c r="O133" s="2712"/>
      <c r="P133" s="2711"/>
      <c r="Q133" s="2711"/>
      <c r="R133" s="2713"/>
    </row>
    <row r="134" spans="2:18" s="905" customFormat="1">
      <c r="B134" s="2711"/>
      <c r="C134" s="2711"/>
      <c r="D134" s="2711"/>
      <c r="E134" s="2711"/>
      <c r="F134" s="2711"/>
      <c r="G134" s="2712"/>
      <c r="H134" s="2711"/>
      <c r="I134" s="2712"/>
      <c r="J134" s="2711"/>
      <c r="K134" s="2711"/>
      <c r="L134" s="2712"/>
      <c r="M134" s="2711"/>
      <c r="N134" s="2711"/>
      <c r="O134" s="2712"/>
      <c r="P134" s="2711"/>
      <c r="Q134" s="2711"/>
      <c r="R134" s="2713"/>
    </row>
    <row r="135" spans="2:18" s="905" customFormat="1">
      <c r="B135" s="2711"/>
      <c r="C135" s="2711"/>
      <c r="D135" s="2711"/>
      <c r="E135" s="2711"/>
      <c r="F135" s="2711"/>
      <c r="G135" s="2712"/>
      <c r="H135" s="2711"/>
      <c r="I135" s="2712"/>
      <c r="J135" s="2711"/>
      <c r="K135" s="2711"/>
      <c r="L135" s="2712"/>
      <c r="M135" s="2711"/>
      <c r="N135" s="2711"/>
      <c r="O135" s="2712"/>
      <c r="P135" s="2711"/>
      <c r="Q135" s="2711"/>
      <c r="R135" s="2713"/>
    </row>
    <row r="136" spans="2:18" s="905" customFormat="1">
      <c r="B136" s="2711"/>
      <c r="C136" s="2711"/>
      <c r="D136" s="2711"/>
      <c r="E136" s="2711"/>
      <c r="F136" s="2711"/>
      <c r="G136" s="2712"/>
      <c r="H136" s="2711"/>
      <c r="I136" s="2712"/>
      <c r="J136" s="2711"/>
      <c r="K136" s="2711"/>
      <c r="L136" s="2712"/>
      <c r="M136" s="2711"/>
      <c r="N136" s="2711"/>
      <c r="O136" s="2712"/>
      <c r="P136" s="2711"/>
      <c r="Q136" s="2711"/>
      <c r="R136" s="2713"/>
    </row>
    <row r="137" spans="2:18" s="905" customFormat="1">
      <c r="B137" s="2711"/>
      <c r="C137" s="2711"/>
      <c r="D137" s="2711"/>
      <c r="E137" s="2711"/>
      <c r="F137" s="2711"/>
      <c r="G137" s="2712"/>
      <c r="H137" s="2711"/>
      <c r="I137" s="2712"/>
      <c r="J137" s="2711"/>
      <c r="K137" s="2711"/>
      <c r="L137" s="2712"/>
      <c r="M137" s="2711"/>
      <c r="N137" s="2711"/>
      <c r="O137" s="2712"/>
      <c r="P137" s="2711"/>
      <c r="Q137" s="2711"/>
      <c r="R137" s="2713"/>
    </row>
    <row r="138" spans="2:18" s="905" customFormat="1">
      <c r="B138" s="2711"/>
      <c r="C138" s="2711"/>
      <c r="D138" s="2711"/>
      <c r="E138" s="2711"/>
      <c r="F138" s="2711"/>
      <c r="G138" s="2712"/>
      <c r="H138" s="2711"/>
      <c r="I138" s="2712"/>
      <c r="J138" s="2711"/>
      <c r="K138" s="2711"/>
      <c r="L138" s="2712"/>
      <c r="M138" s="2711"/>
      <c r="N138" s="2711"/>
      <c r="O138" s="2712"/>
      <c r="P138" s="2711"/>
      <c r="Q138" s="2711"/>
      <c r="R138" s="2713"/>
    </row>
    <row r="139" spans="2:18" s="905" customFormat="1">
      <c r="B139" s="2711"/>
      <c r="C139" s="2711"/>
      <c r="D139" s="2711"/>
      <c r="E139" s="2711"/>
      <c r="F139" s="2711"/>
      <c r="G139" s="2712"/>
      <c r="H139" s="2711"/>
      <c r="I139" s="2712"/>
      <c r="J139" s="2711"/>
      <c r="K139" s="2711"/>
      <c r="L139" s="2712"/>
      <c r="M139" s="2711"/>
      <c r="N139" s="2711"/>
      <c r="O139" s="2712"/>
      <c r="P139" s="2711"/>
      <c r="Q139" s="2711"/>
      <c r="R139" s="2713"/>
    </row>
    <row r="140" spans="2:18" s="905" customFormat="1">
      <c r="B140" s="2711"/>
      <c r="C140" s="2711"/>
      <c r="D140" s="2711"/>
      <c r="E140" s="2711"/>
      <c r="F140" s="2711"/>
      <c r="G140" s="2712"/>
      <c r="H140" s="2711"/>
      <c r="I140" s="2712"/>
      <c r="J140" s="2711"/>
      <c r="K140" s="2711"/>
      <c r="L140" s="2712"/>
      <c r="M140" s="2711"/>
      <c r="N140" s="2711"/>
      <c r="O140" s="2712"/>
      <c r="P140" s="2711"/>
      <c r="Q140" s="2711"/>
      <c r="R140" s="2713"/>
    </row>
    <row r="141" spans="2:18" s="905" customFormat="1">
      <c r="B141" s="2711"/>
      <c r="C141" s="2711"/>
      <c r="D141" s="2711"/>
      <c r="E141" s="2711"/>
      <c r="F141" s="2711"/>
      <c r="G141" s="2712"/>
      <c r="H141" s="2711"/>
      <c r="I141" s="2712"/>
      <c r="J141" s="2711"/>
      <c r="K141" s="2711"/>
      <c r="L141" s="2712"/>
      <c r="M141" s="2711"/>
      <c r="N141" s="2711"/>
      <c r="O141" s="2712"/>
      <c r="P141" s="2711"/>
      <c r="Q141" s="2711"/>
      <c r="R141" s="2713"/>
    </row>
    <row r="142" spans="2:18" s="905" customFormat="1">
      <c r="B142" s="2711"/>
      <c r="C142" s="2711"/>
      <c r="D142" s="2711"/>
      <c r="E142" s="2711"/>
      <c r="F142" s="2711"/>
      <c r="G142" s="2712"/>
      <c r="H142" s="2711"/>
      <c r="I142" s="2712"/>
      <c r="J142" s="2711"/>
      <c r="K142" s="2711"/>
      <c r="L142" s="2712"/>
      <c r="M142" s="2711"/>
      <c r="N142" s="2711"/>
      <c r="O142" s="2712"/>
      <c r="P142" s="2711"/>
      <c r="Q142" s="2711"/>
      <c r="R142" s="2713"/>
    </row>
    <row r="143" spans="2:18" s="905" customFormat="1">
      <c r="B143" s="2711"/>
      <c r="C143" s="2711"/>
      <c r="D143" s="2711"/>
      <c r="E143" s="2711"/>
      <c r="F143" s="2711"/>
      <c r="G143" s="2712"/>
      <c r="H143" s="2711"/>
      <c r="I143" s="2712"/>
      <c r="J143" s="2711"/>
      <c r="K143" s="2711"/>
      <c r="L143" s="2712"/>
      <c r="M143" s="2711"/>
      <c r="N143" s="2711"/>
      <c r="O143" s="2712"/>
      <c r="P143" s="2711"/>
      <c r="Q143" s="2711"/>
      <c r="R143" s="2713"/>
    </row>
    <row r="144" spans="2:18" s="905" customFormat="1">
      <c r="B144" s="2711"/>
      <c r="C144" s="2711"/>
      <c r="D144" s="2711"/>
      <c r="E144" s="2711"/>
      <c r="F144" s="2711"/>
      <c r="G144" s="2712"/>
      <c r="H144" s="2711"/>
      <c r="I144" s="2712"/>
      <c r="J144" s="2711"/>
      <c r="K144" s="2711"/>
      <c r="L144" s="2712"/>
      <c r="M144" s="2711"/>
      <c r="N144" s="2711"/>
      <c r="O144" s="2712"/>
      <c r="P144" s="2711"/>
      <c r="Q144" s="2711"/>
      <c r="R144" s="2713"/>
    </row>
    <row r="145" spans="2:18" s="905" customFormat="1">
      <c r="B145" s="2711"/>
      <c r="C145" s="2711"/>
      <c r="D145" s="2711"/>
      <c r="E145" s="2711"/>
      <c r="F145" s="2711"/>
      <c r="G145" s="2712"/>
      <c r="H145" s="2711"/>
      <c r="I145" s="2712"/>
      <c r="J145" s="2711"/>
      <c r="K145" s="2711"/>
      <c r="L145" s="2712"/>
      <c r="M145" s="2711"/>
      <c r="N145" s="2711"/>
      <c r="O145" s="2712"/>
      <c r="P145" s="2711"/>
      <c r="Q145" s="2711"/>
      <c r="R145" s="2713"/>
    </row>
    <row r="146" spans="2:18" s="905" customFormat="1">
      <c r="B146" s="2711"/>
      <c r="C146" s="2711"/>
      <c r="D146" s="2711"/>
      <c r="E146" s="2711"/>
      <c r="F146" s="2711"/>
      <c r="G146" s="2712"/>
      <c r="H146" s="2711"/>
      <c r="I146" s="2712"/>
      <c r="J146" s="2711"/>
      <c r="K146" s="2711"/>
      <c r="L146" s="2712"/>
      <c r="M146" s="2711"/>
      <c r="N146" s="2711"/>
      <c r="O146" s="2712"/>
      <c r="P146" s="2711"/>
      <c r="Q146" s="2711"/>
      <c r="R146" s="2713"/>
    </row>
    <row r="147" spans="2:18" s="905" customFormat="1">
      <c r="B147" s="2711"/>
      <c r="C147" s="2711"/>
      <c r="D147" s="2711"/>
      <c r="E147" s="2711"/>
      <c r="F147" s="2711"/>
      <c r="G147" s="2712"/>
      <c r="H147" s="2711"/>
      <c r="I147" s="2712"/>
      <c r="J147" s="2711"/>
      <c r="K147" s="2711"/>
      <c r="L147" s="2712"/>
      <c r="M147" s="2711"/>
      <c r="N147" s="2711"/>
      <c r="O147" s="2712"/>
      <c r="P147" s="2711"/>
      <c r="Q147" s="2711"/>
      <c r="R147" s="2713"/>
    </row>
    <row r="148" spans="2:18" s="905" customFormat="1">
      <c r="B148" s="2711"/>
      <c r="C148" s="2711"/>
      <c r="D148" s="2711"/>
      <c r="E148" s="2711"/>
      <c r="F148" s="2711"/>
      <c r="G148" s="2712"/>
      <c r="H148" s="2711"/>
      <c r="I148" s="2712"/>
      <c r="J148" s="2711"/>
      <c r="K148" s="2711"/>
      <c r="L148" s="2712"/>
      <c r="M148" s="2711"/>
      <c r="N148" s="2711"/>
      <c r="O148" s="2712"/>
      <c r="P148" s="2711"/>
      <c r="Q148" s="2711"/>
      <c r="R148" s="2713"/>
    </row>
    <row r="149" spans="2:18" s="905" customFormat="1">
      <c r="B149" s="2711"/>
      <c r="C149" s="2711"/>
      <c r="D149" s="2711"/>
      <c r="E149" s="2711"/>
      <c r="F149" s="2711"/>
      <c r="G149" s="2712"/>
      <c r="H149" s="2711"/>
      <c r="I149" s="2712"/>
      <c r="J149" s="2711"/>
      <c r="K149" s="2711"/>
      <c r="L149" s="2712"/>
      <c r="M149" s="2711"/>
      <c r="N149" s="2711"/>
      <c r="O149" s="2712"/>
      <c r="P149" s="2711"/>
      <c r="Q149" s="2711"/>
      <c r="R149" s="2713"/>
    </row>
    <row r="150" spans="2:18" s="905" customFormat="1">
      <c r="B150" s="2711"/>
      <c r="C150" s="2711"/>
      <c r="D150" s="2711"/>
      <c r="E150" s="2711"/>
      <c r="F150" s="2711"/>
      <c r="G150" s="2712"/>
      <c r="H150" s="2711"/>
      <c r="I150" s="2712"/>
      <c r="J150" s="2711"/>
      <c r="K150" s="2711"/>
      <c r="L150" s="2712"/>
      <c r="M150" s="2711"/>
      <c r="N150" s="2711"/>
      <c r="O150" s="2712"/>
      <c r="P150" s="2711"/>
      <c r="Q150" s="2711"/>
      <c r="R150" s="2713"/>
    </row>
    <row r="151" spans="2:18" s="905" customFormat="1">
      <c r="B151" s="2711"/>
      <c r="C151" s="2711"/>
      <c r="D151" s="2711"/>
      <c r="E151" s="2711"/>
      <c r="F151" s="2711"/>
      <c r="G151" s="2712"/>
      <c r="H151" s="2711"/>
      <c r="I151" s="2712"/>
      <c r="J151" s="2711"/>
      <c r="K151" s="2711"/>
      <c r="L151" s="2712"/>
      <c r="M151" s="2711"/>
      <c r="N151" s="2711"/>
      <c r="O151" s="2712"/>
      <c r="P151" s="2711"/>
      <c r="Q151" s="2711"/>
      <c r="R151" s="2713"/>
    </row>
    <row r="152" spans="2:18" s="905" customFormat="1">
      <c r="B152" s="2711"/>
      <c r="C152" s="2711"/>
      <c r="D152" s="2711"/>
      <c r="E152" s="2711"/>
      <c r="F152" s="2711"/>
      <c r="G152" s="2712"/>
      <c r="H152" s="2711"/>
      <c r="I152" s="2712"/>
      <c r="J152" s="2711"/>
      <c r="K152" s="2711"/>
      <c r="L152" s="2712"/>
      <c r="M152" s="2711"/>
      <c r="N152" s="2711"/>
      <c r="O152" s="2712"/>
      <c r="P152" s="2711"/>
      <c r="Q152" s="2711"/>
      <c r="R152" s="2713"/>
    </row>
    <row r="153" spans="2:18" s="905" customFormat="1">
      <c r="B153" s="2711"/>
      <c r="C153" s="2711"/>
      <c r="D153" s="2711"/>
      <c r="E153" s="2711"/>
      <c r="F153" s="2711"/>
      <c r="G153" s="2712"/>
      <c r="H153" s="2711"/>
      <c r="I153" s="2712"/>
      <c r="J153" s="2711"/>
      <c r="K153" s="2711"/>
      <c r="L153" s="2712"/>
      <c r="M153" s="2711"/>
      <c r="N153" s="2711"/>
      <c r="O153" s="2712"/>
      <c r="P153" s="2711"/>
      <c r="Q153" s="2711"/>
      <c r="R153" s="2713"/>
    </row>
    <row r="154" spans="2:18" s="905" customFormat="1">
      <c r="B154" s="2711"/>
      <c r="C154" s="2711"/>
      <c r="D154" s="2711"/>
      <c r="E154" s="2711"/>
      <c r="F154" s="2711"/>
      <c r="G154" s="2712"/>
      <c r="H154" s="2711"/>
      <c r="I154" s="2712"/>
      <c r="J154" s="2711"/>
      <c r="K154" s="2711"/>
      <c r="L154" s="2712"/>
      <c r="M154" s="2711"/>
      <c r="N154" s="2711"/>
      <c r="O154" s="2712"/>
      <c r="P154" s="2711"/>
      <c r="Q154" s="2711"/>
      <c r="R154" s="2713"/>
    </row>
    <row r="155" spans="2:18" s="905" customFormat="1">
      <c r="B155" s="2711"/>
      <c r="C155" s="2711"/>
      <c r="D155" s="2711"/>
      <c r="E155" s="2711"/>
      <c r="F155" s="2711"/>
      <c r="G155" s="2712"/>
      <c r="H155" s="2711"/>
      <c r="I155" s="2712"/>
      <c r="J155" s="2711"/>
      <c r="K155" s="2711"/>
      <c r="L155" s="2712"/>
      <c r="M155" s="2711"/>
      <c r="N155" s="2711"/>
      <c r="O155" s="2712"/>
      <c r="P155" s="2711"/>
      <c r="Q155" s="2711"/>
      <c r="R155" s="2713"/>
    </row>
    <row r="156" spans="2:18" s="905" customFormat="1">
      <c r="B156" s="2711"/>
      <c r="C156" s="2711"/>
      <c r="D156" s="2711"/>
      <c r="E156" s="2711"/>
      <c r="F156" s="2711"/>
      <c r="G156" s="2712"/>
      <c r="H156" s="2711"/>
      <c r="I156" s="2712"/>
      <c r="J156" s="2711"/>
      <c r="K156" s="2711"/>
      <c r="L156" s="2712"/>
      <c r="M156" s="2711"/>
      <c r="N156" s="2711"/>
      <c r="O156" s="2712"/>
      <c r="P156" s="2711"/>
      <c r="Q156" s="2711"/>
      <c r="R156" s="2713"/>
    </row>
    <row r="157" spans="2:18" s="905" customFormat="1">
      <c r="B157" s="2711"/>
      <c r="C157" s="2711"/>
      <c r="D157" s="2711"/>
      <c r="E157" s="2711"/>
      <c r="F157" s="2711"/>
      <c r="G157" s="2712"/>
      <c r="H157" s="2711"/>
      <c r="I157" s="2712"/>
      <c r="J157" s="2711"/>
      <c r="K157" s="2711"/>
      <c r="L157" s="2712"/>
      <c r="M157" s="2711"/>
      <c r="N157" s="2711"/>
      <c r="O157" s="2712"/>
      <c r="P157" s="2711"/>
      <c r="Q157" s="2711"/>
      <c r="R157" s="2713"/>
    </row>
    <row r="158" spans="2:18" s="905" customFormat="1">
      <c r="B158" s="2711"/>
      <c r="C158" s="2711"/>
      <c r="D158" s="2711"/>
      <c r="E158" s="2711"/>
      <c r="F158" s="2711"/>
      <c r="G158" s="2712"/>
      <c r="H158" s="2711"/>
      <c r="I158" s="2712"/>
      <c r="J158" s="2711"/>
      <c r="K158" s="2711"/>
      <c r="L158" s="2712"/>
      <c r="M158" s="2711"/>
      <c r="N158" s="2711"/>
      <c r="O158" s="2712"/>
      <c r="P158" s="2711"/>
      <c r="Q158" s="2711"/>
      <c r="R158" s="2713"/>
    </row>
    <row r="159" spans="2:18" s="905" customFormat="1">
      <c r="B159" s="2711"/>
      <c r="C159" s="2711"/>
      <c r="D159" s="2711"/>
      <c r="E159" s="2711"/>
      <c r="F159" s="2711"/>
      <c r="G159" s="2712"/>
      <c r="H159" s="2711"/>
      <c r="I159" s="2712"/>
      <c r="J159" s="2711"/>
      <c r="K159" s="2711"/>
      <c r="L159" s="2712"/>
      <c r="M159" s="2711"/>
      <c r="N159" s="2711"/>
      <c r="O159" s="2712"/>
      <c r="P159" s="2711"/>
      <c r="Q159" s="2711"/>
      <c r="R159" s="2713"/>
    </row>
    <row r="160" spans="2:18" s="905" customFormat="1">
      <c r="B160" s="2711"/>
      <c r="C160" s="2711"/>
      <c r="D160" s="2711"/>
      <c r="E160" s="2711"/>
      <c r="F160" s="2711"/>
      <c r="G160" s="2712"/>
      <c r="H160" s="2711"/>
      <c r="I160" s="2712"/>
      <c r="J160" s="2711"/>
      <c r="K160" s="2711"/>
      <c r="L160" s="2712"/>
      <c r="M160" s="2711"/>
      <c r="N160" s="2711"/>
      <c r="O160" s="2712"/>
      <c r="P160" s="2711"/>
      <c r="Q160" s="2711"/>
      <c r="R160" s="2713"/>
    </row>
    <row r="161" spans="2:18" s="905" customFormat="1">
      <c r="B161" s="2711"/>
      <c r="C161" s="2711"/>
      <c r="D161" s="2711"/>
      <c r="E161" s="2711"/>
      <c r="F161" s="2711"/>
      <c r="G161" s="2712"/>
      <c r="H161" s="2711"/>
      <c r="I161" s="2712"/>
      <c r="J161" s="2711"/>
      <c r="K161" s="2711"/>
      <c r="L161" s="2712"/>
      <c r="M161" s="2711"/>
      <c r="N161" s="2711"/>
      <c r="O161" s="2712"/>
      <c r="P161" s="2711"/>
      <c r="Q161" s="2711"/>
      <c r="R161" s="2713"/>
    </row>
    <row r="162" spans="2:18" s="905" customFormat="1">
      <c r="B162" s="2711"/>
      <c r="C162" s="2711"/>
      <c r="D162" s="2711"/>
      <c r="E162" s="2711"/>
      <c r="F162" s="2711"/>
      <c r="G162" s="2712"/>
      <c r="H162" s="2711"/>
      <c r="I162" s="2712"/>
      <c r="J162" s="2711"/>
      <c r="K162" s="2711"/>
      <c r="L162" s="2712"/>
      <c r="M162" s="2711"/>
      <c r="N162" s="2711"/>
      <c r="O162" s="2712"/>
      <c r="P162" s="2711"/>
      <c r="Q162" s="2711"/>
      <c r="R162" s="2713"/>
    </row>
    <row r="163" spans="2:18" s="905" customFormat="1">
      <c r="B163" s="2711"/>
      <c r="C163" s="2711"/>
      <c r="D163" s="2711"/>
      <c r="E163" s="2711"/>
      <c r="F163" s="2711"/>
      <c r="G163" s="2712"/>
      <c r="H163" s="2711"/>
      <c r="I163" s="2712"/>
      <c r="J163" s="2711"/>
      <c r="K163" s="2711"/>
      <c r="L163" s="2712"/>
      <c r="M163" s="2711"/>
      <c r="N163" s="2711"/>
      <c r="O163" s="2712"/>
      <c r="P163" s="2711"/>
      <c r="Q163" s="2711"/>
      <c r="R163" s="2713"/>
    </row>
    <row r="164" spans="2:18" s="905" customFormat="1">
      <c r="B164" s="2711"/>
      <c r="C164" s="2711"/>
      <c r="D164" s="2711"/>
      <c r="E164" s="2711"/>
      <c r="F164" s="2711"/>
      <c r="G164" s="2712"/>
      <c r="H164" s="2711"/>
      <c r="I164" s="2712"/>
      <c r="J164" s="2711"/>
      <c r="K164" s="2711"/>
      <c r="L164" s="2712"/>
      <c r="M164" s="2711"/>
      <c r="N164" s="2711"/>
      <c r="O164" s="2712"/>
      <c r="P164" s="2711"/>
      <c r="Q164" s="2711"/>
      <c r="R164" s="2713"/>
    </row>
    <row r="165" spans="2:18" s="905" customFormat="1">
      <c r="B165" s="2711"/>
      <c r="C165" s="2711"/>
      <c r="D165" s="2711"/>
      <c r="E165" s="2711"/>
      <c r="F165" s="2711"/>
      <c r="G165" s="2712"/>
      <c r="H165" s="2711"/>
      <c r="I165" s="2712"/>
      <c r="J165" s="2711"/>
      <c r="K165" s="2711"/>
      <c r="L165" s="2712"/>
      <c r="M165" s="2711"/>
      <c r="N165" s="2711"/>
      <c r="O165" s="2712"/>
      <c r="P165" s="2711"/>
      <c r="Q165" s="2711"/>
      <c r="R165" s="2713"/>
    </row>
    <row r="166" spans="2:18" s="905" customFormat="1">
      <c r="B166" s="2711"/>
      <c r="C166" s="2711"/>
      <c r="D166" s="2711"/>
      <c r="E166" s="2711"/>
      <c r="F166" s="2711"/>
      <c r="G166" s="2712"/>
      <c r="H166" s="2711"/>
      <c r="I166" s="2712"/>
      <c r="J166" s="2711"/>
      <c r="K166" s="2711"/>
      <c r="L166" s="2712"/>
      <c r="M166" s="2711"/>
      <c r="N166" s="2711"/>
      <c r="O166" s="2712"/>
      <c r="P166" s="2711"/>
      <c r="Q166" s="2711"/>
      <c r="R166" s="2713"/>
    </row>
    <row r="167" spans="2:18" s="905" customFormat="1">
      <c r="B167" s="2711"/>
      <c r="C167" s="2711"/>
      <c r="D167" s="2711"/>
      <c r="E167" s="2711"/>
      <c r="F167" s="2711"/>
      <c r="G167" s="2712"/>
      <c r="H167" s="2711"/>
      <c r="I167" s="2712"/>
      <c r="J167" s="2711"/>
      <c r="K167" s="2711"/>
      <c r="L167" s="2712"/>
      <c r="M167" s="2711"/>
      <c r="N167" s="2711"/>
      <c r="O167" s="2712"/>
      <c r="P167" s="2711"/>
      <c r="Q167" s="2711"/>
      <c r="R167" s="2713"/>
    </row>
    <row r="168" spans="2:18" s="905" customFormat="1">
      <c r="B168" s="2711"/>
      <c r="C168" s="2711"/>
      <c r="D168" s="2711"/>
      <c r="E168" s="2711"/>
      <c r="F168" s="2711"/>
      <c r="G168" s="2712"/>
      <c r="H168" s="2711"/>
      <c r="I168" s="2712"/>
      <c r="J168" s="2711"/>
      <c r="K168" s="2711"/>
      <c r="L168" s="2712"/>
      <c r="M168" s="2711"/>
      <c r="N168" s="2711"/>
      <c r="O168" s="2712"/>
      <c r="P168" s="2711"/>
      <c r="Q168" s="2711"/>
      <c r="R168" s="2713"/>
    </row>
    <row r="169" spans="2:18" s="905" customFormat="1">
      <c r="B169" s="2711"/>
      <c r="C169" s="2711"/>
      <c r="D169" s="2711"/>
      <c r="E169" s="2711"/>
      <c r="F169" s="2711"/>
      <c r="G169" s="2712"/>
      <c r="H169" s="2711"/>
      <c r="I169" s="2712"/>
      <c r="J169" s="2711"/>
      <c r="K169" s="2711"/>
      <c r="L169" s="2712"/>
      <c r="M169" s="2711"/>
      <c r="N169" s="2711"/>
      <c r="O169" s="2712"/>
      <c r="P169" s="2711"/>
      <c r="Q169" s="2711"/>
      <c r="R169" s="2713"/>
    </row>
    <row r="170" spans="2:18" s="905" customFormat="1">
      <c r="B170" s="2711"/>
      <c r="C170" s="2711"/>
      <c r="D170" s="2711"/>
      <c r="E170" s="2711"/>
      <c r="F170" s="2711"/>
      <c r="G170" s="2712"/>
      <c r="H170" s="2711"/>
      <c r="I170" s="2712"/>
      <c r="J170" s="2711"/>
      <c r="K170" s="2711"/>
      <c r="L170" s="2712"/>
      <c r="M170" s="2711"/>
      <c r="N170" s="2711"/>
      <c r="O170" s="2712"/>
      <c r="P170" s="2711"/>
      <c r="Q170" s="2711"/>
      <c r="R170" s="2713"/>
    </row>
    <row r="171" spans="2:18" s="905" customFormat="1">
      <c r="B171" s="2711"/>
      <c r="C171" s="2711"/>
      <c r="D171" s="2711"/>
      <c r="E171" s="2711"/>
      <c r="F171" s="2711"/>
      <c r="G171" s="2712"/>
      <c r="H171" s="2711"/>
      <c r="I171" s="2712"/>
      <c r="J171" s="2711"/>
      <c r="K171" s="2711"/>
      <c r="L171" s="2712"/>
      <c r="M171" s="2711"/>
      <c r="N171" s="2711"/>
      <c r="O171" s="2712"/>
      <c r="P171" s="2711"/>
      <c r="Q171" s="2711"/>
      <c r="R171" s="2713"/>
    </row>
    <row r="172" spans="2:18" s="905" customFormat="1">
      <c r="B172" s="2711"/>
      <c r="C172" s="2711"/>
      <c r="D172" s="2711"/>
      <c r="E172" s="2711"/>
      <c r="F172" s="2711"/>
      <c r="G172" s="2712"/>
      <c r="H172" s="2711"/>
      <c r="I172" s="2712"/>
      <c r="J172" s="2711"/>
      <c r="K172" s="2711"/>
      <c r="L172" s="2712"/>
      <c r="M172" s="2711"/>
      <c r="N172" s="2711"/>
      <c r="O172" s="2712"/>
      <c r="P172" s="2711"/>
      <c r="Q172" s="2711"/>
      <c r="R172" s="2713"/>
    </row>
    <row r="173" spans="2:18" s="905" customFormat="1">
      <c r="B173" s="2711"/>
      <c r="C173" s="2711"/>
      <c r="D173" s="2711"/>
      <c r="E173" s="2711"/>
      <c r="F173" s="2711"/>
      <c r="G173" s="2712"/>
      <c r="H173" s="2711"/>
      <c r="I173" s="2712"/>
      <c r="J173" s="2711"/>
      <c r="K173" s="2711"/>
      <c r="L173" s="2712"/>
      <c r="M173" s="2711"/>
      <c r="N173" s="2711"/>
      <c r="O173" s="2712"/>
      <c r="P173" s="2711"/>
      <c r="Q173" s="2711"/>
      <c r="R173" s="2713"/>
    </row>
    <row r="174" spans="2:18" s="905" customFormat="1">
      <c r="B174" s="2711"/>
      <c r="C174" s="2711"/>
      <c r="D174" s="2711"/>
      <c r="E174" s="2711"/>
      <c r="F174" s="2711"/>
      <c r="G174" s="2712"/>
      <c r="H174" s="2711"/>
      <c r="I174" s="2712"/>
      <c r="J174" s="2711"/>
      <c r="K174" s="2711"/>
      <c r="L174" s="2712"/>
      <c r="M174" s="2711"/>
      <c r="N174" s="2711"/>
      <c r="O174" s="2712"/>
      <c r="P174" s="2711"/>
      <c r="Q174" s="2711"/>
      <c r="R174" s="2713"/>
    </row>
    <row r="175" spans="2:18" s="905" customFormat="1">
      <c r="B175" s="2711"/>
      <c r="C175" s="2711"/>
      <c r="D175" s="2711"/>
      <c r="E175" s="2711"/>
      <c r="F175" s="2711"/>
      <c r="G175" s="2712"/>
      <c r="H175" s="2711"/>
      <c r="I175" s="2712"/>
      <c r="J175" s="2711"/>
      <c r="K175" s="2711"/>
      <c r="L175" s="2712"/>
      <c r="M175" s="2711"/>
      <c r="N175" s="2711"/>
      <c r="O175" s="2712"/>
      <c r="P175" s="2711"/>
      <c r="Q175" s="2711"/>
      <c r="R175" s="2713"/>
    </row>
    <row r="176" spans="2:18" s="905" customFormat="1">
      <c r="B176" s="2711"/>
      <c r="C176" s="2711"/>
      <c r="D176" s="2711"/>
      <c r="E176" s="2711"/>
      <c r="F176" s="2711"/>
      <c r="G176" s="2712"/>
      <c r="H176" s="2711"/>
      <c r="I176" s="2712"/>
      <c r="J176" s="2711"/>
      <c r="K176" s="2711"/>
      <c r="L176" s="2712"/>
      <c r="M176" s="2711"/>
      <c r="N176" s="2711"/>
      <c r="O176" s="2712"/>
      <c r="P176" s="2711"/>
      <c r="Q176" s="2711"/>
      <c r="R176" s="2713"/>
    </row>
    <row r="177" spans="1:18" s="905" customFormat="1">
      <c r="B177" s="2711"/>
      <c r="C177" s="2711"/>
      <c r="D177" s="2711"/>
      <c r="E177" s="2711"/>
      <c r="F177" s="2711"/>
      <c r="G177" s="2712"/>
      <c r="H177" s="2711"/>
      <c r="I177" s="2712"/>
      <c r="J177" s="2711"/>
      <c r="K177" s="2711"/>
      <c r="L177" s="2712"/>
      <c r="M177" s="2711"/>
      <c r="N177" s="2711"/>
      <c r="O177" s="2712"/>
      <c r="P177" s="2711"/>
      <c r="Q177" s="2711"/>
      <c r="R177" s="2713"/>
    </row>
    <row r="178" spans="1:18" s="905" customFormat="1">
      <c r="B178" s="2711"/>
      <c r="C178" s="2711"/>
      <c r="D178" s="2711"/>
      <c r="E178" s="2711"/>
      <c r="F178" s="2711"/>
      <c r="G178" s="2712"/>
      <c r="H178" s="2711"/>
      <c r="I178" s="2712"/>
      <c r="J178" s="2711"/>
      <c r="K178" s="2711"/>
      <c r="L178" s="2712"/>
      <c r="M178" s="2711"/>
      <c r="N178" s="2711"/>
      <c r="O178" s="2712"/>
      <c r="P178" s="2711"/>
      <c r="Q178" s="2711"/>
      <c r="R178" s="2713"/>
    </row>
    <row r="179" spans="1:18" s="905" customFormat="1">
      <c r="B179" s="2711"/>
      <c r="C179" s="2711"/>
      <c r="D179" s="2711"/>
      <c r="E179" s="2711"/>
      <c r="F179" s="2711"/>
      <c r="G179" s="2712"/>
      <c r="H179" s="2711"/>
      <c r="I179" s="2712"/>
      <c r="J179" s="2711"/>
      <c r="K179" s="2711"/>
      <c r="L179" s="2712"/>
      <c r="M179" s="2711"/>
      <c r="N179" s="2711"/>
      <c r="O179" s="2712"/>
      <c r="P179" s="2711"/>
      <c r="Q179" s="2711"/>
      <c r="R179" s="2713"/>
    </row>
    <row r="180" spans="1:18" s="905" customFormat="1">
      <c r="B180" s="2711"/>
      <c r="C180" s="2711"/>
      <c r="D180" s="2711"/>
      <c r="E180" s="2711"/>
      <c r="F180" s="2711"/>
      <c r="G180" s="2712"/>
      <c r="H180" s="2711"/>
      <c r="I180" s="2712"/>
      <c r="J180" s="2711"/>
      <c r="K180" s="2711"/>
      <c r="L180" s="2712"/>
      <c r="M180" s="2711"/>
      <c r="N180" s="2711"/>
      <c r="O180" s="2712"/>
      <c r="P180" s="2711"/>
      <c r="Q180" s="2711"/>
      <c r="R180" s="2713"/>
    </row>
    <row r="181" spans="1:18" s="905" customFormat="1">
      <c r="B181" s="2711"/>
      <c r="C181" s="2711"/>
      <c r="D181" s="2711"/>
      <c r="E181" s="2711"/>
      <c r="F181" s="2711"/>
      <c r="G181" s="2712"/>
      <c r="H181" s="2711"/>
      <c r="I181" s="2712"/>
      <c r="J181" s="2711"/>
      <c r="K181" s="2711"/>
      <c r="L181" s="2712"/>
      <c r="M181" s="2711"/>
      <c r="N181" s="2711"/>
      <c r="O181" s="2712"/>
      <c r="P181" s="2711"/>
      <c r="Q181" s="2711"/>
      <c r="R181" s="2713"/>
    </row>
    <row r="182" spans="1:18" s="905" customFormat="1">
      <c r="B182" s="2711"/>
      <c r="C182" s="2711"/>
      <c r="D182" s="2711"/>
      <c r="E182" s="2711"/>
      <c r="F182" s="2711"/>
      <c r="G182" s="2712"/>
      <c r="H182" s="2711"/>
      <c r="I182" s="2712"/>
      <c r="J182" s="2711"/>
      <c r="K182" s="2711"/>
      <c r="L182" s="2712"/>
      <c r="M182" s="2711"/>
      <c r="N182" s="2711"/>
      <c r="O182" s="2712"/>
      <c r="P182" s="2711"/>
      <c r="Q182" s="2711"/>
      <c r="R182" s="2713"/>
    </row>
    <row r="183" spans="1:18" s="905" customFormat="1">
      <c r="B183" s="2711"/>
      <c r="C183" s="2711"/>
      <c r="D183" s="2711"/>
      <c r="E183" s="2711"/>
      <c r="F183" s="2711"/>
      <c r="G183" s="2712"/>
      <c r="H183" s="2711"/>
      <c r="I183" s="2712"/>
      <c r="J183" s="2711"/>
      <c r="K183" s="2711"/>
      <c r="L183" s="2712"/>
      <c r="M183" s="2711"/>
      <c r="N183" s="2711"/>
      <c r="O183" s="2712"/>
      <c r="P183" s="2711"/>
      <c r="Q183" s="2711"/>
      <c r="R183" s="2713"/>
    </row>
    <row r="184" spans="1:18" s="905" customFormat="1">
      <c r="B184" s="2711"/>
      <c r="C184" s="2711"/>
      <c r="D184" s="2711"/>
      <c r="E184" s="2711"/>
      <c r="F184" s="2711"/>
      <c r="G184" s="2712"/>
      <c r="H184" s="2711"/>
      <c r="I184" s="2712"/>
      <c r="J184" s="2711"/>
      <c r="K184" s="2711"/>
      <c r="L184" s="2712"/>
      <c r="M184" s="2711"/>
      <c r="N184" s="2711"/>
      <c r="O184" s="2712"/>
      <c r="P184" s="2711"/>
      <c r="Q184" s="2711"/>
      <c r="R184" s="2713"/>
    </row>
    <row r="185" spans="1:18" s="905"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5"/>
      <c r="B186" s="2711"/>
      <c r="C186" s="2711"/>
      <c r="E186" s="2711"/>
      <c r="F186" s="2711"/>
      <c r="G186" s="2712"/>
    </row>
    <row r="187" spans="1:18">
      <c r="A187" s="905"/>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11601.220000000001</v>
      </c>
      <c r="C1" s="2909"/>
      <c r="D1" s="2909"/>
      <c r="E1" s="2909"/>
      <c r="F1" s="2909"/>
      <c r="G1" s="2910"/>
      <c r="H1" s="2911"/>
      <c r="I1" s="2911"/>
      <c r="J1" s="2911"/>
      <c r="K1" s="2911"/>
    </row>
    <row r="2" spans="1:11" ht="16.5">
      <c r="A2" s="2732" t="s">
        <v>1319</v>
      </c>
      <c r="B2" s="2732">
        <f>SUM(C14:C23)</f>
        <v>8832.7999999999993</v>
      </c>
      <c r="C2" s="2909"/>
      <c r="D2" s="2909"/>
      <c r="E2" s="2909"/>
      <c r="F2" s="2909"/>
      <c r="G2" s="2910"/>
      <c r="H2" s="2911"/>
      <c r="I2" s="2911"/>
      <c r="J2" s="2911"/>
      <c r="K2" s="2911"/>
    </row>
    <row r="3" spans="1:11" ht="16.5">
      <c r="A3" s="2732" t="s">
        <v>1328</v>
      </c>
      <c r="B3" s="2734">
        <f>项目基本情况!D3</f>
        <v>44299</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26899</v>
      </c>
      <c r="C5" s="2732">
        <f ca="1">ROUND(B5*10000/$B$1,0)</f>
        <v>23186</v>
      </c>
      <c r="D5" s="2732">
        <f ca="1">ROUND(B5*10000/$B$2,0)</f>
        <v>30454</v>
      </c>
      <c r="E5" s="2909"/>
      <c r="F5" s="2910"/>
      <c r="G5" s="2910"/>
      <c r="H5" s="2911"/>
      <c r="I5" s="2911"/>
      <c r="J5" s="2911"/>
      <c r="K5" s="2911"/>
    </row>
    <row r="6" spans="1:11" ht="16.5">
      <c r="A6" s="2732" t="s">
        <v>1322</v>
      </c>
      <c r="B6" s="2732">
        <f ca="1">SUM(G14:G23)</f>
        <v>26899</v>
      </c>
      <c r="C6" s="2732">
        <f ca="1">ROUND(B6*10000/$B$1,0)</f>
        <v>23186</v>
      </c>
      <c r="D6" s="2732">
        <f ca="1">ROUND(B6*10000/$B$2,0)</f>
        <v>30454</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11601.220000000001</v>
      </c>
      <c r="C14" s="2738">
        <f>结果表!C118</f>
        <v>8832.7999999999993</v>
      </c>
      <c r="D14" s="2738">
        <f ca="1">结果表!H118</f>
        <v>26899</v>
      </c>
      <c r="E14" s="2738">
        <f ca="1">ROUND(D14*10000/B14,0)</f>
        <v>23186</v>
      </c>
      <c r="F14" s="2738">
        <f ca="1">ROUND(D14*10000/C14,0)</f>
        <v>30454</v>
      </c>
      <c r="G14" s="2738">
        <f ca="1">结果表!D122</f>
        <v>26899</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8"/>
      <c r="H15" s="1498"/>
      <c r="I15" s="2739"/>
      <c r="J15" s="2910"/>
      <c r="K15" s="2911"/>
    </row>
    <row r="16" spans="1:11" ht="16.5">
      <c r="A16" s="2737" t="s">
        <v>1314</v>
      </c>
      <c r="B16" s="2739"/>
      <c r="C16" s="2739"/>
      <c r="D16" s="2739"/>
      <c r="E16" s="2738" t="e">
        <f t="shared" si="0"/>
        <v>#DIV/0!</v>
      </c>
      <c r="F16" s="2738" t="e">
        <f t="shared" si="1"/>
        <v>#DIV/0!</v>
      </c>
      <c r="G16" s="1498"/>
      <c r="H16" s="1498"/>
      <c r="I16" s="2739"/>
      <c r="J16" s="2911"/>
      <c r="K16" s="2911"/>
    </row>
    <row r="17" spans="1:11" ht="16.5">
      <c r="A17" s="2737" t="s">
        <v>1313</v>
      </c>
      <c r="B17" s="2739"/>
      <c r="C17" s="2739"/>
      <c r="D17" s="2739"/>
      <c r="E17" s="2738" t="e">
        <f t="shared" si="0"/>
        <v>#DIV/0!</v>
      </c>
      <c r="F17" s="2738" t="e">
        <f t="shared" si="1"/>
        <v>#DIV/0!</v>
      </c>
      <c r="G17" s="1498"/>
      <c r="H17" s="1498"/>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Normal="100" zoomScaleSheetLayoutView="100" zoomScalePageLayoutView="80" workbookViewId="0">
      <selection activeCell="D123" sqref="D123:I123"/>
    </sheetView>
  </sheetViews>
  <sheetFormatPr defaultColWidth="12.625" defaultRowHeight="21.75" customHeight="1"/>
  <cols>
    <col min="1" max="2" width="12.625" style="1936"/>
    <col min="3" max="4" width="12.625" style="1936" customWidth="1"/>
    <col min="5" max="9" width="12.625" style="1936"/>
    <col min="10" max="11" width="12.625" style="732" customWidth="1"/>
    <col min="12" max="12" width="12.625" style="732"/>
    <col min="13" max="13" width="14.125" style="732" bestFit="1" customWidth="1"/>
    <col min="14" max="26" width="12.625" style="732"/>
    <col min="27" max="35" width="12.625" style="1935"/>
    <col min="36" max="16384" width="12.625" style="1936"/>
  </cols>
  <sheetData>
    <row r="1" spans="1:12" ht="21.75" customHeight="1" thickBot="1">
      <c r="A1" s="1820" t="s">
        <v>1948</v>
      </c>
      <c r="B1" s="1930"/>
      <c r="C1" s="1931"/>
      <c r="D1" s="1930"/>
      <c r="E1" s="1930"/>
      <c r="F1" s="1932" t="s">
        <v>1949</v>
      </c>
      <c r="G1" s="1744"/>
      <c r="H1" s="1933" t="str">
        <f>IF(G1="现房","——","估价对象范围")</f>
        <v>估价对象范围</v>
      </c>
      <c r="I1" s="1934"/>
    </row>
    <row r="2" spans="1:12" ht="21.75" customHeight="1" thickBot="1">
      <c r="A2" s="3228" t="str">
        <f>项目基本情况!S2</f>
        <v>北京市大兴区西红门镇3号地块内“星光影视园·北区”项目B5组团B5-1办公楼等6幢办公用房房地产</v>
      </c>
      <c r="B2" s="3229"/>
      <c r="C2" s="3229"/>
      <c r="D2" s="3229"/>
      <c r="E2" s="3229"/>
      <c r="F2" s="3229"/>
      <c r="G2" s="3229"/>
      <c r="H2" s="3229"/>
      <c r="I2" s="3230"/>
    </row>
    <row r="3" spans="1:12" ht="12.75">
      <c r="A3" s="3233" t="s">
        <v>1950</v>
      </c>
      <c r="B3" s="3234"/>
      <c r="C3" s="3234"/>
      <c r="D3" s="3234"/>
      <c r="E3" s="3234"/>
      <c r="F3" s="3234"/>
      <c r="G3" s="3234"/>
      <c r="H3" s="3234"/>
      <c r="I3" s="3234"/>
    </row>
    <row r="4" spans="1:12" ht="14.25">
      <c r="A4" s="1937" t="s">
        <v>1951</v>
      </c>
      <c r="B4" s="1938" t="s">
        <v>1952</v>
      </c>
      <c r="C4" s="1939" t="s">
        <v>3116</v>
      </c>
      <c r="D4" s="1939" t="s">
        <v>3093</v>
      </c>
      <c r="E4" s="3238" t="s">
        <v>1953</v>
      </c>
      <c r="F4" s="3239"/>
      <c r="G4" s="3239"/>
      <c r="H4" s="3239"/>
      <c r="I4" s="3240"/>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73" t="s">
        <v>1954</v>
      </c>
      <c r="B5" s="3231">
        <v>25</v>
      </c>
      <c r="C5" s="3235"/>
      <c r="D5" s="3232"/>
      <c r="E5" s="134" t="s">
        <v>1955</v>
      </c>
      <c r="F5" s="1940"/>
      <c r="G5" s="1940"/>
      <c r="H5" s="1940"/>
      <c r="I5" s="1555"/>
    </row>
    <row r="6" spans="1:12" ht="12.75" customHeight="1">
      <c r="A6" s="3173"/>
      <c r="B6" s="3231"/>
      <c r="C6" s="3237"/>
      <c r="D6" s="3232"/>
      <c r="E6" s="134" t="s">
        <v>1956</v>
      </c>
      <c r="F6" s="1940"/>
      <c r="G6" s="1940"/>
      <c r="H6" s="1940"/>
      <c r="I6" s="1555"/>
    </row>
    <row r="7" spans="1:12" ht="12.75" customHeight="1">
      <c r="A7" s="3173"/>
      <c r="B7" s="3231"/>
      <c r="C7" s="3236"/>
      <c r="D7" s="3232"/>
      <c r="E7" s="134" t="s">
        <v>1957</v>
      </c>
      <c r="F7" s="1940"/>
      <c r="G7" s="1940"/>
      <c r="H7" s="1940"/>
      <c r="I7" s="1555"/>
    </row>
    <row r="8" spans="1:12" ht="12.75" customHeight="1">
      <c r="A8" s="3173" t="s">
        <v>1958</v>
      </c>
      <c r="B8" s="3231">
        <v>15</v>
      </c>
      <c r="C8" s="3235"/>
      <c r="D8" s="3232"/>
      <c r="E8" s="134" t="s">
        <v>1959</v>
      </c>
      <c r="F8" s="1940"/>
      <c r="G8" s="1940"/>
      <c r="H8" s="1940"/>
      <c r="I8" s="1555"/>
    </row>
    <row r="9" spans="1:12" ht="12.75" customHeight="1">
      <c r="A9" s="3173"/>
      <c r="B9" s="3231"/>
      <c r="C9" s="3236"/>
      <c r="D9" s="3232"/>
      <c r="E9" s="134" t="s">
        <v>1960</v>
      </c>
      <c r="F9" s="1940"/>
      <c r="G9" s="1940"/>
      <c r="H9" s="1940"/>
      <c r="I9" s="1555"/>
    </row>
    <row r="10" spans="1:12" ht="12.75" customHeight="1">
      <c r="A10" s="3173" t="s">
        <v>1961</v>
      </c>
      <c r="B10" s="3231">
        <v>15</v>
      </c>
      <c r="C10" s="3235"/>
      <c r="D10" s="3232"/>
      <c r="E10" s="134" t="s">
        <v>1962</v>
      </c>
      <c r="F10" s="1940"/>
      <c r="G10" s="1940"/>
      <c r="H10" s="1940"/>
      <c r="I10" s="1555"/>
    </row>
    <row r="11" spans="1:12" ht="12.75" customHeight="1">
      <c r="A11" s="3173"/>
      <c r="B11" s="3231"/>
      <c r="C11" s="3236"/>
      <c r="D11" s="3232"/>
      <c r="E11" s="134" t="s">
        <v>1963</v>
      </c>
      <c r="F11" s="1940"/>
      <c r="G11" s="1940"/>
      <c r="H11" s="1940"/>
      <c r="I11" s="1555"/>
    </row>
    <row r="12" spans="1:12" ht="12.75" customHeight="1">
      <c r="A12" s="3173" t="s">
        <v>1964</v>
      </c>
      <c r="B12" s="3231">
        <v>15</v>
      </c>
      <c r="C12" s="3235"/>
      <c r="D12" s="3232"/>
      <c r="E12" s="134" t="s">
        <v>1965</v>
      </c>
      <c r="F12" s="1940"/>
      <c r="G12" s="1940"/>
      <c r="H12" s="1940"/>
      <c r="I12" s="1555"/>
    </row>
    <row r="13" spans="1:12" ht="12.75" customHeight="1">
      <c r="A13" s="3173"/>
      <c r="B13" s="3231"/>
      <c r="C13" s="3236"/>
      <c r="D13" s="3232"/>
      <c r="E13" s="134" t="s">
        <v>1966</v>
      </c>
      <c r="F13" s="1940"/>
      <c r="G13" s="1940"/>
      <c r="H13" s="1940"/>
      <c r="I13" s="1555"/>
    </row>
    <row r="14" spans="1:12" ht="12.75" customHeight="1">
      <c r="A14" s="3173" t="s">
        <v>1967</v>
      </c>
      <c r="B14" s="3231">
        <v>30</v>
      </c>
      <c r="C14" s="3251">
        <v>5</v>
      </c>
      <c r="D14" s="3222">
        <v>5</v>
      </c>
      <c r="E14" s="134" t="s">
        <v>1968</v>
      </c>
      <c r="F14" s="1940"/>
      <c r="G14" s="1940"/>
      <c r="H14" s="1940"/>
      <c r="I14" s="1555"/>
    </row>
    <row r="15" spans="1:12" ht="12.75" customHeight="1">
      <c r="A15" s="3173"/>
      <c r="B15" s="3231"/>
      <c r="C15" s="3252"/>
      <c r="D15" s="3222"/>
      <c r="E15" s="134" t="s">
        <v>1969</v>
      </c>
      <c r="F15" s="1940"/>
      <c r="G15" s="1940"/>
      <c r="H15" s="1940"/>
      <c r="I15" s="1555"/>
    </row>
    <row r="16" spans="1:12" ht="12.75" customHeight="1">
      <c r="A16" s="3173"/>
      <c r="B16" s="3231"/>
      <c r="C16" s="3253"/>
      <c r="D16" s="3222"/>
      <c r="E16" s="134" t="s">
        <v>1970</v>
      </c>
      <c r="F16" s="1940"/>
      <c r="G16" s="1940"/>
      <c r="H16" s="1940"/>
      <c r="I16" s="1555"/>
    </row>
    <row r="17" spans="1:36" ht="15">
      <c r="A17" s="1941" t="s">
        <v>1971</v>
      </c>
      <c r="B17" s="59"/>
      <c r="C17" s="135">
        <f>SUM(C5:C16)</f>
        <v>5</v>
      </c>
      <c r="D17" s="135">
        <f>SUM(D5:D16)</f>
        <v>5</v>
      </c>
      <c r="E17" s="132"/>
      <c r="F17" s="132"/>
      <c r="G17" s="132"/>
      <c r="H17" s="132"/>
      <c r="I17" s="132"/>
      <c r="K17" s="306"/>
      <c r="L17" s="306" t="s">
        <v>1972</v>
      </c>
      <c r="M17" s="306" t="s">
        <v>1973</v>
      </c>
    </row>
    <row r="18" spans="1:36" ht="31.9" customHeight="1" thickBot="1">
      <c r="A18" s="1942" t="s">
        <v>1974</v>
      </c>
      <c r="B18" s="1943"/>
      <c r="C18" s="136">
        <f>ROUND(C17/SUM(C17:D17),2)</f>
        <v>0.5</v>
      </c>
      <c r="D18" s="136">
        <f>1-C18</f>
        <v>0.5</v>
      </c>
      <c r="E18" s="3257" t="s">
        <v>2869</v>
      </c>
      <c r="F18" s="3258"/>
      <c r="G18" s="3258"/>
      <c r="H18" s="3258"/>
      <c r="I18" s="3258"/>
      <c r="K18" s="306" t="s">
        <v>1975</v>
      </c>
      <c r="L18" s="306">
        <f>IF(C1="",'数据-汇总表'!E3,SUMIF(项目类型,C1,'数据-汇总表'!E17:E26)+SUMIF(项目类型,C1,'数据-汇总表'!I17:I26))</f>
        <v>11601.220000000001</v>
      </c>
      <c r="M18" s="306">
        <f>IF(C1="",'数据-汇总表'!E3,SUMIF(项目类型,C1,'数据-汇总表'!E17:E26))</f>
        <v>11601.220000000001</v>
      </c>
    </row>
    <row r="19" spans="1:36" ht="15">
      <c r="A19" s="1944" t="s">
        <v>1976</v>
      </c>
      <c r="B19" s="1945" t="s">
        <v>1977</v>
      </c>
      <c r="C19" s="137">
        <f ca="1">SUMIF(INDIRECT("'"&amp;C4&amp;"'"&amp;"!A:A"),结果表!B19,INDIRECT("'"&amp;C4&amp;"'"&amp;"!B:B"))</f>
        <v>30148</v>
      </c>
      <c r="D19" s="138">
        <f ca="1">SUMIF(INDIRECT("'"&amp;D4&amp;"'"&amp;"!A:A"),结果表!B19,INDIRECT("'"&amp;D4&amp;"'"&amp;"!B:B"))</f>
        <v>23649</v>
      </c>
      <c r="E19" s="1944" t="s">
        <v>1978</v>
      </c>
      <c r="F19" s="1945" t="s">
        <v>1977</v>
      </c>
      <c r="G19" s="139">
        <f ca="1">ROUND(C19*$C$18+D19*$D$18,0)</f>
        <v>26899</v>
      </c>
      <c r="H19" s="1946" t="s">
        <v>1979</v>
      </c>
      <c r="I19" s="132"/>
      <c r="K19" s="306" t="s">
        <v>1980</v>
      </c>
      <c r="L19" s="306">
        <f>IF(C1="",'数据-汇总表'!D3,SUMIF(项目类型,C1,'数据-汇总表'!D17:D26)+SUMIF(项目类型,C1,'数据-汇总表'!H17:H27))</f>
        <v>8832.7999999999993</v>
      </c>
      <c r="M19" s="306">
        <f>IF(C1="",'数据-汇总表'!D3,SUMIF(项目类型,C1,'数据-汇总表'!D17:D26))</f>
        <v>8832.7999999999993</v>
      </c>
    </row>
    <row r="20" spans="1:36" ht="15">
      <c r="A20" s="1947"/>
      <c r="B20" s="1155" t="s">
        <v>1981</v>
      </c>
      <c r="C20" s="140">
        <f ca="1">SUMIF(INDIRECT("'"&amp;C4&amp;"'"&amp;"!A:A"),结果表!B20,INDIRECT("'"&amp;C4&amp;"'"&amp;"!B:B"))</f>
        <v>25987</v>
      </c>
      <c r="D20" s="141">
        <f ca="1">SUMIF(INDIRECT("'"&amp;D4&amp;"'"&amp;"!A:A"),结果表!B20,INDIRECT("'"&amp;D4&amp;"'"&amp;"!B:B"))</f>
        <v>20385</v>
      </c>
      <c r="E20" s="1947"/>
      <c r="F20" s="1155" t="s">
        <v>1981</v>
      </c>
      <c r="G20" s="142">
        <f ca="1">ROUND(C20*$C$18+D20*$D$18,0)</f>
        <v>23186</v>
      </c>
      <c r="H20" s="915" t="s">
        <v>1982</v>
      </c>
      <c r="I20" s="132"/>
    </row>
    <row r="21" spans="1:36" ht="15" customHeight="1" thickBot="1">
      <c r="A21" s="935"/>
      <c r="B21" s="1948" t="s">
        <v>1983</v>
      </c>
      <c r="C21" s="726">
        <f ca="1">ROUND(C19*10000/L19,0)</f>
        <v>34132</v>
      </c>
      <c r="D21" s="727">
        <f ca="1">ROUND(D19*10000/L19,0)</f>
        <v>26774</v>
      </c>
      <c r="E21" s="935"/>
      <c r="F21" s="1948" t="s">
        <v>1983</v>
      </c>
      <c r="G21" s="143">
        <f ca="1">ROUND(G19*10000/L19,0)</f>
        <v>30454</v>
      </c>
      <c r="H21" s="1949" t="s">
        <v>1982</v>
      </c>
      <c r="I21" s="132"/>
    </row>
    <row r="22" spans="1:36" ht="15" thickBot="1">
      <c r="A22" s="1872" t="s">
        <v>1984</v>
      </c>
      <c r="B22" s="1950"/>
      <c r="C22" s="1951"/>
      <c r="D22" s="728">
        <f ca="1">IF(C19&lt;D19,D19/C19-1,C19/D19-1)</f>
        <v>0.2748107742399255</v>
      </c>
      <c r="E22" s="132"/>
      <c r="F22" s="132"/>
      <c r="G22" s="132"/>
      <c r="H22" s="132"/>
      <c r="I22" s="132"/>
    </row>
    <row r="23" spans="1:36" ht="13.5" thickBot="1">
      <c r="A23" s="1930"/>
      <c r="B23" s="1930"/>
      <c r="C23" s="1930"/>
      <c r="D23" s="1930"/>
      <c r="E23" s="132"/>
      <c r="F23" s="132"/>
      <c r="G23" s="132"/>
      <c r="H23" s="132"/>
      <c r="I23" s="132"/>
    </row>
    <row r="24" spans="1:36" ht="14.25">
      <c r="A24" s="3247" t="s">
        <v>1985</v>
      </c>
      <c r="B24" s="1945" t="s">
        <v>1977</v>
      </c>
      <c r="C24" s="139">
        <f>IF(B30=0,0,D30)</f>
        <v>0</v>
      </c>
      <c r="D24" s="1952"/>
      <c r="E24" s="132"/>
      <c r="F24" s="132"/>
      <c r="G24" s="132"/>
      <c r="H24" s="132"/>
      <c r="I24" s="132"/>
    </row>
    <row r="25" spans="1:36" ht="14.25">
      <c r="A25" s="3248"/>
      <c r="B25" s="1155" t="s">
        <v>1981</v>
      </c>
      <c r="C25" s="144">
        <f>IF(B30=0,0,C30)</f>
        <v>0</v>
      </c>
      <c r="D25" s="1953"/>
      <c r="E25" s="132"/>
      <c r="F25" s="132"/>
      <c r="G25" s="132"/>
      <c r="H25" s="132"/>
      <c r="I25" s="132"/>
    </row>
    <row r="26" spans="1:36" ht="13.5" customHeight="1">
      <c r="A26" s="1954" t="s">
        <v>1986</v>
      </c>
      <c r="B26" s="145" t="s">
        <v>1987</v>
      </c>
      <c r="C26" s="145" t="s">
        <v>1988</v>
      </c>
      <c r="D26" s="146" t="s">
        <v>1989</v>
      </c>
      <c r="E26" s="132"/>
      <c r="F26" s="132"/>
      <c r="G26" s="132"/>
      <c r="H26" s="132"/>
      <c r="I26" s="132"/>
    </row>
    <row r="27" spans="1:36" ht="14.25">
      <c r="A27" s="1954"/>
      <c r="B27" s="145">
        <v>0</v>
      </c>
      <c r="C27" s="145">
        <v>0</v>
      </c>
      <c r="D27" s="146">
        <f>ROUND(C27*B27/10000,0)</f>
        <v>0</v>
      </c>
      <c r="E27" s="132"/>
      <c r="F27" s="132"/>
      <c r="G27" s="132"/>
      <c r="H27" s="132"/>
      <c r="I27" s="132"/>
    </row>
    <row r="28" spans="1:36" ht="14.25">
      <c r="A28" s="1954"/>
      <c r="B28" s="145"/>
      <c r="C28" s="145"/>
      <c r="D28" s="146"/>
      <c r="E28" s="132"/>
      <c r="F28" s="132"/>
      <c r="G28" s="132"/>
      <c r="H28" s="132"/>
      <c r="I28" s="132"/>
    </row>
    <row r="29" spans="1:36" ht="14.25">
      <c r="A29" s="1954"/>
      <c r="B29" s="145"/>
      <c r="C29" s="145"/>
      <c r="D29" s="146"/>
      <c r="E29" s="132"/>
      <c r="F29" s="132"/>
      <c r="G29" s="132"/>
      <c r="H29" s="132"/>
      <c r="I29" s="132"/>
    </row>
    <row r="30" spans="1:36" ht="15" thickBot="1">
      <c r="A30" s="145" t="s">
        <v>1990</v>
      </c>
      <c r="B30" s="145"/>
      <c r="C30" s="145"/>
      <c r="D30" s="145"/>
      <c r="E30" s="2518" t="s">
        <v>2870</v>
      </c>
      <c r="F30" s="132"/>
      <c r="G30" s="132"/>
      <c r="H30" s="132"/>
      <c r="I30" s="132"/>
    </row>
    <row r="31" spans="1:36" s="2524" customFormat="1" ht="26.45" customHeight="1" thickTop="1" thickBot="1">
      <c r="A31" s="2519"/>
      <c r="B31" s="2520"/>
      <c r="C31" s="2520"/>
      <c r="D31" s="2520"/>
      <c r="E31" s="2520"/>
      <c r="F31" s="2520"/>
      <c r="G31" s="2520"/>
      <c r="H31" s="2520"/>
      <c r="I31" s="2521" t="s">
        <v>2871</v>
      </c>
      <c r="J31" s="2912"/>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7">
        <f ca="1">IF(D32="总价",G19-C24,G20-C25)</f>
        <v>26899</v>
      </c>
      <c r="D32" s="1958" t="s">
        <v>3118</v>
      </c>
      <c r="E32" s="132"/>
      <c r="F32" s="132"/>
      <c r="G32" s="132"/>
      <c r="H32" s="132"/>
      <c r="I32" s="132"/>
    </row>
    <row r="33" spans="1:15" ht="15">
      <c r="A33" s="892" t="s">
        <v>1992</v>
      </c>
      <c r="B33" s="1959"/>
      <c r="C33" s="1960" t="s">
        <v>3117</v>
      </c>
      <c r="D33" s="1961" t="s">
        <v>3116</v>
      </c>
      <c r="E33" s="1962" t="s">
        <v>1993</v>
      </c>
      <c r="F33" s="1963" t="str">
        <f>IF(D32="楼面单价","取值（单价）","取值（总价）")</f>
        <v>取值（总价）</v>
      </c>
      <c r="G33" s="132"/>
      <c r="H33" s="132"/>
      <c r="I33" s="132"/>
    </row>
    <row r="34" spans="1:15" ht="15">
      <c r="A34" s="1964"/>
      <c r="B34" s="1965" t="s">
        <v>1994</v>
      </c>
      <c r="C34" s="151">
        <f ca="1">IF(C33="自定义",F34,C32-C35)</f>
        <v>22703</v>
      </c>
      <c r="D34" s="968">
        <f ca="1">IF(C33="自定义",ROUND(C34/C32,3),IF(C33="收益比率",SUMIF(INDIRECT("'"&amp;D33&amp;"'"&amp;"!b:b"),"土地收益比率",INDIRECT("'"&amp;D33&amp;"'"&amp;"!c:c")),SUMIF(INDIRECT("'"&amp;D33&amp;"'"&amp;"!b:b"),"土地成本比率",INDIRECT("'"&amp;D33&amp;"'"&amp;"!c:c"))))</f>
        <v>0.84399999999999997</v>
      </c>
      <c r="E34" s="1966" t="s">
        <v>1995</v>
      </c>
      <c r="F34" s="1496"/>
      <c r="G34" s="132"/>
      <c r="H34" s="132"/>
      <c r="I34" s="132"/>
    </row>
    <row r="35" spans="1:15" ht="15.75" thickBot="1">
      <c r="A35" s="1967"/>
      <c r="B35" s="1968" t="s">
        <v>1996</v>
      </c>
      <c r="C35" s="1330">
        <f ca="1">IF(C33="自定义",F35,ROUND(C32*D35,0))</f>
        <v>4196</v>
      </c>
      <c r="D35" s="1331">
        <f ca="1">IF(C33="自定义",ROUND(C35/C32,3),IF(C33="收益比率",SUMIF(INDIRECT("'"&amp;D33&amp;"'"&amp;"!b:b"),"建筑物收益比率",INDIRECT("'"&amp;D33&amp;"'"&amp;"!c:c")),SUMIF(INDIRECT("'"&amp;D33&amp;"'"&amp;"!b:b"),"建筑物成本比率",INDIRECT("'"&amp;D33&amp;"'"&amp;"!c:c"))))</f>
        <v>0.156</v>
      </c>
      <c r="E35" s="1969" t="s">
        <v>1997</v>
      </c>
      <c r="F35" s="157"/>
      <c r="G35" s="132"/>
      <c r="H35" s="132"/>
      <c r="I35" s="132"/>
    </row>
    <row r="36" spans="1:15" ht="15.75" thickBot="1">
      <c r="A36" s="3223" t="s">
        <v>1998</v>
      </c>
      <c r="B36" s="1970" t="s">
        <v>1999</v>
      </c>
      <c r="C36" s="148"/>
      <c r="D36" s="1971"/>
      <c r="E36" s="1972"/>
      <c r="F36" s="1973"/>
      <c r="G36" s="132"/>
      <c r="H36" s="132"/>
      <c r="I36" s="132"/>
    </row>
    <row r="37" spans="1:15" ht="15.75" thickBot="1">
      <c r="A37" s="3224"/>
      <c r="B37" s="1858" t="s">
        <v>2000</v>
      </c>
      <c r="C37" s="150"/>
      <c r="D37" s="1299"/>
      <c r="E37" s="1299"/>
      <c r="F37" s="1973"/>
      <c r="G37" s="132"/>
      <c r="H37" s="132"/>
      <c r="I37" s="132"/>
    </row>
    <row r="38" spans="1:15" ht="15.75" thickBot="1">
      <c r="A38" s="3225"/>
      <c r="B38" s="1974" t="s">
        <v>2001</v>
      </c>
      <c r="C38" s="681"/>
      <c r="D38" s="1975" t="s">
        <v>2002</v>
      </c>
      <c r="E38" s="1299"/>
      <c r="F38" s="1973"/>
      <c r="G38" s="132"/>
      <c r="H38" s="132"/>
      <c r="I38" s="132"/>
    </row>
    <row r="39" spans="1:15" ht="15">
      <c r="A39" s="1947" t="s">
        <v>2003</v>
      </c>
      <c r="B39" s="1976" t="s">
        <v>2004</v>
      </c>
      <c r="C39" s="1977" t="s">
        <v>2005</v>
      </c>
      <c r="D39" s="1977" t="s">
        <v>2006</v>
      </c>
      <c r="E39" s="1978" t="s">
        <v>2007</v>
      </c>
      <c r="F39" s="1973"/>
      <c r="G39" s="132"/>
      <c r="H39" s="132"/>
      <c r="I39" s="132"/>
    </row>
    <row r="40" spans="1:15" ht="14.25">
      <c r="A40" s="1979" t="s">
        <v>2008</v>
      </c>
      <c r="B40" s="152"/>
      <c r="C40" s="153"/>
      <c r="D40" s="153"/>
      <c r="E40" s="154"/>
      <c r="F40" s="1973"/>
      <c r="G40" s="132"/>
      <c r="H40" s="132"/>
      <c r="I40" s="132"/>
    </row>
    <row r="41" spans="1:15" ht="14.25">
      <c r="A41" s="1979" t="s">
        <v>2009</v>
      </c>
      <c r="B41" s="152"/>
      <c r="C41" s="153"/>
      <c r="D41" s="153"/>
      <c r="E41" s="154"/>
      <c r="F41" s="1973"/>
      <c r="G41" s="132"/>
      <c r="H41" s="132"/>
      <c r="I41" s="132"/>
    </row>
    <row r="42" spans="1:15" ht="15" thickBot="1">
      <c r="A42" s="1980"/>
      <c r="B42" s="155"/>
      <c r="C42" s="156"/>
      <c r="D42" s="156"/>
      <c r="E42" s="157"/>
      <c r="F42" s="1973"/>
      <c r="G42" s="132"/>
      <c r="H42" s="132"/>
      <c r="I42" s="132"/>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44" t="s">
        <v>2012</v>
      </c>
      <c r="B45" s="3245"/>
      <c r="C45" s="3246"/>
      <c r="D45" s="158">
        <f ca="1">ROUND(H101*F45,0)</f>
        <v>26899</v>
      </c>
      <c r="E45" s="159" t="s">
        <v>2013</v>
      </c>
      <c r="F45" s="160">
        <v>1</v>
      </c>
      <c r="G45" s="161" t="s">
        <v>2014</v>
      </c>
      <c r="H45" s="132"/>
      <c r="I45" s="132"/>
      <c r="J45" s="3160" t="s">
        <v>2015</v>
      </c>
      <c r="K45" s="3160"/>
      <c r="L45" s="3160"/>
      <c r="M45" s="3160"/>
      <c r="N45" s="3160"/>
      <c r="O45" s="3160"/>
    </row>
    <row r="46" spans="1:15" ht="14.25" customHeight="1">
      <c r="A46" s="3241" t="s">
        <v>2016</v>
      </c>
      <c r="B46" s="3242"/>
      <c r="C46" s="3242"/>
      <c r="D46" s="3242"/>
      <c r="E46" s="3242"/>
      <c r="F46" s="3242"/>
      <c r="G46" s="3243"/>
      <c r="H46" s="1989"/>
      <c r="I46" s="162"/>
      <c r="J46" s="2743">
        <v>1</v>
      </c>
      <c r="K46" s="3161" t="s">
        <v>2017</v>
      </c>
      <c r="L46" s="3161"/>
      <c r="M46" s="3162"/>
      <c r="N46" s="3162"/>
      <c r="O46" s="3162"/>
    </row>
    <row r="47" spans="1:15" ht="12" customHeight="1">
      <c r="A47" s="163" t="s">
        <v>2018</v>
      </c>
      <c r="B47" s="164"/>
      <c r="C47" s="165"/>
      <c r="D47" s="1245" t="s">
        <v>2019</v>
      </c>
      <c r="E47" s="306" t="s">
        <v>2020</v>
      </c>
      <c r="F47" s="166" t="s">
        <v>2021</v>
      </c>
      <c r="G47" s="2766" t="s">
        <v>2022</v>
      </c>
      <c r="H47" s="2767"/>
      <c r="I47" s="162"/>
      <c r="J47" s="2743">
        <v>2</v>
      </c>
      <c r="K47" s="3161" t="s">
        <v>2023</v>
      </c>
      <c r="L47" s="3161"/>
      <c r="M47" s="3163">
        <f>'数据-取费表'!B2</f>
        <v>44299</v>
      </c>
      <c r="N47" s="3163"/>
      <c r="O47" s="3163"/>
    </row>
    <row r="48" spans="1:15" ht="25.5">
      <c r="A48" s="3226" t="s">
        <v>2024</v>
      </c>
      <c r="B48" s="3227"/>
      <c r="C48" s="3227"/>
      <c r="D48" s="2544">
        <f ca="1">IF(H48="情况1",0,IF(H48="情况2",D52,IF(H48="情况3",D53,IF(H48="情况4",D54))))</f>
        <v>1409</v>
      </c>
      <c r="E48" s="2554" t="str">
        <f>IF(H48="情况4","(销售额-原购置价)×税（费）率","销售额×税（费）率")</f>
        <v>销售额×税（费）率</v>
      </c>
      <c r="F48" s="2768">
        <f>IF(H48="情况1","免征",'数据-取费表'!B41)</f>
        <v>5.5000000000000007E-2</v>
      </c>
      <c r="G48" s="2769" t="s">
        <v>2025</v>
      </c>
      <c r="H48" s="2770" t="s">
        <v>3119</v>
      </c>
      <c r="I48" s="1989"/>
      <c r="J48" s="2743">
        <v>3</v>
      </c>
      <c r="K48" s="3161" t="s">
        <v>2026</v>
      </c>
      <c r="L48" s="3161"/>
      <c r="M48" s="3164">
        <f ca="1">H101</f>
        <v>26899</v>
      </c>
      <c r="N48" s="3164"/>
      <c r="O48" s="3164"/>
    </row>
    <row r="49" spans="1:35" ht="25.5" customHeight="1">
      <c r="A49" s="2553" t="s">
        <v>2027</v>
      </c>
      <c r="B49" s="3209" t="s">
        <v>2028</v>
      </c>
      <c r="C49" s="3209"/>
      <c r="D49" s="1773">
        <v>0</v>
      </c>
      <c r="E49" s="328" t="s">
        <v>2029</v>
      </c>
      <c r="F49" s="2644" t="s">
        <v>34</v>
      </c>
      <c r="G49" s="3192"/>
      <c r="H49" s="2525" t="s">
        <v>2872</v>
      </c>
      <c r="I49" s="2526"/>
      <c r="J49" s="2743">
        <v>4</v>
      </c>
      <c r="K49" s="3161" t="str">
        <f>IF(项目基本情况!E8="房地产抵押价值","房地产抵押价值","抵押担保权已注销时的房地产抵押价值")</f>
        <v>房地产抵押价值</v>
      </c>
      <c r="L49" s="3161"/>
      <c r="M49" s="3164">
        <f ca="1">IF(项目基本情况!E8="房地产抵押价值",H107,H109)</f>
        <v>26899</v>
      </c>
      <c r="N49" s="3164"/>
      <c r="O49" s="3164"/>
    </row>
    <row r="50" spans="1:35" ht="25.5" customHeight="1">
      <c r="A50" s="2771"/>
      <c r="B50" s="3209" t="s">
        <v>2030</v>
      </c>
      <c r="C50" s="3209"/>
      <c r="D50" s="2772"/>
      <c r="E50" s="336"/>
      <c r="F50" s="2644"/>
      <c r="G50" s="3193"/>
      <c r="H50" s="2527" t="s">
        <v>2873</v>
      </c>
      <c r="I50" s="2526"/>
      <c r="J50" s="3160" t="s">
        <v>2031</v>
      </c>
      <c r="K50" s="3160"/>
      <c r="L50" s="3160"/>
      <c r="M50" s="3160"/>
      <c r="N50" s="3160"/>
      <c r="O50" s="3160"/>
    </row>
    <row r="51" spans="1:35" ht="20.45" customHeight="1">
      <c r="A51" s="2773"/>
      <c r="B51" s="3209" t="s">
        <v>2032</v>
      </c>
      <c r="C51" s="3209"/>
      <c r="D51" s="1245"/>
      <c r="E51" s="331"/>
      <c r="F51" s="2644"/>
      <c r="G51" s="3194"/>
      <c r="H51" s="2527" t="s">
        <v>2874</v>
      </c>
      <c r="I51" s="2526"/>
      <c r="J51" s="2744" t="s">
        <v>2033</v>
      </c>
      <c r="K51" s="3161" t="s">
        <v>2034</v>
      </c>
      <c r="L51" s="3161"/>
      <c r="M51" s="2744" t="s">
        <v>2035</v>
      </c>
      <c r="N51" s="2744" t="s">
        <v>2036</v>
      </c>
      <c r="O51" s="2744" t="s">
        <v>2037</v>
      </c>
    </row>
    <row r="52" spans="1:35" ht="24" customHeight="1">
      <c r="A52" s="2555" t="s">
        <v>2038</v>
      </c>
      <c r="B52" s="3209" t="s">
        <v>2039</v>
      </c>
      <c r="C52" s="3209"/>
      <c r="D52" s="1245">
        <f ca="1">ROUND(D45*'数据-取费表'!B41/(1+'数据-取费表'!C42),0)</f>
        <v>1409</v>
      </c>
      <c r="E52" s="2554" t="s">
        <v>2040</v>
      </c>
      <c r="F52" s="2774">
        <f>'数据-取费表'!B41</f>
        <v>5.5000000000000007E-2</v>
      </c>
      <c r="G52" s="2775"/>
      <c r="H52" s="2764"/>
      <c r="I52" s="1990"/>
      <c r="J52" s="2743">
        <v>1</v>
      </c>
      <c r="K52" s="3186" t="s">
        <v>2041</v>
      </c>
      <c r="L52" s="3186"/>
      <c r="M52" s="2745">
        <f ca="1">D48</f>
        <v>1409</v>
      </c>
      <c r="N52" s="2743" t="str">
        <f>E48</f>
        <v>销售额×税（费）率</v>
      </c>
      <c r="O52" s="2746">
        <f>F48</f>
        <v>5.5000000000000007E-2</v>
      </c>
    </row>
    <row r="53" spans="1:35" ht="12" customHeight="1">
      <c r="A53" s="2555" t="s">
        <v>2042</v>
      </c>
      <c r="B53" s="3210" t="s">
        <v>3033</v>
      </c>
      <c r="C53" s="3211"/>
      <c r="D53" s="1245">
        <f ca="1">ROUND(D45*'数据-取费表'!B41/(1+'数据-取费表'!C42),0)</f>
        <v>1409</v>
      </c>
      <c r="E53" s="2554" t="s">
        <v>2040</v>
      </c>
      <c r="F53" s="2774">
        <f>'数据-取费表'!B41</f>
        <v>5.5000000000000007E-2</v>
      </c>
      <c r="G53" s="2775"/>
      <c r="H53" s="2764"/>
      <c r="I53" s="1990"/>
      <c r="J53" s="2743">
        <v>2</v>
      </c>
      <c r="K53" s="3186" t="s">
        <v>2043</v>
      </c>
      <c r="L53" s="3186"/>
      <c r="M53" s="2745">
        <f t="shared" ref="M53:O54" ca="1" si="0">D55</f>
        <v>13</v>
      </c>
      <c r="N53" s="2743" t="str">
        <f t="shared" si="0"/>
        <v>销售额×税（费）率</v>
      </c>
      <c r="O53" s="2746">
        <f t="shared" si="0"/>
        <v>5.0000000000000001E-4</v>
      </c>
    </row>
    <row r="54" spans="1:35" ht="12" customHeight="1">
      <c r="A54" s="2555" t="s">
        <v>2044</v>
      </c>
      <c r="B54" s="3210" t="s">
        <v>3034</v>
      </c>
      <c r="C54" s="3211"/>
      <c r="D54" s="1245">
        <f ca="1">C68</f>
        <v>1409</v>
      </c>
      <c r="E54" s="331" t="s">
        <v>2045</v>
      </c>
      <c r="F54" s="2774">
        <f>'数据-取费表'!B41</f>
        <v>5.5000000000000007E-2</v>
      </c>
      <c r="G54" s="2775"/>
      <c r="H54" s="2776"/>
      <c r="I54" s="1990"/>
      <c r="J54" s="2743">
        <v>3</v>
      </c>
      <c r="K54" s="3186" t="s">
        <v>2046</v>
      </c>
      <c r="L54" s="3186"/>
      <c r="M54" s="2745">
        <f t="shared" ca="1" si="0"/>
        <v>4775</v>
      </c>
      <c r="N54" s="2743" t="str">
        <f t="shared" si="0"/>
        <v>增值额×税（费）率</v>
      </c>
      <c r="O54" s="2747" t="str">
        <f t="shared" si="0"/>
        <v>——</v>
      </c>
    </row>
    <row r="55" spans="1:35" ht="24" customHeight="1">
      <c r="A55" s="3250" t="s">
        <v>2047</v>
      </c>
      <c r="B55" s="3227"/>
      <c r="C55" s="3227"/>
      <c r="D55" s="2544">
        <f ca="1">IF(H55="个人住宅",0,ROUND(D45*I55,0))</f>
        <v>13</v>
      </c>
      <c r="E55" s="2554" t="s">
        <v>2048</v>
      </c>
      <c r="F55" s="2774">
        <f>IF(H55="正常",I55,"免征")</f>
        <v>5.0000000000000001E-4</v>
      </c>
      <c r="G55" s="2775"/>
      <c r="H55" s="2770" t="s">
        <v>3120</v>
      </c>
      <c r="I55" s="168">
        <f>'数据-取费表'!B49</f>
        <v>5.0000000000000001E-4</v>
      </c>
      <c r="J55" s="2743" t="str">
        <f>IF(H59="非个人房产","",4)</f>
        <v/>
      </c>
      <c r="K55" s="3186" t="str">
        <f>IF(H59="非个人房产","——","个人所得税")</f>
        <v>——</v>
      </c>
      <c r="L55" s="3186"/>
      <c r="M55" s="2748" t="str">
        <f>D59</f>
        <v>——</v>
      </c>
      <c r="N55" s="2225" t="str">
        <f>E59</f>
        <v>——</v>
      </c>
      <c r="O55" s="2749" t="str">
        <f>F59</f>
        <v>——</v>
      </c>
    </row>
    <row r="56" spans="1:35" ht="24.75">
      <c r="A56" s="3250" t="s">
        <v>2049</v>
      </c>
      <c r="B56" s="3227"/>
      <c r="C56" s="3227"/>
      <c r="D56" s="2544">
        <f ca="1">IF(H56="个人住宅",D57,D58)</f>
        <v>4775</v>
      </c>
      <c r="E56" s="2554" t="s">
        <v>2050</v>
      </c>
      <c r="F56" s="2774" t="str">
        <f>IF(H56="正常",F58,"免征")</f>
        <v>——</v>
      </c>
      <c r="G56" s="2777" t="s">
        <v>2051</v>
      </c>
      <c r="H56" s="2778" t="s">
        <v>3120</v>
      </c>
      <c r="I56" s="1991"/>
      <c r="J56" s="2743" t="str">
        <f>IF(项目基本情况!K6="上海银行",IF(J55="",4,J55+1),"")</f>
        <v/>
      </c>
      <c r="K56" s="3167" t="str">
        <f>IF(项目基本情况!K6="上海银行","其他处置费用","")</f>
        <v/>
      </c>
      <c r="L56" s="3168"/>
      <c r="M56" s="2745" t="str">
        <f>IF(项目基本情况!K6="上海银行",M69,"")</f>
        <v/>
      </c>
      <c r="N56" s="3167" t="str">
        <f>IF(项目基本情况!K6="上海银行","包含处置中涉及的律师、诉讼、拍卖、评估等费用","")</f>
        <v/>
      </c>
      <c r="O56" s="3170"/>
    </row>
    <row r="57" spans="1:35" ht="12.75">
      <c r="A57" s="2555" t="s">
        <v>2027</v>
      </c>
      <c r="B57" s="3210" t="s">
        <v>2052</v>
      </c>
      <c r="C57" s="3211"/>
      <c r="D57" s="1773">
        <v>0</v>
      </c>
      <c r="E57" s="328" t="s">
        <v>2029</v>
      </c>
      <c r="F57" s="306"/>
      <c r="G57" s="2775"/>
      <c r="H57" s="2779"/>
      <c r="I57" s="1991"/>
      <c r="J57" s="3186">
        <f>IF(AND(J55="",J56=""),4,IF(项目基本情况!K6="上海银行",结果表!J56+1,结果表!J55+1))</f>
        <v>4</v>
      </c>
      <c r="K57" s="3186" t="s">
        <v>2053</v>
      </c>
      <c r="L57" s="2750" t="s">
        <v>2054</v>
      </c>
      <c r="M57" s="2751"/>
      <c r="N57" s="2752">
        <f ca="1">SUMIF(M52:M56,"&lt;9e307")</f>
        <v>6197</v>
      </c>
      <c r="O57" s="2753"/>
      <c r="P57" s="2913">
        <f ca="1">N57/M49</f>
        <v>0.23038031153574481</v>
      </c>
    </row>
    <row r="58" spans="1:35" ht="24.75">
      <c r="A58" s="2555" t="s">
        <v>2038</v>
      </c>
      <c r="B58" s="3210" t="s">
        <v>2055</v>
      </c>
      <c r="C58" s="3209"/>
      <c r="D58" s="2544">
        <f ca="1">IF(H58="转让取得",C81,C97)</f>
        <v>4775</v>
      </c>
      <c r="E58" s="2554" t="s">
        <v>2050</v>
      </c>
      <c r="F58" s="306" t="s">
        <v>34</v>
      </c>
      <c r="G58" s="2775"/>
      <c r="H58" s="2778" t="s">
        <v>3121</v>
      </c>
      <c r="I58" s="1991"/>
      <c r="J58" s="3186"/>
      <c r="K58" s="3186"/>
      <c r="L58" s="2750" t="s">
        <v>2056</v>
      </c>
      <c r="M58" s="2754"/>
      <c r="N58" s="2755" t="str">
        <f ca="1">NUMBERSTRING(INT(N57*10000),2)&amp;"元整"</f>
        <v>陆仟壹佰玖拾柒万元整</v>
      </c>
      <c r="O58" s="2756"/>
    </row>
    <row r="59" spans="1:35" ht="24.75" thickBot="1">
      <c r="A59" s="3190" t="s">
        <v>2057</v>
      </c>
      <c r="B59" s="3191"/>
      <c r="C59" s="3191"/>
      <c r="D59" s="2780" t="str">
        <f>IF(H59="非个人房产","——",IF(H59="个人住宅（满五唯一有凭证）",0,IF(H59="个人其他（无凭证）",ROUND(D45*F59,0),ROUND(C67*F59,0))))</f>
        <v>——</v>
      </c>
      <c r="E59" s="2781" t="str">
        <f>IF(H59="非个人房产","——",IF(H59="个人其他（无凭证）","销售额×税（费）率",IF(H59="个人住宅（满五唯一有凭证）","免征","差额计税")))</f>
        <v>——</v>
      </c>
      <c r="F59" s="2782" t="str">
        <f>IF(OR(H59="非个人房产",H59="个人住宅（满五唯一有凭证）"),"——",IF(H59="个人其他（有凭证）",20%,1%))</f>
        <v>——</v>
      </c>
      <c r="G59" s="2783" t="s">
        <v>2051</v>
      </c>
      <c r="H59" s="2529" t="s">
        <v>3122</v>
      </c>
      <c r="I59" s="2528" t="s">
        <v>2875</v>
      </c>
      <c r="J59" s="3188">
        <f>J57+1</f>
        <v>5</v>
      </c>
      <c r="K59" s="3186" t="s">
        <v>2058</v>
      </c>
      <c r="L59" s="2743" t="s">
        <v>2054</v>
      </c>
      <c r="M59" s="2757"/>
      <c r="N59" s="2758">
        <f ca="1">M49-N57</f>
        <v>20702</v>
      </c>
      <c r="O59" s="2759"/>
    </row>
    <row r="60" spans="1:35" ht="12" customHeight="1">
      <c r="A60" s="1992"/>
      <c r="B60" s="1930"/>
      <c r="C60" s="1930"/>
      <c r="D60" s="1930"/>
      <c r="E60" s="1761"/>
      <c r="F60" s="1991"/>
      <c r="G60" s="1991"/>
      <c r="H60" s="1993"/>
      <c r="I60" s="132"/>
      <c r="J60" s="3189"/>
      <c r="K60" s="3186"/>
      <c r="L60" s="2750" t="s">
        <v>2056</v>
      </c>
      <c r="M60" s="2754"/>
      <c r="N60" s="2755" t="str">
        <f ca="1">NUMBERSTRING(INT(N59*10000),2)&amp;"元整"</f>
        <v>贰亿零柒佰零贰万元整</v>
      </c>
      <c r="O60" s="2756"/>
    </row>
    <row r="61" spans="1:35" ht="13.5" thickBot="1">
      <c r="A61" s="3249" t="s">
        <v>2059</v>
      </c>
      <c r="B61" s="3249"/>
      <c r="C61" s="3249"/>
      <c r="D61" s="3249"/>
      <c r="E61" s="3249"/>
      <c r="F61" s="1991"/>
      <c r="G61" s="1991"/>
      <c r="H61" s="1993"/>
      <c r="I61" s="132"/>
      <c r="J61" s="2743">
        <f>J59+1</f>
        <v>6</v>
      </c>
      <c r="K61" s="3186" t="s">
        <v>2060</v>
      </c>
      <c r="L61" s="3186"/>
      <c r="M61" s="2760"/>
      <c r="N61" s="2761">
        <f ca="1">ROUND(N59*10000/'数据-汇总表'!E3,0)</f>
        <v>17845</v>
      </c>
      <c r="O61" s="2762"/>
    </row>
    <row r="62" spans="1:35" ht="12.75">
      <c r="A62" s="3205" t="s">
        <v>2061</v>
      </c>
      <c r="B62" s="3206"/>
      <c r="C62" s="2206"/>
      <c r="D62" s="2206" t="s">
        <v>2062</v>
      </c>
      <c r="E62" s="169" t="s">
        <v>2063</v>
      </c>
      <c r="F62" s="1991"/>
      <c r="G62" s="1991"/>
      <c r="H62" s="1993"/>
      <c r="I62" s="132"/>
    </row>
    <row r="63" spans="1:35" ht="12.75">
      <c r="A63" s="176" t="s">
        <v>775</v>
      </c>
      <c r="B63" s="170" t="s">
        <v>2064</v>
      </c>
      <c r="C63" s="2784">
        <f ca="1">ROUND((C64+C65)/(1+'数据-取费表'!C42),0)</f>
        <v>25618</v>
      </c>
      <c r="D63" s="170"/>
      <c r="E63" s="171"/>
      <c r="F63" s="1991"/>
      <c r="G63" s="1991"/>
      <c r="H63" s="1993"/>
      <c r="I63" s="132"/>
      <c r="J63" s="3169" t="s">
        <v>2065</v>
      </c>
      <c r="K63" s="1499" t="s">
        <v>2066</v>
      </c>
      <c r="L63" s="1499">
        <f ca="1">IF(M49&gt;10000,M49*0.5%,IF(AND(M49&gt;1000,M49&lt;=10000),M49*1%,IF(AND(M49&gt;100,M49&lt;=1000),M49*3%,IF(AND(M49&gt;10,M49&lt;=100),M49*5%,M49*8%))))</f>
        <v>134.495</v>
      </c>
      <c r="M63" s="306">
        <f ca="1">ROUND(L63,1)</f>
        <v>134.5</v>
      </c>
      <c r="N63" s="2763"/>
      <c r="Z63" s="1935"/>
      <c r="AI63" s="1936"/>
    </row>
    <row r="64" spans="1:35" ht="14.25" customHeight="1">
      <c r="A64" s="172" t="s">
        <v>770</v>
      </c>
      <c r="B64" s="173" t="s">
        <v>2067</v>
      </c>
      <c r="C64" s="2785">
        <f ca="1">D45</f>
        <v>26899</v>
      </c>
      <c r="D64" s="173" t="s">
        <v>32</v>
      </c>
      <c r="E64" s="175"/>
      <c r="F64" s="1991"/>
      <c r="G64" s="1991"/>
      <c r="H64" s="1993"/>
      <c r="I64" s="132"/>
      <c r="J64" s="3169"/>
      <c r="K64" s="1499" t="s">
        <v>2068</v>
      </c>
      <c r="L64" s="1499">
        <f ca="1">IF(M49&gt;2000,M49*0.5%,IF(AND(M49&gt;1000,M49&lt;=2000),M49*0.6%,IF(AND(M49&gt;500,M49&lt;=1000),M49*0.7%,IF(AND(M49&gt;200,M49&lt;=500),M49*0.8%,IF(AND(M49&gt;100,M49&lt;=200),M49*0.9%,IF(AND(M49&gt;50,M49&lt;=100),M49*1%,IF(AND(M49&gt;20,M49&lt;=50),M49*1.5%,IF(AND(M49&gt;10,M49&lt;=20),M49*2%,IF(AND(M49&gt;1,M49&lt;=10),M49*2.5%)))))))))</f>
        <v>134.495</v>
      </c>
      <c r="M64" s="306">
        <f t="shared" ref="M64:M65" ca="1" si="1">ROUND(L64,1)</f>
        <v>134.5</v>
      </c>
      <c r="N64" s="2764" t="s">
        <v>2069</v>
      </c>
      <c r="Z64" s="1935"/>
      <c r="AI64" s="1936"/>
    </row>
    <row r="65" spans="1:35" ht="14.25" customHeight="1">
      <c r="A65" s="172" t="s">
        <v>771</v>
      </c>
      <c r="B65" s="173" t="s">
        <v>2070</v>
      </c>
      <c r="C65" s="2786"/>
      <c r="D65" s="173"/>
      <c r="E65" s="175"/>
      <c r="F65" s="1991"/>
      <c r="G65" s="1991"/>
      <c r="H65" s="1993"/>
      <c r="I65" s="132"/>
      <c r="J65" s="3169"/>
      <c r="K65" s="1499" t="s">
        <v>2071</v>
      </c>
      <c r="L65" s="1499">
        <f ca="1">IF(M49&gt;1000,M49*0.1%,IF(AND(M49&gt;500,M49&lt;=1000),M49*0.5%,IF(AND(M49&gt;50,M49&lt;=500),M49*1%,IF(AND(M49&gt;1,M49&lt;=50),M49*1.5%))))</f>
        <v>26.899000000000001</v>
      </c>
      <c r="M65" s="306">
        <f t="shared" ca="1" si="1"/>
        <v>26.9</v>
      </c>
      <c r="N65" s="2764" t="s">
        <v>2069</v>
      </c>
      <c r="Z65" s="1935"/>
      <c r="AI65" s="1936"/>
    </row>
    <row r="66" spans="1:35" ht="14.25" customHeight="1">
      <c r="A66" s="176" t="s">
        <v>772</v>
      </c>
      <c r="B66" s="177" t="s">
        <v>2072</v>
      </c>
      <c r="C66" s="2787"/>
      <c r="D66" s="177" t="s">
        <v>32</v>
      </c>
      <c r="E66" s="1507" t="s">
        <v>1337</v>
      </c>
      <c r="F66" s="1991"/>
      <c r="G66" s="1991"/>
      <c r="H66" s="1993"/>
      <c r="I66" s="132"/>
      <c r="J66" s="3169"/>
      <c r="K66" s="1499" t="s">
        <v>2073</v>
      </c>
      <c r="L66" s="1499">
        <f ca="1">M49*0.5%</f>
        <v>134.495</v>
      </c>
      <c r="M66" s="306">
        <f ca="1">IF(L66&gt;0.5,0.5,ROUND(L66,0))</f>
        <v>0.5</v>
      </c>
      <c r="N66" s="2764" t="s">
        <v>2074</v>
      </c>
      <c r="Z66" s="1935"/>
      <c r="AI66" s="1936"/>
    </row>
    <row r="67" spans="1:35" ht="14.25" customHeight="1">
      <c r="A67" s="176" t="s">
        <v>773</v>
      </c>
      <c r="B67" s="177" t="s">
        <v>2075</v>
      </c>
      <c r="C67" s="2788">
        <f ca="1">C63-C66</f>
        <v>25618</v>
      </c>
      <c r="D67" s="173" t="s">
        <v>32</v>
      </c>
      <c r="E67" s="175"/>
      <c r="F67" s="1991"/>
      <c r="G67" s="1991"/>
      <c r="H67" s="1993"/>
      <c r="I67" s="132"/>
      <c r="J67" s="3169"/>
      <c r="K67" s="1499" t="s">
        <v>2076</v>
      </c>
      <c r="L67" s="1499">
        <f ca="1">IF(M49&gt;=10000,(8.25+(M49-10000)*0.01%),IF(AND(M49&gt;=8000,M49&lt;10000),(7.85+(M49-8000)*0.02%),IF(AND(M49&gt;=5000,M49&lt;8000),(6.65+(M49-5000)*0.04%),IF(AND(M49&gt;=2000,M49&lt;5000),(4.25+(PM49-2000)*0.08%),IF(AND(M49&gt;=1000,M49&lt;2000),(2.75+(M49-1000)*0.15%),IF(AND(M49&gt;=100,M49&lt;1000),(0.5+(M49-100)*0.25%),IF(AND(M49&gt;0,M49&lt;100),M49*0.5%)))))))</f>
        <v>9.9398999999999997</v>
      </c>
      <c r="M67" s="306">
        <f ca="1">ROUND(L67*0.9,1)</f>
        <v>8.9</v>
      </c>
      <c r="N67" s="2763"/>
      <c r="Z67" s="1935"/>
      <c r="AI67" s="1936"/>
    </row>
    <row r="68" spans="1:35" ht="14.25" customHeight="1" thickBot="1">
      <c r="A68" s="179" t="s">
        <v>774</v>
      </c>
      <c r="B68" s="180" t="s">
        <v>2077</v>
      </c>
      <c r="C68" s="2789">
        <f ca="1">IF(C67&lt;=0,0,ROUND(C67*D68,0))</f>
        <v>1409</v>
      </c>
      <c r="D68" s="2790">
        <f>'数据-取费表'!B41</f>
        <v>5.5000000000000007E-2</v>
      </c>
      <c r="E68" s="182"/>
      <c r="F68" s="1991"/>
      <c r="G68" s="1991"/>
      <c r="H68" s="1993"/>
      <c r="I68" s="132"/>
      <c r="J68" s="3169"/>
      <c r="K68" s="1499" t="s">
        <v>2078</v>
      </c>
      <c r="L68" s="1499">
        <f ca="1">IF(M49&gt;10000,M49*0.5%,IF(AND(M49&gt;5000,M49&lt;=10000),M49*1%,IF(AND(M49&gt;1000,M49&lt;=5000),M49*2%,IF(AND(M49&gt;200,M49&lt;=1000),M49*3%,M49*5%))))</f>
        <v>134.495</v>
      </c>
      <c r="M68" s="306">
        <f ca="1">ROUND(L68,1)</f>
        <v>134.5</v>
      </c>
      <c r="N68" s="2763"/>
      <c r="Z68" s="1935"/>
      <c r="AI68" s="1936"/>
    </row>
    <row r="69" spans="1:35" s="1955" customFormat="1" ht="16.5" customHeight="1">
      <c r="A69" s="1994"/>
      <c r="B69" s="1995"/>
      <c r="C69" s="1996"/>
      <c r="D69" s="1997"/>
      <c r="E69" s="1998"/>
      <c r="F69" s="1761"/>
      <c r="G69" s="1761"/>
      <c r="H69" s="1760"/>
      <c r="I69" s="1930"/>
      <c r="J69" s="3169"/>
      <c r="K69" s="1499" t="s">
        <v>2079</v>
      </c>
      <c r="L69" s="1499"/>
      <c r="M69" s="306">
        <f ca="1">ROUND(SUM(M63:M68),0)</f>
        <v>440</v>
      </c>
      <c r="N69" s="2765">
        <f ca="1">M69/M49</f>
        <v>1.6357485408379495E-2</v>
      </c>
      <c r="O69" s="732"/>
      <c r="P69" s="732"/>
      <c r="Q69" s="732"/>
      <c r="R69" s="732"/>
      <c r="S69" s="732"/>
      <c r="T69" s="732"/>
      <c r="U69" s="732"/>
      <c r="V69" s="732"/>
      <c r="W69" s="732"/>
      <c r="X69" s="732"/>
      <c r="Y69" s="732"/>
      <c r="Z69" s="1935"/>
      <c r="AA69" s="1935"/>
      <c r="AB69" s="1935"/>
      <c r="AC69" s="1935"/>
      <c r="AD69" s="1935"/>
      <c r="AE69" s="1935"/>
      <c r="AF69" s="1935"/>
      <c r="AG69" s="1935"/>
      <c r="AH69" s="1935"/>
    </row>
    <row r="70" spans="1:35" s="2000" customFormat="1" ht="15" thickBot="1">
      <c r="A70" s="3213" t="s">
        <v>2080</v>
      </c>
      <c r="B70" s="3214"/>
      <c r="C70" s="3214"/>
      <c r="D70" s="3214"/>
      <c r="E70" s="3214"/>
      <c r="F70" s="3214"/>
      <c r="G70" s="3214"/>
      <c r="H70" s="3214"/>
      <c r="I70" s="1999"/>
      <c r="J70" s="2914"/>
      <c r="K70" s="2914"/>
      <c r="L70" s="2914"/>
      <c r="M70" s="2914"/>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05" t="s">
        <v>2061</v>
      </c>
      <c r="B71" s="3206"/>
      <c r="C71" s="2206"/>
      <c r="D71" s="2206" t="s">
        <v>2062</v>
      </c>
      <c r="E71" s="183" t="s">
        <v>2063</v>
      </c>
      <c r="F71" s="184"/>
      <c r="G71" s="184"/>
      <c r="H71" s="185"/>
      <c r="I71" s="2003"/>
      <c r="J71" s="2914"/>
      <c r="K71" s="2914"/>
      <c r="L71" s="2914"/>
      <c r="M71" s="2914"/>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6" t="s">
        <v>775</v>
      </c>
      <c r="B72" s="177" t="s">
        <v>2081</v>
      </c>
      <c r="C72" s="2788">
        <f ca="1">ROUND(D45/(1+'数据-取费表'!C42),0)</f>
        <v>25618</v>
      </c>
      <c r="D72" s="173" t="s">
        <v>32</v>
      </c>
      <c r="E72" s="2551"/>
      <c r="F72" s="2550"/>
      <c r="G72" s="2550"/>
      <c r="H72" s="186"/>
      <c r="I72" s="2003"/>
      <c r="J72" s="2914"/>
      <c r="K72" s="2914"/>
      <c r="L72" s="2914"/>
      <c r="M72" s="2914"/>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6" t="s">
        <v>772</v>
      </c>
      <c r="B73" s="166" t="s">
        <v>2082</v>
      </c>
      <c r="C73" s="2788">
        <f ca="1">C74+C78</f>
        <v>128</v>
      </c>
      <c r="D73" s="173" t="s">
        <v>32</v>
      </c>
      <c r="E73" s="2551"/>
      <c r="F73" s="2550"/>
      <c r="G73" s="2550"/>
      <c r="H73" s="186"/>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2" t="s">
        <v>770</v>
      </c>
      <c r="B74" s="173" t="s">
        <v>2083</v>
      </c>
      <c r="C74" s="173">
        <f>ROUND(IF(G77="2016年5月1日后购买",C75/(1+'数据-取费表'!C42)+C76+C77,C75+C76+C77),0)</f>
        <v>0</v>
      </c>
      <c r="D74" s="173" t="s">
        <v>32</v>
      </c>
      <c r="E74" s="2551"/>
      <c r="F74" s="2550"/>
      <c r="G74" s="2550"/>
      <c r="H74" s="186"/>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2" t="s">
        <v>776</v>
      </c>
      <c r="B75" s="173" t="s">
        <v>2084</v>
      </c>
      <c r="C75" s="2791"/>
      <c r="D75" s="173" t="s">
        <v>32</v>
      </c>
      <c r="E75" s="188" t="s">
        <v>2085</v>
      </c>
      <c r="F75" s="2792"/>
      <c r="G75" s="188" t="s">
        <v>2086</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2" t="s">
        <v>777</v>
      </c>
      <c r="B76" s="189" t="s">
        <v>2087</v>
      </c>
      <c r="C76" s="173">
        <f>IF(F75="购房发票",ROUND(C75*H75*D76,0),0)</f>
        <v>0</v>
      </c>
      <c r="D76" s="2794">
        <v>0.05</v>
      </c>
      <c r="E76" s="3210" t="s">
        <v>2088</v>
      </c>
      <c r="F76" s="3209"/>
      <c r="G76" s="3209"/>
      <c r="H76" s="3212"/>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2" t="s">
        <v>778</v>
      </c>
      <c r="B77" s="173" t="s">
        <v>2089</v>
      </c>
      <c r="C77" s="173">
        <f>ROUND(IF(G77="个人住宅",0,IF(G77="2016年5月1日前购买",C75*D77,C75*D77/(1+'数据-取费表'!C42))),0)</f>
        <v>0</v>
      </c>
      <c r="D77" s="2795">
        <f>'数据-取费表'!B48+'数据-取费表'!B49</f>
        <v>3.0499999999999999E-2</v>
      </c>
      <c r="E77" s="2544" t="s">
        <v>2090</v>
      </c>
      <c r="F77" s="190"/>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2" t="s">
        <v>771</v>
      </c>
      <c r="B78" s="173" t="s">
        <v>2091</v>
      </c>
      <c r="C78" s="2796">
        <f ca="1">ROUND(D45*D78/(1+'数据-取费表'!C42),0)</f>
        <v>128</v>
      </c>
      <c r="D78" s="2797">
        <f>'数据-取费表'!B43</f>
        <v>5.000000000000001E-3</v>
      </c>
      <c r="E78" s="3202" t="s">
        <v>2092</v>
      </c>
      <c r="F78" s="3203"/>
      <c r="G78" s="3203"/>
      <c r="H78" s="3204"/>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6" t="s">
        <v>779</v>
      </c>
      <c r="B79" s="177" t="s">
        <v>2093</v>
      </c>
      <c r="C79" s="2788">
        <f ca="1">C72-C73</f>
        <v>25490</v>
      </c>
      <c r="D79" s="173" t="s">
        <v>32</v>
      </c>
      <c r="E79" s="2551"/>
      <c r="F79" s="2550"/>
      <c r="G79" s="2550"/>
      <c r="H79" s="186"/>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6" t="s">
        <v>780</v>
      </c>
      <c r="B80" s="177" t="s">
        <v>2094</v>
      </c>
      <c r="C80" s="2798">
        <f ca="1">IF(C79&lt;=0,0,C79/C73)</f>
        <v>199.140625</v>
      </c>
      <c r="D80" s="173"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6"/>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79" t="s">
        <v>781</v>
      </c>
      <c r="B81" s="180" t="s">
        <v>2095</v>
      </c>
      <c r="C81" s="2799">
        <f ca="1">ROUND(IF(C79&lt;=0,0,IF(C80&gt;=200%,C79*60%-C73*35%,IF(C80&gt;=100%,C79*50%-C73*15%,IF(C80&gt;=50%,C79*40%-C73*5%,IF(C80&lt;50%,C79*30%,0))))),0)</f>
        <v>15249</v>
      </c>
      <c r="D81" s="2800"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7"/>
      <c r="B82" s="688"/>
      <c r="C82" s="7"/>
      <c r="D82" s="7"/>
      <c r="E82" s="688"/>
      <c r="F82" s="688"/>
      <c r="G82" s="688"/>
      <c r="H82" s="689"/>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13" t="s">
        <v>2096</v>
      </c>
      <c r="B83" s="3214"/>
      <c r="C83" s="3214"/>
      <c r="D83" s="3214"/>
      <c r="E83" s="3214"/>
      <c r="F83" s="3214"/>
      <c r="G83" s="3214"/>
      <c r="H83" s="3214"/>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05" t="s">
        <v>2061</v>
      </c>
      <c r="B84" s="3206"/>
      <c r="C84" s="2206"/>
      <c r="D84" s="2206" t="s">
        <v>2062</v>
      </c>
      <c r="E84" s="183" t="s">
        <v>2063</v>
      </c>
      <c r="F84" s="184"/>
      <c r="G84" s="184"/>
      <c r="H84" s="195"/>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6" t="s">
        <v>775</v>
      </c>
      <c r="B85" s="177" t="s">
        <v>2081</v>
      </c>
      <c r="C85" s="2788">
        <f ca="1">ROUND(D45/(1+'数据-取费表'!C42),0)</f>
        <v>25618</v>
      </c>
      <c r="D85" s="173" t="s">
        <v>32</v>
      </c>
      <c r="E85" s="2551"/>
      <c r="F85" s="2550"/>
      <c r="G85" s="2550"/>
      <c r="H85" s="196"/>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6" t="s">
        <v>772</v>
      </c>
      <c r="B86" s="166" t="s">
        <v>2082</v>
      </c>
      <c r="C86" s="2788">
        <f ca="1">IF(H88="仅含出让金",C87+C90+C91+C92+C93+C94,C87+C91+C92+C93+C94)</f>
        <v>12359.74</v>
      </c>
      <c r="D86" s="2801"/>
      <c r="E86" s="2551"/>
      <c r="F86" s="2550"/>
      <c r="G86" s="2550"/>
      <c r="H86" s="196"/>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2" t="s">
        <v>770</v>
      </c>
      <c r="B87" s="173" t="s">
        <v>2097</v>
      </c>
      <c r="C87" s="2796">
        <f>C88+C89</f>
        <v>9408.74</v>
      </c>
      <c r="D87" s="2797"/>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2" t="s">
        <v>776</v>
      </c>
      <c r="B88" s="173" t="s">
        <v>2098</v>
      </c>
      <c r="C88" s="2802">
        <v>9130.74</v>
      </c>
      <c r="D88" s="2797"/>
      <c r="E88" s="197" t="s">
        <v>2099</v>
      </c>
      <c r="F88" s="2547"/>
      <c r="G88" s="198" t="s">
        <v>2100</v>
      </c>
      <c r="H88" s="2007" t="s">
        <v>3123</v>
      </c>
      <c r="I88" s="2004"/>
      <c r="J88" s="2741"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2" t="s">
        <v>777</v>
      </c>
      <c r="B89" s="173" t="s">
        <v>2089</v>
      </c>
      <c r="C89" s="2796">
        <f>ROUND(C88*D89,0)</f>
        <v>278</v>
      </c>
      <c r="D89" s="2797">
        <f>'数据-取费表'!B48+'数据-取费表'!B49</f>
        <v>3.0499999999999999E-2</v>
      </c>
      <c r="E89" s="197"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2" t="s">
        <v>771</v>
      </c>
      <c r="B90" s="173" t="s">
        <v>2102</v>
      </c>
      <c r="C90" s="2802"/>
      <c r="D90" s="2797"/>
      <c r="E90" s="197" t="str">
        <f>IF(H88="-","土地取得成本中已包含该笔费用"," ")</f>
        <v xml:space="preserve"> </v>
      </c>
      <c r="F90" s="2547"/>
      <c r="G90" s="3171" t="s">
        <v>2867</v>
      </c>
      <c r="H90" s="3172"/>
      <c r="I90" s="2004"/>
      <c r="J90" s="2741"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2" t="s">
        <v>2103</v>
      </c>
      <c r="B91" s="173" t="s">
        <v>2104</v>
      </c>
      <c r="C91" s="2796">
        <f>IF(H91="——",成本法!C33,I91)</f>
        <v>0</v>
      </c>
      <c r="D91" s="2797"/>
      <c r="E91" s="3202" t="s">
        <v>2105</v>
      </c>
      <c r="F91" s="3203"/>
      <c r="G91" s="3203"/>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2" t="s">
        <v>2106</v>
      </c>
      <c r="B92" s="173" t="s">
        <v>2107</v>
      </c>
      <c r="C92" s="2796">
        <f>ROUND((C87+C90+C91)*D92,0)</f>
        <v>941</v>
      </c>
      <c r="D92" s="2803">
        <v>0.1</v>
      </c>
      <c r="E92" s="3202" t="s">
        <v>2108</v>
      </c>
      <c r="F92" s="3203"/>
      <c r="G92" s="3203"/>
      <c r="H92" s="3204"/>
      <c r="I92" s="2004"/>
      <c r="J92" s="2742"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2" t="s">
        <v>2109</v>
      </c>
      <c r="B93" s="173" t="s">
        <v>2091</v>
      </c>
      <c r="C93" s="2796">
        <f ca="1">ROUND(D45*D93/(1+'数据-取费表'!C42),0)</f>
        <v>128</v>
      </c>
      <c r="D93" s="2797">
        <f>'数据-取费表'!B43</f>
        <v>5.000000000000001E-3</v>
      </c>
      <c r="E93" s="3202" t="s">
        <v>2092</v>
      </c>
      <c r="F93" s="3203"/>
      <c r="G93" s="3203"/>
      <c r="H93" s="3204"/>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2" t="s">
        <v>2110</v>
      </c>
      <c r="B94" s="173" t="s">
        <v>2111</v>
      </c>
      <c r="C94" s="2802">
        <f>ROUND((C87+C90+C91)*D94,0)</f>
        <v>1882</v>
      </c>
      <c r="D94" s="2797">
        <v>0.2</v>
      </c>
      <c r="E94" s="3254" t="s">
        <v>2112</v>
      </c>
      <c r="F94" s="3255"/>
      <c r="G94" s="3255"/>
      <c r="H94" s="3256"/>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6" t="s">
        <v>779</v>
      </c>
      <c r="B95" s="177" t="s">
        <v>2093</v>
      </c>
      <c r="C95" s="2788">
        <f ca="1">ROUND(C85-C86,0)</f>
        <v>13258</v>
      </c>
      <c r="D95" s="173" t="s">
        <v>32</v>
      </c>
      <c r="E95" s="2551"/>
      <c r="F95" s="2550"/>
      <c r="G95" s="2550"/>
      <c r="H95" s="196"/>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6" t="s">
        <v>780</v>
      </c>
      <c r="B96" s="177" t="s">
        <v>2094</v>
      </c>
      <c r="C96" s="2798">
        <f ca="1">IF(C95&lt;=0,0,C95/C86)</f>
        <v>1.0726762860707426</v>
      </c>
      <c r="D96" s="173" t="s">
        <v>32</v>
      </c>
      <c r="E96" s="254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0"/>
      <c r="G96" s="2550"/>
      <c r="H96" s="196"/>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79" t="s">
        <v>781</v>
      </c>
      <c r="B97" s="180" t="s">
        <v>2095</v>
      </c>
      <c r="C97" s="2799">
        <f ca="1">ROUND(IF(C95&lt;=0,0,IF(C96&gt;=200%,C95*60%-C86*35%,IF(C96&gt;=100%,C95*50%-C86*15%,IF(C96&gt;=50%,C95*40%-C86*5%,IF(C96&lt;50%,C95*30%,0))))),0)</f>
        <v>4775</v>
      </c>
      <c r="D97" s="2800"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3"/>
      <c r="G97" s="193"/>
      <c r="H97" s="199"/>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2"/>
    </row>
    <row r="99" spans="1:35" ht="21.75" customHeight="1" thickBot="1">
      <c r="A99" s="1983" t="s">
        <v>2113</v>
      </c>
      <c r="B99" s="1930"/>
      <c r="C99" s="1930"/>
      <c r="D99" s="1930"/>
      <c r="E99" s="1761"/>
      <c r="F99" s="1761"/>
      <c r="G99" s="1761"/>
      <c r="H99" s="1760"/>
      <c r="I99" s="132"/>
    </row>
    <row r="100" spans="1:35" ht="18.75" customHeight="1">
      <c r="A100" s="3152" t="s">
        <v>2114</v>
      </c>
      <c r="B100" s="3153"/>
      <c r="C100" s="3153"/>
      <c r="D100" s="3187"/>
      <c r="E100" s="3153" t="s">
        <v>2115</v>
      </c>
      <c r="F100" s="3153"/>
      <c r="G100" s="3153"/>
      <c r="H100" s="3187"/>
      <c r="I100" s="132"/>
    </row>
    <row r="101" spans="1:35" ht="18.75" customHeight="1">
      <c r="A101" s="3195" t="s">
        <v>2116</v>
      </c>
      <c r="B101" s="3196"/>
      <c r="C101" s="2805" t="str">
        <f>C4</f>
        <v>成本法</v>
      </c>
      <c r="D101" s="2806" t="str">
        <f>D4</f>
        <v>收益法</v>
      </c>
      <c r="E101" s="3165" t="s">
        <v>2117</v>
      </c>
      <c r="F101" s="3166"/>
      <c r="G101" s="2010" t="s">
        <v>2118</v>
      </c>
      <c r="H101" s="2815">
        <f ca="1">H118</f>
        <v>26899</v>
      </c>
      <c r="I101" s="132"/>
    </row>
    <row r="102" spans="1:35" ht="18.75" customHeight="1">
      <c r="A102" s="3197" t="s">
        <v>2119</v>
      </c>
      <c r="B102" s="2804" t="s">
        <v>2118</v>
      </c>
      <c r="C102" s="2805">
        <f ca="1">C19</f>
        <v>30148</v>
      </c>
      <c r="D102" s="2806">
        <f ca="1">D19</f>
        <v>23649</v>
      </c>
      <c r="E102" s="3165"/>
      <c r="F102" s="3166"/>
      <c r="G102" s="2010" t="s">
        <v>2120</v>
      </c>
      <c r="H102" s="2775">
        <f ca="1">I118</f>
        <v>23186</v>
      </c>
      <c r="I102" s="132"/>
    </row>
    <row r="103" spans="1:35" ht="42.75" customHeight="1">
      <c r="A103" s="3197"/>
      <c r="B103" s="2804" t="s">
        <v>2120</v>
      </c>
      <c r="C103" s="2807">
        <f ca="1">C20</f>
        <v>25987</v>
      </c>
      <c r="D103" s="2808">
        <f ca="1">D20</f>
        <v>20385</v>
      </c>
      <c r="E103" s="3158" t="s">
        <v>2121</v>
      </c>
      <c r="F103" s="3159"/>
      <c r="G103" s="2011" t="s">
        <v>2122</v>
      </c>
      <c r="H103" s="2815">
        <f>IF(D36="正常操作",H104+H105+H106,H105+H106)</f>
        <v>0</v>
      </c>
      <c r="I103" s="132"/>
    </row>
    <row r="104" spans="1:35" ht="18.75" customHeight="1">
      <c r="A104" s="3197" t="s">
        <v>2123</v>
      </c>
      <c r="B104" s="2809" t="s">
        <v>2118</v>
      </c>
      <c r="C104" s="2810">
        <f ca="1">H118</f>
        <v>26899</v>
      </c>
      <c r="D104" s="2811"/>
      <c r="E104" s="1858" t="s">
        <v>2124</v>
      </c>
      <c r="F104" s="1849"/>
      <c r="G104" s="2011" t="s">
        <v>2122</v>
      </c>
      <c r="H104" s="2816">
        <f>IF(D36="同一抵押权人同一抵押物续贷",C36&amp;"（续贷，未扣减，详见特别提示）",C36)</f>
        <v>0</v>
      </c>
      <c r="I104" s="132"/>
    </row>
    <row r="105" spans="1:35" ht="18.75" customHeight="1" thickBot="1">
      <c r="A105" s="3207"/>
      <c r="B105" s="2812" t="s">
        <v>2120</v>
      </c>
      <c r="C105" s="2813">
        <f ca="1">I118</f>
        <v>23186</v>
      </c>
      <c r="D105" s="2814"/>
      <c r="E105" s="1858" t="s">
        <v>2125</v>
      </c>
      <c r="F105" s="1849"/>
      <c r="G105" s="2011" t="s">
        <v>2122</v>
      </c>
      <c r="H105" s="2817">
        <f>C37</f>
        <v>0</v>
      </c>
      <c r="I105" s="132"/>
    </row>
    <row r="106" spans="1:35" ht="18.75" customHeight="1">
      <c r="A106" s="1930" t="s">
        <v>2126</v>
      </c>
      <c r="B106" s="1930"/>
      <c r="C106" s="1930"/>
      <c r="D106" s="1930"/>
      <c r="E106" s="2012" t="s">
        <v>2127</v>
      </c>
      <c r="F106" s="1849"/>
      <c r="G106" s="2011" t="s">
        <v>2122</v>
      </c>
      <c r="H106" s="2817">
        <f>C38</f>
        <v>0</v>
      </c>
      <c r="I106" s="132"/>
    </row>
    <row r="107" spans="1:35" ht="18.75" customHeight="1">
      <c r="A107" s="132"/>
      <c r="B107" s="132"/>
      <c r="C107" s="132"/>
      <c r="D107" s="132"/>
      <c r="E107" s="3198" t="str">
        <f>IF(项目基本情况!E8="已注销","——","3.房地产抵押价值")</f>
        <v>3.房地产抵押价值</v>
      </c>
      <c r="F107" s="3166"/>
      <c r="G107" s="2010" t="s">
        <v>2118</v>
      </c>
      <c r="H107" s="2815">
        <f ca="1">IF(E107="——","——",H101-H103)</f>
        <v>26899</v>
      </c>
      <c r="I107" s="132"/>
    </row>
    <row r="108" spans="1:35" ht="18.75" customHeight="1">
      <c r="A108" s="132"/>
      <c r="B108" s="132"/>
      <c r="C108" s="132"/>
      <c r="D108" s="132"/>
      <c r="E108" s="3198"/>
      <c r="F108" s="3166"/>
      <c r="G108" s="2010" t="s">
        <v>2120</v>
      </c>
      <c r="H108" s="2775">
        <f ca="1">ROUND(H107*10000/'数据-汇总表'!E3,0)</f>
        <v>23186</v>
      </c>
      <c r="I108" s="132"/>
    </row>
    <row r="109" spans="1:35" ht="18.75" customHeight="1">
      <c r="A109" s="132"/>
      <c r="B109" s="132"/>
      <c r="C109" s="132"/>
      <c r="D109" s="132"/>
      <c r="E109" s="3198" t="str">
        <f>IF(项目基本情况!E8="已注销及未注销","4.抵押担保权已注销时的房地产抵押价值",IF(项目基本情况!E8="已注销","3.抵押担保权已注销时的房地产抵押价值","——"))</f>
        <v>——</v>
      </c>
      <c r="F109" s="3166"/>
      <c r="G109" s="2010" t="s">
        <v>2118</v>
      </c>
      <c r="H109" s="2818" t="str">
        <f>IF(E109="——","——",H101-H105-H106)</f>
        <v>——</v>
      </c>
      <c r="I109" s="132"/>
    </row>
    <row r="110" spans="1:35" ht="18.75" customHeight="1">
      <c r="A110" s="132"/>
      <c r="B110" s="132"/>
      <c r="C110" s="132"/>
      <c r="D110" s="132"/>
      <c r="E110" s="3198"/>
      <c r="F110" s="3166"/>
      <c r="G110" s="2010" t="s">
        <v>2120</v>
      </c>
      <c r="H110" s="2775" t="str">
        <f>IF(H109="——","——",ROUND(H109*10000/'数据-汇总表'!E3,0))</f>
        <v>——</v>
      </c>
      <c r="I110" s="132"/>
    </row>
    <row r="111" spans="1:35" ht="18.75" customHeight="1">
      <c r="A111" s="132"/>
      <c r="B111" s="132"/>
      <c r="C111" s="132"/>
      <c r="D111" s="132"/>
      <c r="E111" s="3199" t="str">
        <f>IF(项目基本情况!E9="抵押净值",IF(OR(项目基本情况!E8="已注销",项目基本情况!E8="房地产抵押价值"),"4.抵押净值","5.抵押净值"),"——")</f>
        <v>——</v>
      </c>
      <c r="F111" s="3185"/>
      <c r="G111" s="2010" t="s">
        <v>2118</v>
      </c>
      <c r="H111" s="2815" t="str">
        <f>IF(E111="——","——",N59)</f>
        <v>——</v>
      </c>
      <c r="I111" s="132"/>
    </row>
    <row r="112" spans="1:35" ht="18.75" customHeight="1" thickBot="1">
      <c r="A112" s="132"/>
      <c r="B112" s="132"/>
      <c r="C112" s="132"/>
      <c r="D112" s="132"/>
      <c r="E112" s="3200"/>
      <c r="F112" s="3201"/>
      <c r="G112" s="2013" t="s">
        <v>2120</v>
      </c>
      <c r="H112" s="2819" t="str">
        <f>IF(E111="——","——",N61)</f>
        <v>——</v>
      </c>
      <c r="I112" s="132"/>
    </row>
    <row r="113" spans="1:27" ht="18.75" customHeight="1">
      <c r="A113" s="132"/>
      <c r="B113" s="132"/>
      <c r="C113" s="132"/>
      <c r="D113" s="132"/>
      <c r="E113" s="3208" t="s">
        <v>2126</v>
      </c>
      <c r="F113" s="3208"/>
      <c r="G113" s="3208"/>
      <c r="H113" s="3208"/>
      <c r="I113" s="132"/>
    </row>
    <row r="114" spans="1:27" ht="3.75" customHeight="1">
      <c r="A114" s="1930"/>
      <c r="B114" s="1930"/>
      <c r="C114" s="1930"/>
      <c r="D114" s="1930"/>
      <c r="E114" s="1992"/>
      <c r="F114" s="1992"/>
      <c r="G114" s="1992"/>
      <c r="H114" s="1992"/>
      <c r="I114" s="1930"/>
    </row>
    <row r="115" spans="1:27" ht="18.75" customHeight="1">
      <c r="A115" s="3219" t="s">
        <v>2128</v>
      </c>
      <c r="B115" s="3220"/>
      <c r="C115" s="3220"/>
      <c r="D115" s="3220"/>
      <c r="E115" s="3220"/>
      <c r="F115" s="3220"/>
      <c r="G115" s="3220"/>
      <c r="H115" s="3220"/>
      <c r="I115" s="3221"/>
    </row>
    <row r="116" spans="1:27" ht="27" customHeight="1">
      <c r="A116" s="3173" t="s">
        <v>2129</v>
      </c>
      <c r="B116" s="3177" t="s">
        <v>3233</v>
      </c>
      <c r="C116" s="3177" t="s">
        <v>3234</v>
      </c>
      <c r="D116" s="3183" t="s">
        <v>2130</v>
      </c>
      <c r="E116" s="3184"/>
      <c r="F116" s="3215" t="s">
        <v>3232</v>
      </c>
      <c r="G116" s="3215"/>
      <c r="H116" s="3173" t="s">
        <v>2131</v>
      </c>
      <c r="I116" s="3173"/>
    </row>
    <row r="117" spans="1:27" ht="18.75" customHeight="1">
      <c r="A117" s="3173"/>
      <c r="B117" s="3178"/>
      <c r="C117" s="3178"/>
      <c r="D117" s="2549" t="s">
        <v>2132</v>
      </c>
      <c r="E117" s="2549" t="s">
        <v>2133</v>
      </c>
      <c r="F117" s="2549" t="s">
        <v>2132</v>
      </c>
      <c r="G117" s="2549" t="s">
        <v>2134</v>
      </c>
      <c r="H117" s="2549" t="s">
        <v>2132</v>
      </c>
      <c r="I117" s="2549" t="s">
        <v>2134</v>
      </c>
    </row>
    <row r="118" spans="1:27" ht="24.75" customHeight="1">
      <c r="A118" s="2820" t="str">
        <f>项目基本情况!S2</f>
        <v>北京市大兴区西红门镇3号地块内“星光影视园·北区”项目B5组团B5-1办公楼等6幢办公用房房地产</v>
      </c>
      <c r="B118" s="2549">
        <f>M18</f>
        <v>11601.220000000001</v>
      </c>
      <c r="C118" s="2549">
        <f>M19</f>
        <v>8832.7999999999993</v>
      </c>
      <c r="D118" s="2549">
        <f ca="1">ROUND(IF(D32="总价",C34,E118*B118/10000),0)</f>
        <v>22703</v>
      </c>
      <c r="E118" s="2549">
        <f ca="1">ROUND(IF(C33="自定义",IF(D32="楼面单价",C34,D118*10000/B118),I118-G118),0)</f>
        <v>19569</v>
      </c>
      <c r="F118" s="2549">
        <f ca="1">ROUND(IF(D32="总价",C35,G118*B118/10000),0)</f>
        <v>4196</v>
      </c>
      <c r="G118" s="2549">
        <f ca="1">ROUND(IF(D32="楼面单价",C35,F118*10000/B118),0)</f>
        <v>3617</v>
      </c>
      <c r="H118" s="2549">
        <f ca="1">ROUND(IF(D32="总价",C32,I118*B118/10000),0)</f>
        <v>26899</v>
      </c>
      <c r="I118" s="2549">
        <f ca="1">ROUND(IF(D32="楼面单价",C32,H118*10000/B118),0)</f>
        <v>23186</v>
      </c>
    </row>
    <row r="119" spans="1:27" ht="18.75" customHeight="1">
      <c r="A119" s="3173" t="s">
        <v>2135</v>
      </c>
      <c r="B119" s="3173"/>
      <c r="C119" s="3173"/>
      <c r="D119" s="3179" t="str">
        <f ca="1">NUMBERSTRING(INT(D118*10000),2)&amp;"元整"</f>
        <v>贰亿贰仟柒佰零叁万元整</v>
      </c>
      <c r="E119" s="3180"/>
      <c r="F119" s="3179" t="str">
        <f ca="1">NUMBERSTRING(INT(F118*10000),2)&amp;"元整"</f>
        <v>肆仟壹佰玖拾陆万元整</v>
      </c>
      <c r="G119" s="3180"/>
      <c r="H119" s="3179" t="str">
        <f ca="1">NUMBERSTRING(INT(H118*10000),2)&amp;"元整"</f>
        <v>贰亿陆仟捌佰玖拾玖万元整</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16" t="s">
        <v>2135</v>
      </c>
      <c r="B121" s="3217"/>
      <c r="C121" s="3218"/>
      <c r="D121" s="3179" t="str">
        <f>IF(D120=0,"零元整",NUMBERSTRING(INT(D120*10000),2)&amp;"元整")</f>
        <v>零元整</v>
      </c>
      <c r="E121" s="3181"/>
      <c r="F121" s="3181"/>
      <c r="G121" s="3181"/>
      <c r="H121" s="3181"/>
      <c r="I121" s="3180"/>
      <c r="AA121" s="732"/>
    </row>
    <row r="122" spans="1:27" ht="18.75" customHeight="1">
      <c r="A122" s="3185" t="str">
        <f>IF(项目基本情况!B9="房地产市场价值","",MID(E107,3,LEN(E107)-2))</f>
        <v>房地产抵押价值</v>
      </c>
      <c r="B122" s="3185"/>
      <c r="C122" s="3185"/>
      <c r="D122" s="3174">
        <f ca="1">H107</f>
        <v>26899</v>
      </c>
      <c r="E122" s="3175"/>
      <c r="F122" s="3175"/>
      <c r="G122" s="3175"/>
      <c r="H122" s="3175"/>
      <c r="I122" s="3176"/>
      <c r="AA122" s="732"/>
    </row>
    <row r="123" spans="1:27" ht="18.75" customHeight="1">
      <c r="A123" s="3173" t="s">
        <v>2135</v>
      </c>
      <c r="B123" s="3173"/>
      <c r="C123" s="3173"/>
      <c r="D123" s="3179" t="str">
        <f ca="1">NUMBERSTRING(INT(D122*10000),2)&amp;"元整"</f>
        <v>贰亿陆仟捌佰玖拾玖万元整</v>
      </c>
      <c r="E123" s="3181"/>
      <c r="F123" s="3181"/>
      <c r="G123" s="3181"/>
      <c r="H123" s="3181"/>
      <c r="I123" s="3180"/>
      <c r="AA123" s="732"/>
    </row>
    <row r="124" spans="1:27" ht="18.75" customHeight="1">
      <c r="A124" s="3185" t="str">
        <f>IF(项目基本情况!B9="房地产市场价值","",MID(E109,3,LEN(E109)-2))</f>
        <v/>
      </c>
      <c r="B124" s="3185"/>
      <c r="C124" s="3185"/>
      <c r="D124" s="3174" t="str">
        <f>H109</f>
        <v>——</v>
      </c>
      <c r="E124" s="3175"/>
      <c r="F124" s="3175"/>
      <c r="G124" s="3175"/>
      <c r="H124" s="3175"/>
      <c r="I124" s="3176"/>
      <c r="AA124" s="732"/>
    </row>
    <row r="125" spans="1:27" ht="18.75" customHeight="1">
      <c r="A125" s="3173" t="s">
        <v>2135</v>
      </c>
      <c r="B125" s="3173"/>
      <c r="C125" s="3173"/>
      <c r="D125" s="3179" t="e">
        <f>NUMBERSTRING(INT(D124*10000),2)&amp;"元整"</f>
        <v>#VALUE!</v>
      </c>
      <c r="E125" s="3181"/>
      <c r="F125" s="3181"/>
      <c r="G125" s="3181"/>
      <c r="H125" s="3181"/>
      <c r="I125" s="3180"/>
      <c r="AA125" s="732"/>
    </row>
    <row r="126" spans="1:27" ht="18.75" customHeight="1">
      <c r="A126" s="3185" t="str">
        <f>IF(项目基本情况!B9="房地产市场价值","",MID(E111,3,LEN(E111)-2))</f>
        <v/>
      </c>
      <c r="B126" s="3185"/>
      <c r="C126" s="3185"/>
      <c r="D126" s="3174" t="str">
        <f>H111</f>
        <v>——</v>
      </c>
      <c r="E126" s="3175"/>
      <c r="F126" s="3175"/>
      <c r="G126" s="3175"/>
      <c r="H126" s="3175"/>
      <c r="I126" s="3176"/>
      <c r="AA126" s="732"/>
    </row>
    <row r="127" spans="1:27" ht="18.75" customHeight="1">
      <c r="A127" s="3173" t="s">
        <v>2135</v>
      </c>
      <c r="B127" s="3173"/>
      <c r="C127" s="3173"/>
      <c r="D127" s="3179" t="e">
        <f>NUMBERSTRING(INT(D126*10000),2)&amp;"元整"</f>
        <v>#VALUE!</v>
      </c>
      <c r="E127" s="3181"/>
      <c r="F127" s="3181"/>
      <c r="G127" s="3181"/>
      <c r="H127" s="3181"/>
      <c r="I127" s="3180"/>
      <c r="AA127" s="732"/>
    </row>
    <row r="128" spans="1:27" ht="21.75" customHeight="1">
      <c r="A128" s="3182" t="s">
        <v>2136</v>
      </c>
      <c r="B128" s="3182"/>
      <c r="C128" s="3182"/>
      <c r="D128" s="3182"/>
      <c r="E128" s="3182"/>
      <c r="F128" s="3182"/>
      <c r="G128" s="3182"/>
      <c r="H128" s="3182"/>
      <c r="I128" s="3182"/>
      <c r="AA128" s="732"/>
    </row>
    <row r="129" spans="1:35" ht="21.75" customHeight="1">
      <c r="A129" s="2014" t="s">
        <v>2137</v>
      </c>
      <c r="B129" s="2015"/>
      <c r="C129" s="2016" t="s">
        <v>2138</v>
      </c>
      <c r="D129" s="2017"/>
      <c r="E129" s="2017"/>
      <c r="F129" s="2017"/>
      <c r="G129" s="2017"/>
      <c r="H129" s="2018"/>
      <c r="I129" s="2019"/>
      <c r="AA129" s="732"/>
    </row>
    <row r="130" spans="1:35" ht="21.75" customHeight="1">
      <c r="A130" s="2020">
        <v>1</v>
      </c>
      <c r="B130" s="2021"/>
      <c r="C130" s="2021"/>
      <c r="D130" s="2022"/>
      <c r="E130" s="2022"/>
      <c r="F130" s="2022"/>
      <c r="G130" s="2022"/>
      <c r="H130" s="2023"/>
      <c r="I130" s="2024"/>
      <c r="AA130" s="732"/>
    </row>
    <row r="131" spans="1:35" ht="21.75" customHeight="1">
      <c r="A131" s="2020">
        <v>2</v>
      </c>
      <c r="B131" s="2021"/>
      <c r="C131" s="2021"/>
      <c r="D131" s="2022"/>
      <c r="E131" s="2022"/>
      <c r="F131" s="2022"/>
      <c r="G131" s="2022"/>
      <c r="H131" s="2023"/>
      <c r="I131" s="2024"/>
      <c r="AA131" s="732"/>
    </row>
    <row r="132" spans="1:35" ht="21.75" customHeight="1">
      <c r="A132" s="2020">
        <v>3</v>
      </c>
      <c r="B132" s="2021"/>
      <c r="C132" s="2021"/>
      <c r="D132" s="2022"/>
      <c r="E132" s="2022"/>
      <c r="F132" s="2022"/>
      <c r="G132" s="2022"/>
      <c r="H132" s="2023"/>
      <c r="I132" s="2024"/>
      <c r="AA132" s="732"/>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2"/>
    </row>
    <row r="135" spans="1:35" ht="21.75" customHeight="1">
      <c r="A135" s="732"/>
      <c r="B135" s="732"/>
      <c r="C135" s="732"/>
      <c r="D135" s="732"/>
      <c r="E135" s="732"/>
      <c r="F135" s="2030" t="s">
        <v>2139</v>
      </c>
      <c r="G135" s="2031"/>
      <c r="H135" s="2031"/>
      <c r="I135" s="2032" t="s">
        <v>2140</v>
      </c>
    </row>
    <row r="136" spans="1:35" ht="21.75" customHeight="1">
      <c r="A136" s="732"/>
      <c r="B136" s="2033" t="s">
        <v>2141</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1"/>
      <c r="C138" s="2031"/>
      <c r="D138" s="2031"/>
      <c r="E138" s="2031"/>
      <c r="F138" s="2031"/>
      <c r="G138" s="2031"/>
      <c r="H138" s="2031"/>
      <c r="I138" s="2032" t="s">
        <v>2142</v>
      </c>
    </row>
    <row r="139" spans="1:35" ht="21.75" customHeight="1">
      <c r="A139" s="732"/>
      <c r="B139" s="2033" t="s">
        <v>2143</v>
      </c>
      <c r="C139" s="732"/>
      <c r="D139" s="732"/>
      <c r="E139" s="732"/>
      <c r="F139" s="732"/>
      <c r="G139" s="732"/>
      <c r="H139" s="732"/>
      <c r="I139" s="732"/>
    </row>
    <row r="140" spans="1:35" ht="21.75" customHeight="1">
      <c r="A140" s="732"/>
      <c r="B140" s="2033"/>
      <c r="C140" s="732"/>
      <c r="D140" s="732"/>
      <c r="E140" s="732"/>
      <c r="F140" s="732"/>
      <c r="G140" s="732"/>
      <c r="H140" s="732"/>
      <c r="I140" s="732"/>
    </row>
    <row r="141" spans="1:35" ht="21.75" customHeight="1">
      <c r="A141" s="732"/>
      <c r="B141" s="2031"/>
      <c r="C141" s="2031"/>
      <c r="D141" s="2031"/>
      <c r="E141" s="2031"/>
      <c r="F141" s="2031"/>
      <c r="G141" s="2031"/>
      <c r="H141" s="2031"/>
      <c r="I141" s="2032" t="s">
        <v>2142</v>
      </c>
    </row>
    <row r="142" spans="1:35" ht="21.75" customHeight="1">
      <c r="A142" s="732"/>
      <c r="B142" s="2033"/>
      <c r="C142" s="2034"/>
      <c r="D142" s="2035"/>
      <c r="E142" s="2035"/>
      <c r="F142" s="1924"/>
      <c r="G142" s="732"/>
      <c r="H142" s="732"/>
      <c r="I142" s="732"/>
    </row>
    <row r="143" spans="1:35" s="133" customFormat="1" ht="21.75" customHeight="1">
      <c r="A143" s="732"/>
      <c r="B143" s="2033"/>
      <c r="C143" s="2034"/>
      <c r="D143" s="2035"/>
      <c r="E143" s="2035"/>
      <c r="F143" s="1924"/>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5"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5"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5"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5"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5"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5"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5"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5"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5"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5"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5"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5"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5"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5"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5"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5"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5"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5"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5"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5"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5"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5"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5"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5"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5"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5"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5"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5"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5"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5"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5"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5"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5"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5"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5"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5"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5"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5"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5"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5"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5"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5"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5"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5"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5"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5"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5"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5"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5"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5"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5"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5"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5"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5"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5"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5"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5"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5"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5"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5"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5"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5"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5"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5"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5"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5"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5"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5"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5"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5"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5"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5"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5"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5"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5"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5"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5"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5"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5"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5"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5"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5"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5"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5"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5"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5"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5"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5"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5"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5"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5"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5"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5"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5"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5"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5"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5"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5"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5"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5"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5"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5"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5"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5"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5" priority="10" stopIfTrue="1">
      <formula>$H$88&lt;&gt;"仅含出让金"</formula>
    </cfRule>
  </conditionalFormatting>
  <conditionalFormatting sqref="C91">
    <cfRule type="expression" dxfId="174" priority="9" stopIfTrue="1">
      <formula>$H$91="由企业提供"</formula>
    </cfRule>
  </conditionalFormatting>
  <conditionalFormatting sqref="E36">
    <cfRule type="expression" dxfId="173" priority="8" stopIfTrue="1">
      <formula>$D$36="同一抵押权人同一抵押物续贷"</formula>
    </cfRule>
  </conditionalFormatting>
  <conditionalFormatting sqref="C5:C7">
    <cfRule type="cellIs" dxfId="172" priority="7" stopIfTrue="1" operator="equal">
      <formula>25</formula>
    </cfRule>
  </conditionalFormatting>
  <conditionalFormatting sqref="C8:C9">
    <cfRule type="cellIs" dxfId="171" priority="6" stopIfTrue="1" operator="equal">
      <formula>15</formula>
    </cfRule>
  </conditionalFormatting>
  <conditionalFormatting sqref="C14:C16">
    <cfRule type="cellIs" dxfId="170" priority="5" stopIfTrue="1" operator="equal">
      <formula>30</formula>
    </cfRule>
  </conditionalFormatting>
  <conditionalFormatting sqref="D5:D7">
    <cfRule type="cellIs" dxfId="169" priority="4" stopIfTrue="1" operator="equal">
      <formula>25</formula>
    </cfRule>
  </conditionalFormatting>
  <conditionalFormatting sqref="D8:D9">
    <cfRule type="cellIs" dxfId="168" priority="3" stopIfTrue="1" operator="equal">
      <formula>15</formula>
    </cfRule>
  </conditionalFormatting>
  <conditionalFormatting sqref="C10:D13">
    <cfRule type="cellIs" dxfId="167" priority="2" stopIfTrue="1" operator="equal">
      <formula>15</formula>
    </cfRule>
  </conditionalFormatting>
  <conditionalFormatting sqref="D14:D16">
    <cfRule type="cellIs" dxfId="166"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6" t="str">
        <f>项目基本情况!B1</f>
        <v>北京市大兴区西红门镇3号地块内“星光影视园·北区”项目B5组团B5-1办公楼等6幢办公用房房地产抵押价值预评估</v>
      </c>
      <c r="C37" s="3066"/>
      <c r="D37" s="3066"/>
      <c r="E37" s="3066"/>
      <c r="F37" s="3066"/>
      <c r="G37" s="3066"/>
      <c r="H37" s="3066"/>
      <c r="I37" s="3066"/>
    </row>
    <row r="38" spans="1:9">
      <c r="A38" s="951"/>
      <c r="B38" s="951"/>
    </row>
    <row r="39" spans="1:9">
      <c r="A39" s="949" t="s">
        <v>818</v>
      </c>
      <c r="B39" s="949" t="s">
        <v>820</v>
      </c>
    </row>
    <row r="40" spans="1:9">
      <c r="A40" s="949"/>
      <c r="B40" s="1657" t="str">
        <f>项目基本情况!B5</f>
        <v>北京博豪新创文化发展有限公司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57" sqref="C5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2144</v>
      </c>
      <c r="B1" s="1652"/>
      <c r="C1" s="202"/>
      <c r="D1" s="202"/>
      <c r="E1" s="202"/>
      <c r="F1" s="202"/>
      <c r="G1" s="1286">
        <f>MATCH(B1,'数据-取费表'!A6:A16,0)+5</f>
        <v>7</v>
      </c>
    </row>
    <row r="2" spans="1:9" s="204" customFormat="1" ht="18" customHeight="1">
      <c r="A2" s="205" t="s">
        <v>2145</v>
      </c>
      <c r="B2" s="206">
        <f ca="1">IF(D2="——",C52,C52-E2)</f>
        <v>30148</v>
      </c>
      <c r="C2" s="203" t="s">
        <v>2146</v>
      </c>
      <c r="D2" s="2036" t="s">
        <v>70</v>
      </c>
      <c r="E2" s="1329" t="e">
        <f ca="1">SUMIF(INDIRECT("'"&amp;G2&amp;"'"&amp;"!A:A"),"承租人权益价值",INDIRECT("'"&amp;G2&amp;"'"&amp;"!c:c"))</f>
        <v>#REF!</v>
      </c>
      <c r="F2" s="2037" t="s">
        <v>2146</v>
      </c>
      <c r="G2" s="2038"/>
    </row>
    <row r="3" spans="1:9" s="204" customFormat="1" ht="18" customHeight="1" thickBot="1">
      <c r="A3" s="207" t="s">
        <v>2147</v>
      </c>
      <c r="B3" s="208">
        <f ca="1">ROUND(B2*10000/(IF(B1="",'数据-汇总表'!E3,INDIRECT("'数据-取费表'!k"&amp;$G$1))),0)</f>
        <v>25987</v>
      </c>
      <c r="C3" s="203" t="s">
        <v>2148</v>
      </c>
      <c r="D3" s="203"/>
      <c r="E3" s="203"/>
      <c r="F3" s="203"/>
      <c r="G3" s="203"/>
    </row>
    <row r="4" spans="1:9" s="212" customFormat="1" ht="15.75">
      <c r="A4" s="209" t="s">
        <v>2149</v>
      </c>
      <c r="B4" s="210"/>
      <c r="C4" s="210"/>
      <c r="D4" s="210"/>
      <c r="E4" s="210"/>
      <c r="F4" s="210"/>
      <c r="G4" s="211"/>
    </row>
    <row r="5" spans="1:9" s="218" customFormat="1" ht="13.5" customHeight="1">
      <c r="A5" s="259" t="s">
        <v>2150</v>
      </c>
      <c r="B5" s="214" t="s">
        <v>2151</v>
      </c>
      <c r="C5" s="215">
        <f ca="1">C6+C7+C8</f>
        <v>19921</v>
      </c>
      <c r="D5" s="215" t="s">
        <v>2152</v>
      </c>
      <c r="E5" s="216" t="s">
        <v>2153</v>
      </c>
      <c r="F5" s="216" t="s">
        <v>2154</v>
      </c>
      <c r="G5" s="217"/>
    </row>
    <row r="6" spans="1:9" s="218" customFormat="1" ht="13.5" customHeight="1">
      <c r="A6" s="884" t="s">
        <v>2155</v>
      </c>
      <c r="B6" s="219" t="s">
        <v>2156</v>
      </c>
      <c r="C6" s="220">
        <f>'土地比较法-住宅、综合'!B2</f>
        <v>19106</v>
      </c>
      <c r="D6" s="221"/>
      <c r="E6" s="222"/>
      <c r="F6" s="222"/>
      <c r="G6" s="223"/>
    </row>
    <row r="7" spans="1:9" s="218" customFormat="1" ht="13.5" customHeight="1">
      <c r="A7" s="884" t="s">
        <v>2157</v>
      </c>
      <c r="B7" s="219" t="s">
        <v>2158</v>
      </c>
      <c r="C7" s="224">
        <f>ROUND(C6*F7,0)</f>
        <v>583</v>
      </c>
      <c r="D7" s="224"/>
      <c r="E7" s="222"/>
      <c r="F7" s="225">
        <f>IF(项目基本情况!B8="出让",0,'数据-取费表'!B48+'数据-取费表'!B49)</f>
        <v>3.0499999999999999E-2</v>
      </c>
      <c r="G7" s="223"/>
    </row>
    <row r="8" spans="1:9" s="227" customFormat="1">
      <c r="A8" s="884" t="s">
        <v>2159</v>
      </c>
      <c r="B8" s="219" t="s">
        <v>2160</v>
      </c>
      <c r="C8" s="224">
        <f ca="1">IF(G8="已包含在土地购买价格中","0",IF(B1="",'数据-取费表'!B29,IF(G9="全部缴纳",C9+C10,H9)))</f>
        <v>232</v>
      </c>
      <c r="D8" s="226"/>
      <c r="E8" s="224"/>
      <c r="F8" s="225"/>
      <c r="G8" s="2039" t="s">
        <v>3098</v>
      </c>
    </row>
    <row r="9" spans="1:9" s="218" customFormat="1" ht="13.5" customHeight="1">
      <c r="A9" s="885" t="s">
        <v>800</v>
      </c>
      <c r="B9" s="228" t="s">
        <v>2161</v>
      </c>
      <c r="C9" s="229">
        <f ca="1">ROUND(D9*E9/10000,0)</f>
        <v>0</v>
      </c>
      <c r="D9" s="952">
        <f ca="1">IF(B1="",'数据-汇总表'!E5,IF(INDIRECT("'数据-取费表'!c"&amp;$G$1)="住宅",INDIRECT("'数据-取费表'!k"&amp;$G$1),0))</f>
        <v>0</v>
      </c>
      <c r="E9" s="229">
        <f>'数据-取费表'!B27</f>
        <v>160</v>
      </c>
      <c r="F9" s="225"/>
      <c r="G9" s="2040"/>
      <c r="H9" s="1297"/>
      <c r="I9" s="2041" t="s">
        <v>2162</v>
      </c>
    </row>
    <row r="10" spans="1:9" s="218" customFormat="1" ht="13.5" customHeight="1">
      <c r="A10" s="885" t="s">
        <v>801</v>
      </c>
      <c r="B10" s="228" t="s">
        <v>2163</v>
      </c>
      <c r="C10" s="229">
        <f ca="1">ROUND(D10*E10/10000,0)</f>
        <v>232</v>
      </c>
      <c r="D10" s="952">
        <f ca="1">IF(B1="",'数据-汇总表'!E6,IF(INDIRECT("'数据-取费表'!c"&amp;$G$1)="住宅",INDIRECT("'数据-取费表'!s"&amp;$G$1),INDIRECT("'数据-取费表'!k"&amp;$G$1)+INDIRECT("'数据-取费表'!s"&amp;$G$1)))</f>
        <v>11601.220000000001</v>
      </c>
      <c r="E10" s="229">
        <f>'数据-取费表'!B28</f>
        <v>200</v>
      </c>
      <c r="F10" s="225"/>
      <c r="G10" s="230"/>
    </row>
    <row r="11" spans="1:9" s="218" customFormat="1" ht="13.5" hidden="1" customHeight="1">
      <c r="A11" s="231" t="s">
        <v>7</v>
      </c>
      <c r="B11" s="219" t="s">
        <v>2164</v>
      </c>
      <c r="C11" s="215"/>
      <c r="D11" s="954"/>
      <c r="E11" s="222"/>
      <c r="F11" s="222"/>
      <c r="G11" s="223"/>
    </row>
    <row r="12" spans="1:9" s="218" customFormat="1" ht="13.5" hidden="1" customHeight="1">
      <c r="A12" s="231" t="s">
        <v>8</v>
      </c>
      <c r="B12" s="219" t="s">
        <v>2165</v>
      </c>
      <c r="C12" s="215">
        <v>0</v>
      </c>
      <c r="D12" s="954"/>
      <c r="E12" s="232"/>
      <c r="F12" s="225">
        <v>3.0499999999999999E-2</v>
      </c>
      <c r="G12" s="223"/>
    </row>
    <row r="13" spans="1:9" s="218" customFormat="1" ht="13.5" hidden="1" customHeight="1">
      <c r="A13" s="231" t="s">
        <v>9</v>
      </c>
      <c r="B13" s="219" t="s">
        <v>2166</v>
      </c>
      <c r="C13" s="215"/>
      <c r="D13" s="954"/>
      <c r="E13" s="222"/>
      <c r="F13" s="222"/>
      <c r="G13" s="223"/>
    </row>
    <row r="14" spans="1:9" s="218" customFormat="1" ht="13.5" hidden="1" customHeight="1">
      <c r="A14" s="231" t="s">
        <v>10</v>
      </c>
      <c r="B14" s="219" t="s">
        <v>2167</v>
      </c>
      <c r="C14" s="215"/>
      <c r="D14" s="954"/>
      <c r="E14" s="222"/>
      <c r="F14" s="222"/>
      <c r="G14" s="223" t="s">
        <v>2168</v>
      </c>
    </row>
    <row r="15" spans="1:9" s="218" customFormat="1" ht="13.5" hidden="1" customHeight="1">
      <c r="A15" s="231" t="s">
        <v>11</v>
      </c>
      <c r="B15" s="219" t="s">
        <v>2169</v>
      </c>
      <c r="C15" s="224"/>
      <c r="D15" s="954"/>
      <c r="E15" s="222"/>
      <c r="F15" s="222"/>
      <c r="G15" s="223" t="s">
        <v>2170</v>
      </c>
    </row>
    <row r="16" spans="1:9" s="218" customFormat="1" ht="13.5" hidden="1" customHeight="1">
      <c r="A16" s="231" t="s">
        <v>12</v>
      </c>
      <c r="B16" s="219" t="s">
        <v>2167</v>
      </c>
      <c r="C16" s="224"/>
      <c r="D16" s="954"/>
      <c r="E16" s="222"/>
      <c r="F16" s="222"/>
      <c r="G16" s="223"/>
    </row>
    <row r="17" spans="1:7" s="218" customFormat="1" ht="13.5" hidden="1" customHeight="1">
      <c r="A17" s="231" t="s">
        <v>13</v>
      </c>
      <c r="B17" s="219" t="s">
        <v>2171</v>
      </c>
      <c r="C17" s="233"/>
      <c r="D17" s="955"/>
      <c r="E17" s="233"/>
      <c r="F17" s="233"/>
      <c r="G17" s="223" t="s">
        <v>2170</v>
      </c>
    </row>
    <row r="18" spans="1:7" s="218" customFormat="1" ht="13.5" hidden="1" customHeight="1">
      <c r="A18" s="231" t="s">
        <v>14</v>
      </c>
      <c r="B18" s="219" t="s">
        <v>2172</v>
      </c>
      <c r="C18" s="224">
        <v>0</v>
      </c>
      <c r="D18" s="954"/>
      <c r="E18" s="222"/>
      <c r="F18" s="225">
        <v>3.0499999999999999E-2</v>
      </c>
      <c r="G18" s="223" t="s">
        <v>2173</v>
      </c>
    </row>
    <row r="19" spans="1:7" s="227" customFormat="1" ht="13.5" customHeight="1">
      <c r="A19" s="259" t="s">
        <v>2174</v>
      </c>
      <c r="B19" s="214" t="s">
        <v>2175</v>
      </c>
      <c r="C19" s="215" t="str">
        <f>IF(G19="已包含在土地取得成本中","0",ROUND(D19*E19/10000,0))</f>
        <v>0</v>
      </c>
      <c r="D19" s="956">
        <f ca="1">D9+D10</f>
        <v>11601.220000000001</v>
      </c>
      <c r="E19" s="215">
        <f>'数据-取费表'!B31</f>
        <v>200</v>
      </c>
      <c r="F19" s="235"/>
      <c r="G19" s="2039" t="s">
        <v>3099</v>
      </c>
    </row>
    <row r="20" spans="1:7" s="218" customFormat="1" ht="13.5" customHeight="1">
      <c r="A20" s="259" t="s">
        <v>2176</v>
      </c>
      <c r="B20" s="214" t="s">
        <v>2177</v>
      </c>
      <c r="C20" s="236">
        <f ca="1">ROUND((C5+C19)*F20,0)</f>
        <v>398</v>
      </c>
      <c r="D20" s="236"/>
      <c r="E20" s="236"/>
      <c r="F20" s="237">
        <f>'数据-取费表'!B37</f>
        <v>0.02</v>
      </c>
      <c r="G20" s="238" t="s">
        <v>2178</v>
      </c>
    </row>
    <row r="21" spans="1:7" s="218" customFormat="1" ht="13.5" customHeight="1">
      <c r="A21" s="259" t="s">
        <v>2179</v>
      </c>
      <c r="B21" s="214" t="s">
        <v>2180</v>
      </c>
      <c r="C21" s="239">
        <f>F21</f>
        <v>0.02</v>
      </c>
      <c r="D21" s="240" t="s">
        <v>2181</v>
      </c>
      <c r="E21" s="236"/>
      <c r="F21" s="237">
        <f>'数据-取费表'!B38</f>
        <v>0.02</v>
      </c>
      <c r="G21" s="238" t="s">
        <v>2182</v>
      </c>
    </row>
    <row r="22" spans="1:7" s="218" customFormat="1" ht="13.5" customHeight="1">
      <c r="A22" s="259" t="s">
        <v>2183</v>
      </c>
      <c r="B22" s="214" t="s">
        <v>2184</v>
      </c>
      <c r="C22" s="1262">
        <f ca="1">ROUND(SUM(C23:C25),0)</f>
        <v>1172</v>
      </c>
      <c r="D22" s="239">
        <f ca="1">C26</f>
        <v>5.9999999999999995E-4</v>
      </c>
      <c r="E22" s="240" t="s">
        <v>2181</v>
      </c>
      <c r="F22" s="241">
        <f ca="1">'数据-取费表'!B40</f>
        <v>3.85E-2</v>
      </c>
      <c r="G22" s="238" t="str">
        <f>IF('数据-取费表'!B22&lt;=1,"单利计息","复利计息")</f>
        <v>复利计息</v>
      </c>
    </row>
    <row r="23" spans="1:7" s="218" customFormat="1" ht="13.5" customHeight="1">
      <c r="A23" s="886" t="s">
        <v>2185</v>
      </c>
      <c r="B23" s="219" t="s">
        <v>2186</v>
      </c>
      <c r="C23" s="1263">
        <f ca="1">ROUND(IF('数据-取费表'!B22&lt;=1,C5*F22*'数据-取费表'!B23,C5*(POWER((1+F22),'数据-取费表'!B23)-1)),0)</f>
        <v>1161</v>
      </c>
      <c r="D23" s="242"/>
      <c r="E23" s="242"/>
      <c r="F23" s="243"/>
      <c r="G23" s="244" t="s">
        <v>2187</v>
      </c>
    </row>
    <row r="24" spans="1:7" s="218" customFormat="1" ht="13.5" customHeight="1">
      <c r="A24" s="886" t="s">
        <v>2188</v>
      </c>
      <c r="B24" s="219" t="s">
        <v>2189</v>
      </c>
      <c r="C24" s="1263">
        <f ca="1">ROUND(IF('数据-取费表'!B22&lt;=1,C19*F22*('数据-取费表'!B19/2+'数据-取费表'!B21),C19*(POWER((1+F22),('数据-取费表'!B19/2+'数据-取费表'!B21))-1)),0)</f>
        <v>0</v>
      </c>
      <c r="D24" s="242"/>
      <c r="E24" s="242"/>
      <c r="F24" s="243"/>
      <c r="G24" s="244" t="s">
        <v>2190</v>
      </c>
    </row>
    <row r="25" spans="1:7" s="218" customFormat="1" ht="24">
      <c r="A25" s="886" t="s">
        <v>2191</v>
      </c>
      <c r="B25" s="219" t="s">
        <v>2192</v>
      </c>
      <c r="C25" s="1263">
        <f ca="1">ROUND(IF('数据-取费表'!B22&lt;=1,C20*F22*'数据-取费表'!B23/2,C20*(POWER((1+F22),'数据-取费表'!B23/2)-1)),0)</f>
        <v>11</v>
      </c>
      <c r="D25" s="242"/>
      <c r="E25" s="245"/>
      <c r="F25" s="243"/>
      <c r="G25" s="246" t="s">
        <v>2193</v>
      </c>
    </row>
    <row r="26" spans="1:7" s="218" customFormat="1">
      <c r="A26" s="886" t="s">
        <v>795</v>
      </c>
      <c r="B26" s="219" t="s">
        <v>2194</v>
      </c>
      <c r="C26" s="242">
        <f ca="1">ROUND(IF('数据-取费表'!B22&lt;=1,F21*F22*'数据-取费表'!B23/2,F21*(POWER((1+F22),'数据-取费表'!B23/2)-1)),4)</f>
        <v>5.9999999999999995E-4</v>
      </c>
      <c r="D26" s="242"/>
      <c r="E26" s="245"/>
      <c r="F26" s="243"/>
      <c r="G26" s="247"/>
    </row>
    <row r="27" spans="1:7" s="218" customFormat="1" ht="24.75">
      <c r="A27" s="259" t="s">
        <v>2195</v>
      </c>
      <c r="B27" s="248" t="s">
        <v>2196</v>
      </c>
      <c r="C27" s="249">
        <f ca="1">C28</f>
        <v>2032</v>
      </c>
      <c r="D27" s="239">
        <f ca="1">C29</f>
        <v>2E-3</v>
      </c>
      <c r="E27" s="240" t="s">
        <v>2197</v>
      </c>
      <c r="F27" s="250">
        <f ca="1">IF(B1="",'数据-取费表'!Q16,INDIRECT("'数据-取费表'!q"&amp;$G$1))</f>
        <v>0.1</v>
      </c>
      <c r="G27" s="251" t="s">
        <v>2198</v>
      </c>
    </row>
    <row r="28" spans="1:7" s="218" customFormat="1" ht="13.5" customHeight="1">
      <c r="A28" s="886" t="s">
        <v>791</v>
      </c>
      <c r="B28" s="252" t="s">
        <v>2199</v>
      </c>
      <c r="C28" s="253">
        <f ca="1">ROUND((C5+C19+C20)*F27*'数据-取费表'!B21/'数据-取费表'!B20,0)</f>
        <v>2032</v>
      </c>
      <c r="D28" s="239"/>
      <c r="E28" s="240"/>
      <c r="F28" s="250"/>
      <c r="G28" s="251"/>
    </row>
    <row r="29" spans="1:7" s="218" customFormat="1" ht="13.5" customHeight="1">
      <c r="A29" s="886" t="s">
        <v>792</v>
      </c>
      <c r="B29" s="252" t="s">
        <v>2200</v>
      </c>
      <c r="C29" s="242">
        <f ca="1">ROUND(C21*F27*'数据-取费表'!B21/'数据-取费表'!B20,4)</f>
        <v>2E-3</v>
      </c>
      <c r="D29" s="239"/>
      <c r="E29" s="240"/>
      <c r="F29" s="250"/>
      <c r="G29" s="251"/>
    </row>
    <row r="30" spans="1:7" s="218" customFormat="1" ht="13.5" customHeight="1">
      <c r="A30" s="259" t="s">
        <v>2201</v>
      </c>
      <c r="B30" s="214" t="s">
        <v>2202</v>
      </c>
      <c r="C30" s="239">
        <f>ROUND(F30/(1+'数据-取费表'!C42),4)</f>
        <v>5.2400000000000002E-2</v>
      </c>
      <c r="D30" s="240" t="s">
        <v>2197</v>
      </c>
      <c r="E30" s="245"/>
      <c r="F30" s="241">
        <f>'数据-取费表'!B41</f>
        <v>5.5000000000000007E-2</v>
      </c>
      <c r="G30" s="238" t="s">
        <v>2203</v>
      </c>
    </row>
    <row r="31" spans="1:7" ht="16.5" customHeight="1">
      <c r="A31" s="213">
        <v>1</v>
      </c>
      <c r="B31" s="214" t="s">
        <v>2204</v>
      </c>
      <c r="C31" s="215">
        <f ca="1">ROUND((C5+C19+C20+C22+C27)/(1-C21-D22-D27-C30),0)</f>
        <v>25430</v>
      </c>
      <c r="D31" s="234"/>
      <c r="E31" s="215"/>
      <c r="F31" s="254"/>
      <c r="G31" s="238" t="s">
        <v>2205</v>
      </c>
    </row>
    <row r="32" spans="1:7" s="212" customFormat="1" ht="15.75">
      <c r="A32" s="256" t="s">
        <v>2206</v>
      </c>
      <c r="B32" s="257"/>
      <c r="C32" s="257"/>
      <c r="D32" s="257"/>
      <c r="E32" s="257"/>
      <c r="F32" s="257"/>
      <c r="G32" s="258"/>
    </row>
    <row r="33" spans="1:7" s="218" customFormat="1" ht="13.5" customHeight="1">
      <c r="A33" s="259" t="s">
        <v>782</v>
      </c>
      <c r="B33" s="214" t="s">
        <v>2207</v>
      </c>
      <c r="C33" s="260">
        <f ca="1">SUM(C34:C38)</f>
        <v>3868</v>
      </c>
      <c r="D33" s="236"/>
      <c r="E33" s="216"/>
      <c r="F33" s="245"/>
      <c r="G33" s="238"/>
    </row>
    <row r="34" spans="1:7" s="262" customFormat="1" ht="13.5" customHeight="1">
      <c r="A34" s="886" t="s">
        <v>791</v>
      </c>
      <c r="B34" s="219" t="s">
        <v>2208</v>
      </c>
      <c r="C34" s="224">
        <f ca="1">IF(B1="",IF(F34=100%,'数据-取费表'!M16,'数据-取费表'!O16),IF(F34=100%,INDIRECT("'数据-取费表'!m"&amp;$G$1)+INDIRECT("'数据-取费表'!t"&amp;$G$1),INDIRECT("'数据-取费表'!o"&amp;$G$1)+INDIRECT("'数据-取费表'!aq"&amp;$G$1)))</f>
        <v>3480</v>
      </c>
      <c r="D34" s="221"/>
      <c r="E34" s="224"/>
      <c r="F34" s="261">
        <f ca="1">IF('数据-取费表'!B24=0,1,IF(B1="",'数据-取费表'!N16,INDIRECT("'数据-取费表'!n"&amp;$G$1)))</f>
        <v>1</v>
      </c>
      <c r="G34" s="223" t="s">
        <v>2209</v>
      </c>
    </row>
    <row r="35" spans="1:7" ht="13.5" customHeight="1">
      <c r="A35" s="886" t="s">
        <v>796</v>
      </c>
      <c r="B35" s="219" t="s">
        <v>2210</v>
      </c>
      <c r="C35" s="224">
        <f ca="1">ROUND(C34*F35,0)</f>
        <v>104</v>
      </c>
      <c r="D35" s="224"/>
      <c r="E35" s="224"/>
      <c r="F35" s="263">
        <f>'数据-取费表'!B33</f>
        <v>0.03</v>
      </c>
      <c r="G35" s="223" t="s">
        <v>2211</v>
      </c>
    </row>
    <row r="36" spans="1:7" ht="24">
      <c r="A36" s="886" t="s">
        <v>797</v>
      </c>
      <c r="B36" s="219" t="s">
        <v>2212</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2213</v>
      </c>
    </row>
    <row r="37" spans="1:7" s="262" customFormat="1" ht="13.5" customHeight="1">
      <c r="A37" s="886" t="s">
        <v>798</v>
      </c>
      <c r="B37" s="219" t="s">
        <v>2214</v>
      </c>
      <c r="C37" s="253">
        <f ca="1">ROUND(E37*D37*F34/10000,0)</f>
        <v>232</v>
      </c>
      <c r="D37" s="221">
        <f ca="1">D19</f>
        <v>11601.220000000001</v>
      </c>
      <c r="E37" s="253">
        <f>'数据-取费表'!B35</f>
        <v>200</v>
      </c>
      <c r="F37" s="263"/>
      <c r="G37" s="265" t="s">
        <v>2215</v>
      </c>
    </row>
    <row r="38" spans="1:7" ht="13.5" customHeight="1">
      <c r="A38" s="886" t="s">
        <v>799</v>
      </c>
      <c r="B38" s="219" t="s">
        <v>2216</v>
      </c>
      <c r="C38" s="224">
        <f ca="1">ROUND(C34*F38,0)</f>
        <v>52</v>
      </c>
      <c r="D38" s="224"/>
      <c r="E38" s="224"/>
      <c r="F38" s="263">
        <f>'数据-取费表'!B36</f>
        <v>1.4999999999999999E-2</v>
      </c>
      <c r="G38" s="223" t="s">
        <v>2211</v>
      </c>
    </row>
    <row r="39" spans="1:7" s="218" customFormat="1" ht="13.5" customHeight="1">
      <c r="A39" s="259" t="s">
        <v>2217</v>
      </c>
      <c r="B39" s="214" t="s">
        <v>2218</v>
      </c>
      <c r="C39" s="236">
        <f ca="1">ROUND(C33*F20,0)</f>
        <v>77</v>
      </c>
      <c r="D39" s="236"/>
      <c r="E39" s="236"/>
      <c r="F39" s="2532">
        <f>F20</f>
        <v>0.02</v>
      </c>
      <c r="G39" s="238" t="s">
        <v>2219</v>
      </c>
    </row>
    <row r="40" spans="1:7" s="218" customFormat="1" ht="13.5" customHeight="1">
      <c r="A40" s="259" t="s">
        <v>2220</v>
      </c>
      <c r="B40" s="214" t="s">
        <v>2221</v>
      </c>
      <c r="C40" s="1493">
        <f>F21</f>
        <v>0.02</v>
      </c>
      <c r="D40" s="240" t="s">
        <v>2222</v>
      </c>
      <c r="E40" s="236"/>
      <c r="F40" s="2532">
        <f>F21</f>
        <v>0.02</v>
      </c>
      <c r="G40" s="238" t="s">
        <v>2223</v>
      </c>
    </row>
    <row r="41" spans="1:7" s="218" customFormat="1" ht="13.5" customHeight="1">
      <c r="A41" s="259" t="s">
        <v>2224</v>
      </c>
      <c r="B41" s="214" t="s">
        <v>2225</v>
      </c>
      <c r="C41" s="236">
        <f ca="1">ROUND(SUM(C42:C43),0)</f>
        <v>113</v>
      </c>
      <c r="D41" s="239">
        <f ca="1">C44</f>
        <v>5.9999999999999995E-4</v>
      </c>
      <c r="E41" s="240" t="s">
        <v>2222</v>
      </c>
      <c r="F41" s="2533">
        <f ca="1">F22</f>
        <v>3.85E-2</v>
      </c>
      <c r="G41" s="238" t="str">
        <f>IF('数据-取费表'!B22&lt;=1,"单利计息","复利计息")</f>
        <v>复利计息</v>
      </c>
    </row>
    <row r="42" spans="1:7" ht="13.5" customHeight="1">
      <c r="A42" s="886" t="s">
        <v>791</v>
      </c>
      <c r="B42" s="219" t="s">
        <v>2226</v>
      </c>
      <c r="C42" s="242">
        <f ca="1">ROUND(IF('数据-取费表'!B22&lt;=1,C33*F22*'数据-取费表'!B21/2,C33*(POWER((1+F22),'数据-取费表'!B21/2)-1)),0)</f>
        <v>111</v>
      </c>
      <c r="D42" s="242"/>
      <c r="E42" s="242"/>
      <c r="F42" s="243"/>
      <c r="G42" s="3259" t="s">
        <v>2227</v>
      </c>
    </row>
    <row r="43" spans="1:7" ht="13.5" customHeight="1">
      <c r="A43" s="886" t="s">
        <v>792</v>
      </c>
      <c r="B43" s="219" t="s">
        <v>2228</v>
      </c>
      <c r="C43" s="242">
        <f ca="1">ROUND(IF('数据-取费表'!B22&lt;=1,C39*F22*'数据-取费表'!B21/2,C39*(POWER((1+F22),'数据-取费表'!B21/2)-1)),0)</f>
        <v>2</v>
      </c>
      <c r="D43" s="242"/>
      <c r="E43" s="242"/>
      <c r="F43" s="243"/>
      <c r="G43" s="3260"/>
    </row>
    <row r="44" spans="1:7" ht="13.5" customHeight="1">
      <c r="A44" s="886" t="s">
        <v>793</v>
      </c>
      <c r="B44" s="219" t="s">
        <v>2229</v>
      </c>
      <c r="C44" s="242">
        <f ca="1">ROUND(IF('数据-取费表'!B22&lt;=1,C40*F22*'数据-取费表'!B21/2,C40*(POWER((1+F22),'数据-取费表'!B21/2)-1)),4)</f>
        <v>5.9999999999999995E-4</v>
      </c>
      <c r="D44" s="242"/>
      <c r="E44" s="242"/>
      <c r="F44" s="243"/>
      <c r="G44" s="3261"/>
    </row>
    <row r="45" spans="1:7" s="218" customFormat="1" ht="13.5" customHeight="1">
      <c r="A45" s="259" t="s">
        <v>2230</v>
      </c>
      <c r="B45" s="248" t="s">
        <v>2196</v>
      </c>
      <c r="C45" s="249">
        <f ca="1">C46</f>
        <v>395</v>
      </c>
      <c r="D45" s="239">
        <f ca="1">C47</f>
        <v>2E-3</v>
      </c>
      <c r="E45" s="240" t="s">
        <v>2222</v>
      </c>
      <c r="F45" s="2534">
        <f ca="1">F27</f>
        <v>0.1</v>
      </c>
      <c r="G45" s="251" t="s">
        <v>2231</v>
      </c>
    </row>
    <row r="46" spans="1:7" s="218" customFormat="1" ht="13.5" customHeight="1">
      <c r="A46" s="886" t="s">
        <v>791</v>
      </c>
      <c r="B46" s="252" t="s">
        <v>2232</v>
      </c>
      <c r="C46" s="253">
        <f ca="1">ROUND((C33+C39)*F27,0)</f>
        <v>395</v>
      </c>
      <c r="D46" s="267"/>
      <c r="E46" s="240"/>
      <c r="F46" s="250"/>
      <c r="G46" s="251"/>
    </row>
    <row r="47" spans="1:7" s="218" customFormat="1" ht="13.5" customHeight="1">
      <c r="A47" s="886" t="s">
        <v>792</v>
      </c>
      <c r="B47" s="252" t="s">
        <v>2233</v>
      </c>
      <c r="C47" s="242">
        <f ca="1">ROUND(C40*F27,4)</f>
        <v>2E-3</v>
      </c>
      <c r="D47" s="267"/>
      <c r="E47" s="240"/>
      <c r="F47" s="250"/>
      <c r="G47" s="251"/>
    </row>
    <row r="48" spans="1:7" s="218" customFormat="1" ht="13.5" customHeight="1">
      <c r="A48" s="259" t="s">
        <v>2195</v>
      </c>
      <c r="B48" s="214" t="s">
        <v>2234</v>
      </c>
      <c r="C48" s="1493">
        <f>ROUND(F30/(1+'数据-取费表'!C42),4)</f>
        <v>5.2400000000000002E-2</v>
      </c>
      <c r="D48" s="240" t="s">
        <v>2222</v>
      </c>
      <c r="E48" s="236"/>
      <c r="F48" s="2533">
        <f>F30</f>
        <v>5.5000000000000007E-2</v>
      </c>
      <c r="G48" s="238" t="s">
        <v>2235</v>
      </c>
    </row>
    <row r="49" spans="1:7" ht="16.5" customHeight="1">
      <c r="A49" s="259" t="s">
        <v>2201</v>
      </c>
      <c r="B49" s="214" t="s">
        <v>2236</v>
      </c>
      <c r="C49" s="236">
        <f ca="1">ROUND((C33+C39+C41+C45)/(1-C40-D41-D45-C48),0)</f>
        <v>4814</v>
      </c>
      <c r="D49" s="236"/>
      <c r="E49" s="236"/>
      <c r="F49" s="268"/>
      <c r="G49" s="238" t="s">
        <v>2237</v>
      </c>
    </row>
    <row r="50" spans="1:7" s="262" customFormat="1" ht="24">
      <c r="A50" s="259" t="s">
        <v>2238</v>
      </c>
      <c r="B50" s="214" t="s">
        <v>2239</v>
      </c>
      <c r="C50" s="236"/>
      <c r="D50" s="236"/>
      <c r="E50" s="236"/>
      <c r="F50" s="268">
        <f>IF('数据-取费表'!B24=0,'数据-取费表'!N16,1)</f>
        <v>0.98</v>
      </c>
      <c r="G50" s="251" t="s">
        <v>2240</v>
      </c>
    </row>
    <row r="51" spans="1:7" ht="16.5" customHeight="1">
      <c r="A51" s="259" t="s">
        <v>2241</v>
      </c>
      <c r="B51" s="214" t="s">
        <v>2242</v>
      </c>
      <c r="C51" s="236">
        <f ca="1">ROUND(C49*F50,0)</f>
        <v>4718</v>
      </c>
      <c r="D51" s="236"/>
      <c r="E51" s="236"/>
      <c r="F51" s="268"/>
      <c r="G51" s="238" t="s">
        <v>2243</v>
      </c>
    </row>
    <row r="52" spans="1:7" s="212" customFormat="1" ht="16.5" thickBot="1">
      <c r="A52" s="269" t="s">
        <v>2244</v>
      </c>
      <c r="B52" s="270"/>
      <c r="C52" s="271">
        <f ca="1">C31+C51</f>
        <v>30148</v>
      </c>
      <c r="D52" s="270"/>
      <c r="E52" s="270"/>
      <c r="F52" s="270"/>
      <c r="G52" s="272"/>
    </row>
    <row r="55" spans="1:7" ht="15">
      <c r="B55" s="274" t="s">
        <v>2245</v>
      </c>
      <c r="C55" s="275"/>
    </row>
    <row r="56" spans="1:7">
      <c r="B56" s="277" t="s">
        <v>1478</v>
      </c>
      <c r="C56" s="279">
        <f ca="1">1-C57</f>
        <v>0.84399999999999997</v>
      </c>
    </row>
    <row r="57" spans="1:7">
      <c r="B57" s="277" t="s">
        <v>1479</v>
      </c>
      <c r="C57" s="278">
        <f ca="1">ROUND(C51/C52,3)</f>
        <v>0.156</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2144</v>
      </c>
      <c r="B1" s="1652"/>
      <c r="C1" s="2042" t="s">
        <v>2246</v>
      </c>
      <c r="D1" s="202"/>
      <c r="E1" s="202"/>
      <c r="F1" s="202"/>
      <c r="G1" s="1286">
        <f>MATCH(B1,'数据-取费表'!A6:A16,0)+5</f>
        <v>7</v>
      </c>
      <c r="H1" s="1190" t="str">
        <f>IF(ISERROR(FIND("住宅",B1)),"非住宅","住宅")</f>
        <v>非住宅</v>
      </c>
    </row>
    <row r="2" spans="1:8" s="204" customFormat="1" ht="18" customHeight="1">
      <c r="A2" s="205" t="s">
        <v>2145</v>
      </c>
      <c r="B2" s="206">
        <f ca="1">ROUND(IF(D2="——",C52/10000,C52/10000-E2),0)</f>
        <v>5312</v>
      </c>
      <c r="C2" s="203" t="s">
        <v>2146</v>
      </c>
      <c r="D2" s="2036" t="s">
        <v>70</v>
      </c>
      <c r="E2" s="1329" t="e">
        <f ca="1">SUMIF(INDIRECT("'"&amp;G2&amp;"'"&amp;"!A:A"),"承租人权益价值",INDIRECT("'"&amp;G2&amp;"'"&amp;"!c:c"))</f>
        <v>#REF!</v>
      </c>
      <c r="F2" s="2037" t="s">
        <v>2146</v>
      </c>
      <c r="G2" s="2038"/>
    </row>
    <row r="3" spans="1:8" s="204" customFormat="1" ht="18" customHeight="1" thickBot="1">
      <c r="A3" s="207" t="s">
        <v>2147</v>
      </c>
      <c r="B3" s="208">
        <f ca="1">ROUND(B2*10000/(IF(B1="",'数据-汇总表'!E3,INDIRECT("'数据-取费表'!k"&amp;$G$1))),0)</f>
        <v>4579</v>
      </c>
      <c r="C3" s="203" t="s">
        <v>2148</v>
      </c>
      <c r="D3" s="203"/>
      <c r="E3" s="203"/>
      <c r="F3" s="203"/>
      <c r="G3" s="203"/>
    </row>
    <row r="4" spans="1:8" s="212" customFormat="1" ht="15.75">
      <c r="A4" s="209" t="s">
        <v>2149</v>
      </c>
      <c r="B4" s="210"/>
      <c r="C4" s="210"/>
      <c r="D4" s="210"/>
      <c r="E4" s="210"/>
      <c r="F4" s="210"/>
      <c r="G4" s="211"/>
    </row>
    <row r="5" spans="1:8" s="218" customFormat="1" ht="13.5" customHeight="1">
      <c r="A5" s="259" t="s">
        <v>2150</v>
      </c>
      <c r="B5" s="214" t="s">
        <v>2151</v>
      </c>
      <c r="C5" s="215">
        <f ca="1">C6+C7+C8</f>
        <v>2320244</v>
      </c>
      <c r="D5" s="215" t="s">
        <v>2152</v>
      </c>
      <c r="E5" s="216" t="s">
        <v>2153</v>
      </c>
      <c r="F5" s="216" t="s">
        <v>2154</v>
      </c>
      <c r="G5" s="217"/>
    </row>
    <row r="6" spans="1:8" s="218" customFormat="1" ht="13.5" customHeight="1">
      <c r="A6" s="884" t="s">
        <v>2155</v>
      </c>
      <c r="B6" s="219" t="s">
        <v>2156</v>
      </c>
      <c r="C6" s="220"/>
      <c r="D6" s="221"/>
      <c r="E6" s="222"/>
      <c r="F6" s="222"/>
      <c r="G6" s="223"/>
    </row>
    <row r="7" spans="1:8" s="218" customFormat="1" ht="13.5" customHeight="1">
      <c r="A7" s="884" t="s">
        <v>2157</v>
      </c>
      <c r="B7" s="219" t="s">
        <v>2158</v>
      </c>
      <c r="C7" s="224">
        <f>ROUND(C6*F7,0)</f>
        <v>0</v>
      </c>
      <c r="D7" s="224"/>
      <c r="E7" s="222"/>
      <c r="F7" s="225">
        <f>IF(项目基本情况!B8="出让",0,'数据-取费表'!B48+'数据-取费表'!B49)</f>
        <v>3.0499999999999999E-2</v>
      </c>
      <c r="G7" s="223"/>
    </row>
    <row r="8" spans="1:8" s="227" customFormat="1">
      <c r="A8" s="884" t="s">
        <v>2159</v>
      </c>
      <c r="B8" s="219" t="s">
        <v>2160</v>
      </c>
      <c r="C8" s="224">
        <f ca="1">IF(G8="已包含在土地购买价格中",0,C9+C10)</f>
        <v>2320244</v>
      </c>
      <c r="D8" s="226"/>
      <c r="E8" s="224"/>
      <c r="F8" s="225"/>
      <c r="G8" s="2039"/>
    </row>
    <row r="9" spans="1:8" s="218" customFormat="1" ht="13.5" customHeight="1">
      <c r="A9" s="885" t="s">
        <v>800</v>
      </c>
      <c r="B9" s="228" t="s">
        <v>2161</v>
      </c>
      <c r="C9" s="229">
        <f ca="1">ROUND(D9*E9,0)</f>
        <v>0</v>
      </c>
      <c r="D9" s="952">
        <f ca="1">IF(B1="",'数据-汇总表'!E5,IF(INDIRECT("'数据-取费表'!c"&amp;$G$1)="住宅",INDIRECT("'数据-取费表'!k"&amp;$G$1),0))</f>
        <v>0</v>
      </c>
      <c r="E9" s="229">
        <f>'数据-取费表'!B27</f>
        <v>160</v>
      </c>
      <c r="F9" s="225"/>
      <c r="G9" s="230"/>
    </row>
    <row r="10" spans="1:8" s="218" customFormat="1" ht="13.5" customHeight="1">
      <c r="A10" s="885" t="s">
        <v>801</v>
      </c>
      <c r="B10" s="228" t="s">
        <v>2163</v>
      </c>
      <c r="C10" s="229">
        <f ca="1">ROUND(D10*E10,0)</f>
        <v>2320244</v>
      </c>
      <c r="D10" s="952">
        <f ca="1">IF(B1="",'数据-汇总表'!E6,IF(INDIRECT("'数据-取费表'!c"&amp;$G$1)="住宅",INDIRECT("'数据-取费表'!s"&amp;$G$1),INDIRECT("'数据-取费表'!k"&amp;$G$1)+INDIRECT("'数据-取费表'!s"&amp;$G$1)))</f>
        <v>11601.220000000001</v>
      </c>
      <c r="E10" s="229">
        <f>'数据-取费表'!B28</f>
        <v>200</v>
      </c>
      <c r="F10" s="225"/>
      <c r="G10" s="230"/>
    </row>
    <row r="11" spans="1:8" s="218" customFormat="1" ht="13.5" hidden="1" customHeight="1">
      <c r="A11" s="231" t="s">
        <v>7</v>
      </c>
      <c r="B11" s="219" t="s">
        <v>2164</v>
      </c>
      <c r="C11" s="215"/>
      <c r="D11" s="954"/>
      <c r="E11" s="222"/>
      <c r="F11" s="222"/>
      <c r="G11" s="223"/>
    </row>
    <row r="12" spans="1:8" s="218" customFormat="1" ht="13.5" hidden="1" customHeight="1">
      <c r="A12" s="231" t="s">
        <v>8</v>
      </c>
      <c r="B12" s="219" t="s">
        <v>2247</v>
      </c>
      <c r="C12" s="215">
        <v>0</v>
      </c>
      <c r="D12" s="954"/>
      <c r="E12" s="232"/>
      <c r="F12" s="225">
        <v>3.0499999999999999E-2</v>
      </c>
      <c r="G12" s="223"/>
    </row>
    <row r="13" spans="1:8" s="218" customFormat="1" ht="13.5" hidden="1" customHeight="1">
      <c r="A13" s="231" t="s">
        <v>9</v>
      </c>
      <c r="B13" s="219" t="s">
        <v>2248</v>
      </c>
      <c r="C13" s="215"/>
      <c r="D13" s="954"/>
      <c r="E13" s="222"/>
      <c r="F13" s="222"/>
      <c r="G13" s="223"/>
    </row>
    <row r="14" spans="1:8" s="218" customFormat="1" ht="13.5" hidden="1" customHeight="1">
      <c r="A14" s="231" t="s">
        <v>10</v>
      </c>
      <c r="B14" s="219" t="s">
        <v>2160</v>
      </c>
      <c r="C14" s="215"/>
      <c r="D14" s="954"/>
      <c r="E14" s="222"/>
      <c r="F14" s="222"/>
      <c r="G14" s="223" t="s">
        <v>2249</v>
      </c>
    </row>
    <row r="15" spans="1:8" s="218" customFormat="1" ht="13.5" hidden="1" customHeight="1">
      <c r="A15" s="231" t="s">
        <v>11</v>
      </c>
      <c r="B15" s="219" t="s">
        <v>2250</v>
      </c>
      <c r="C15" s="224"/>
      <c r="D15" s="954"/>
      <c r="E15" s="222"/>
      <c r="F15" s="222"/>
      <c r="G15" s="223" t="s">
        <v>2251</v>
      </c>
    </row>
    <row r="16" spans="1:8" s="218" customFormat="1" ht="13.5" hidden="1" customHeight="1">
      <c r="A16" s="231" t="s">
        <v>12</v>
      </c>
      <c r="B16" s="219" t="s">
        <v>2160</v>
      </c>
      <c r="C16" s="224"/>
      <c r="D16" s="954"/>
      <c r="E16" s="222"/>
      <c r="F16" s="222"/>
      <c r="G16" s="223"/>
    </row>
    <row r="17" spans="1:7" s="218" customFormat="1" ht="13.5" hidden="1" customHeight="1">
      <c r="A17" s="231" t="s">
        <v>13</v>
      </c>
      <c r="B17" s="219" t="s">
        <v>2252</v>
      </c>
      <c r="C17" s="233"/>
      <c r="D17" s="955"/>
      <c r="E17" s="233"/>
      <c r="F17" s="233"/>
      <c r="G17" s="223" t="s">
        <v>2251</v>
      </c>
    </row>
    <row r="18" spans="1:7" s="218" customFormat="1" ht="13.5" hidden="1" customHeight="1">
      <c r="A18" s="231" t="s">
        <v>14</v>
      </c>
      <c r="B18" s="219" t="s">
        <v>2253</v>
      </c>
      <c r="C18" s="224">
        <v>0</v>
      </c>
      <c r="D18" s="954"/>
      <c r="E18" s="222"/>
      <c r="F18" s="225">
        <v>3.0499999999999999E-2</v>
      </c>
      <c r="G18" s="223" t="s">
        <v>2254</v>
      </c>
    </row>
    <row r="19" spans="1:7" s="227" customFormat="1" ht="13.5" customHeight="1">
      <c r="A19" s="259" t="s">
        <v>2255</v>
      </c>
      <c r="B19" s="214" t="s">
        <v>2256</v>
      </c>
      <c r="C19" s="215">
        <f ca="1">IF(G19="已包含在土地取得成本中","0",ROUND(D19*E19,0))</f>
        <v>2320244</v>
      </c>
      <c r="D19" s="956">
        <f ca="1">D9+D10</f>
        <v>11601.220000000001</v>
      </c>
      <c r="E19" s="215">
        <f>'数据-取费表'!B31</f>
        <v>200</v>
      </c>
      <c r="F19" s="235"/>
      <c r="G19" s="2039"/>
    </row>
    <row r="20" spans="1:7" s="218" customFormat="1" ht="13.5" customHeight="1">
      <c r="A20" s="259" t="s">
        <v>2257</v>
      </c>
      <c r="B20" s="214" t="s">
        <v>2258</v>
      </c>
      <c r="C20" s="236">
        <f ca="1">ROUND((C5+C19)*F20,0)</f>
        <v>92810</v>
      </c>
      <c r="D20" s="236"/>
      <c r="E20" s="236"/>
      <c r="F20" s="237">
        <f>'数据-取费表'!B37</f>
        <v>0.02</v>
      </c>
      <c r="G20" s="238" t="s">
        <v>2259</v>
      </c>
    </row>
    <row r="21" spans="1:7" s="218" customFormat="1" ht="13.5" customHeight="1">
      <c r="A21" s="259" t="s">
        <v>2260</v>
      </c>
      <c r="B21" s="214" t="s">
        <v>2261</v>
      </c>
      <c r="C21" s="239">
        <f>F21</f>
        <v>0.02</v>
      </c>
      <c r="D21" s="240" t="s">
        <v>2262</v>
      </c>
      <c r="E21" s="236"/>
      <c r="F21" s="237">
        <f>'数据-取费表'!B38</f>
        <v>0.02</v>
      </c>
      <c r="G21" s="238" t="s">
        <v>2263</v>
      </c>
    </row>
    <row r="22" spans="1:7" s="218" customFormat="1" ht="13.5" customHeight="1">
      <c r="A22" s="259" t="s">
        <v>2264</v>
      </c>
      <c r="B22" s="214" t="s">
        <v>2265</v>
      </c>
      <c r="C22" s="1287">
        <f ca="1">ROUND(SUM(C23:C25),0)</f>
        <v>273219</v>
      </c>
      <c r="D22" s="239">
        <f ca="1">C26</f>
        <v>5.9999999999999995E-4</v>
      </c>
      <c r="E22" s="240" t="s">
        <v>2262</v>
      </c>
      <c r="F22" s="241">
        <f ca="1">'数据-取费表'!B40</f>
        <v>3.85E-2</v>
      </c>
      <c r="G22" s="238" t="str">
        <f>IF('数据-取费表'!B22&lt;=1,"单利计息","复利计息")</f>
        <v>复利计息</v>
      </c>
    </row>
    <row r="23" spans="1:7" s="218" customFormat="1" ht="13.5" customHeight="1">
      <c r="A23" s="886" t="s">
        <v>2155</v>
      </c>
      <c r="B23" s="219" t="s">
        <v>2266</v>
      </c>
      <c r="C23" s="1288">
        <f ca="1">ROUND(IF('数据-取费表'!B22&lt;=1,C5*F22*'数据-取费表'!B22,C5*(POWER((1+F22),'数据-取费表'!B22)-1)),0)</f>
        <v>135276</v>
      </c>
      <c r="D23" s="242"/>
      <c r="E23" s="242"/>
      <c r="F23" s="243"/>
      <c r="G23" s="244" t="s">
        <v>2267</v>
      </c>
    </row>
    <row r="24" spans="1:7" s="218" customFormat="1" ht="13.5" customHeight="1">
      <c r="A24" s="886" t="s">
        <v>2157</v>
      </c>
      <c r="B24" s="219" t="s">
        <v>2268</v>
      </c>
      <c r="C24" s="1288">
        <f ca="1">ROUND(IF('数据-取费表'!B22&lt;=1,C19*F22*('数据-取费表'!B19/2+'数据-取费表'!B20),C19*(POWER((1+F22),('数据-取费表'!B19/2+'数据-取费表'!B20))-1)),0)</f>
        <v>135276</v>
      </c>
      <c r="D24" s="242"/>
      <c r="E24" s="242"/>
      <c r="F24" s="243"/>
      <c r="G24" s="244" t="s">
        <v>2269</v>
      </c>
    </row>
    <row r="25" spans="1:7" s="218" customFormat="1" ht="24">
      <c r="A25" s="886" t="s">
        <v>2159</v>
      </c>
      <c r="B25" s="219" t="s">
        <v>2270</v>
      </c>
      <c r="C25" s="1288">
        <f ca="1">ROUND(IF('数据-取费表'!B22&lt;=1,C20*F22*'数据-取费表'!B22/2,C20*(POWER((1+F22),'数据-取费表'!B22/2)-1)),0)</f>
        <v>2667</v>
      </c>
      <c r="D25" s="242"/>
      <c r="E25" s="245"/>
      <c r="F25" s="243"/>
      <c r="G25" s="246" t="s">
        <v>2271</v>
      </c>
    </row>
    <row r="26" spans="1:7" s="218" customFormat="1">
      <c r="A26" s="886" t="s">
        <v>795</v>
      </c>
      <c r="B26" s="219" t="s">
        <v>2194</v>
      </c>
      <c r="C26" s="242">
        <f ca="1">ROUND(IF('数据-取费表'!B22&lt;=1,F21*F22*'数据-取费表'!B22/2,F21*(POWER((1+F22),'数据-取费表'!B22/2)-1)),4)</f>
        <v>5.9999999999999995E-4</v>
      </c>
      <c r="D26" s="242"/>
      <c r="E26" s="245"/>
      <c r="F26" s="243"/>
      <c r="G26" s="247"/>
    </row>
    <row r="27" spans="1:7" s="218" customFormat="1" ht="24.75">
      <c r="A27" s="259" t="s">
        <v>2195</v>
      </c>
      <c r="B27" s="248" t="s">
        <v>2196</v>
      </c>
      <c r="C27" s="249">
        <f ca="1">C28</f>
        <v>473330</v>
      </c>
      <c r="D27" s="239">
        <f ca="1">C29</f>
        <v>2E-3</v>
      </c>
      <c r="E27" s="240" t="s">
        <v>2197</v>
      </c>
      <c r="F27" s="250">
        <f ca="1">IF(B1="",'数据-取费表'!Q16,INDIRECT("'数据-取费表'!q"&amp;$G$1))</f>
        <v>0.1</v>
      </c>
      <c r="G27" s="251" t="s">
        <v>2198</v>
      </c>
    </row>
    <row r="28" spans="1:7" s="218" customFormat="1" ht="13.5" customHeight="1">
      <c r="A28" s="886" t="s">
        <v>791</v>
      </c>
      <c r="B28" s="252" t="s">
        <v>2199</v>
      </c>
      <c r="C28" s="253">
        <f ca="1">ROUND((C5+C19+C20)*F27,0)</f>
        <v>473330</v>
      </c>
      <c r="D28" s="239"/>
      <c r="E28" s="240"/>
      <c r="F28" s="250"/>
      <c r="G28" s="251"/>
    </row>
    <row r="29" spans="1:7" s="218" customFormat="1" ht="13.5" customHeight="1">
      <c r="A29" s="886" t="s">
        <v>792</v>
      </c>
      <c r="B29" s="252" t="s">
        <v>2200</v>
      </c>
      <c r="C29" s="242">
        <f ca="1">ROUND(C21*F27,4)</f>
        <v>2E-3</v>
      </c>
      <c r="D29" s="239"/>
      <c r="E29" s="240"/>
      <c r="F29" s="250"/>
      <c r="G29" s="251"/>
    </row>
    <row r="30" spans="1:7" s="218" customFormat="1" ht="13.5" customHeight="1">
      <c r="A30" s="259" t="s">
        <v>2201</v>
      </c>
      <c r="B30" s="214" t="s">
        <v>2202</v>
      </c>
      <c r="C30" s="239">
        <f>ROUND(F30/(1+'数据-取费表'!C42),4)</f>
        <v>5.2400000000000002E-2</v>
      </c>
      <c r="D30" s="240" t="s">
        <v>2197</v>
      </c>
      <c r="E30" s="245"/>
      <c r="F30" s="241">
        <f>'数据-取费表'!B41</f>
        <v>5.5000000000000007E-2</v>
      </c>
      <c r="G30" s="238" t="s">
        <v>2203</v>
      </c>
    </row>
    <row r="31" spans="1:7" ht="16.5" customHeight="1">
      <c r="A31" s="213">
        <v>1</v>
      </c>
      <c r="B31" s="214" t="s">
        <v>2204</v>
      </c>
      <c r="C31" s="215">
        <f ca="1">ROUND((C5+C19+C20+C22+C27)/(1-C21-D22-D27-C30),0)</f>
        <v>5924159</v>
      </c>
      <c r="D31" s="234"/>
      <c r="E31" s="215"/>
      <c r="F31" s="254"/>
      <c r="G31" s="238" t="s">
        <v>2205</v>
      </c>
    </row>
    <row r="32" spans="1:7" s="212" customFormat="1" ht="15.75">
      <c r="A32" s="256" t="s">
        <v>2272</v>
      </c>
      <c r="B32" s="257"/>
      <c r="C32" s="257"/>
      <c r="D32" s="257"/>
      <c r="E32" s="257"/>
      <c r="F32" s="257"/>
      <c r="G32" s="258"/>
    </row>
    <row r="33" spans="1:7" s="218" customFormat="1" ht="13.5" customHeight="1">
      <c r="A33" s="259" t="s">
        <v>782</v>
      </c>
      <c r="B33" s="214" t="s">
        <v>2273</v>
      </c>
      <c r="C33" s="260">
        <f ca="1">SUM(C34:C38)</f>
        <v>38690069</v>
      </c>
      <c r="D33" s="236"/>
      <c r="E33" s="216"/>
      <c r="F33" s="245"/>
      <c r="G33" s="238"/>
    </row>
    <row r="34" spans="1:7" s="262" customFormat="1" ht="13.5" customHeight="1">
      <c r="A34" s="886" t="s">
        <v>791</v>
      </c>
      <c r="B34" s="219" t="s">
        <v>2208</v>
      </c>
      <c r="C34" s="224">
        <f ca="1">ROUND(IF(B1="",SUMPRODUCT('数据-取费表'!K6:K14,'数据-取费表'!L6:L14),INDIRECT("'数据-取费表'!l"&amp;$G$1)*INDIRECT("'数据-取费表'!k"&amp;$G$1)+'数据-取费表'!L14*INDIRECT("'数据-取费表'!S"&amp;$G$1)),0)</f>
        <v>34803660</v>
      </c>
      <c r="D34" s="221"/>
      <c r="E34" s="224"/>
      <c r="F34" s="261"/>
      <c r="G34" s="223"/>
    </row>
    <row r="35" spans="1:7" ht="13.5" customHeight="1">
      <c r="A35" s="886" t="s">
        <v>796</v>
      </c>
      <c r="B35" s="219" t="s">
        <v>2210</v>
      </c>
      <c r="C35" s="224">
        <f ca="1">ROUND(C34*F35,0)</f>
        <v>1044110</v>
      </c>
      <c r="D35" s="224"/>
      <c r="E35" s="224"/>
      <c r="F35" s="263">
        <f>'数据-取费表'!B33</f>
        <v>0.03</v>
      </c>
      <c r="G35" s="223" t="s">
        <v>2211</v>
      </c>
    </row>
    <row r="36" spans="1:7" ht="24">
      <c r="A36" s="886" t="s">
        <v>797</v>
      </c>
      <c r="B36" s="219" t="s">
        <v>2212</v>
      </c>
      <c r="C36" s="224">
        <f ca="1">ROUND(IF(B1="",SUM('数据-取费表'!AP6:AP13)*F36,IF(INDIRECT("'数据-取费表'!c"&amp;$G$1)="住宅",INDIRECT("'数据-取费表'!k"&amp;$G$1)*INDIRECT("'数据-取费表'!l"&amp;$G$1)*F36,0)),0)</f>
        <v>0</v>
      </c>
      <c r="D36" s="224"/>
      <c r="E36" s="224"/>
      <c r="F36" s="263">
        <f>'数据-取费表'!B34</f>
        <v>0</v>
      </c>
      <c r="G36" s="264" t="s">
        <v>2213</v>
      </c>
    </row>
    <row r="37" spans="1:7" s="262" customFormat="1" ht="13.5" customHeight="1">
      <c r="A37" s="886" t="s">
        <v>798</v>
      </c>
      <c r="B37" s="219" t="s">
        <v>2214</v>
      </c>
      <c r="C37" s="253">
        <f ca="1">ROUND(E37*D37,0)</f>
        <v>2320244</v>
      </c>
      <c r="D37" s="221">
        <f ca="1">D19</f>
        <v>11601.220000000001</v>
      </c>
      <c r="E37" s="253">
        <f>'数据-取费表'!B35</f>
        <v>200</v>
      </c>
      <c r="F37" s="263"/>
      <c r="G37" s="265"/>
    </row>
    <row r="38" spans="1:7" ht="13.5" customHeight="1">
      <c r="A38" s="886" t="s">
        <v>799</v>
      </c>
      <c r="B38" s="219" t="s">
        <v>2216</v>
      </c>
      <c r="C38" s="224">
        <f ca="1">ROUND(C34*F38,0)</f>
        <v>522055</v>
      </c>
      <c r="D38" s="224"/>
      <c r="E38" s="224"/>
      <c r="F38" s="263">
        <f>'数据-取费表'!B36</f>
        <v>1.4999999999999999E-2</v>
      </c>
      <c r="G38" s="223" t="s">
        <v>2211</v>
      </c>
    </row>
    <row r="39" spans="1:7" s="218" customFormat="1" ht="13.5" customHeight="1">
      <c r="A39" s="259" t="s">
        <v>2217</v>
      </c>
      <c r="B39" s="214" t="s">
        <v>2218</v>
      </c>
      <c r="C39" s="236">
        <f ca="1">ROUND(C33*F20,0)</f>
        <v>773801</v>
      </c>
      <c r="D39" s="236"/>
      <c r="E39" s="236"/>
      <c r="F39" s="2532">
        <f>F20</f>
        <v>0.02</v>
      </c>
      <c r="G39" s="238" t="s">
        <v>2219</v>
      </c>
    </row>
    <row r="40" spans="1:7" s="218" customFormat="1" ht="13.5" customHeight="1">
      <c r="A40" s="259" t="s">
        <v>2220</v>
      </c>
      <c r="B40" s="214" t="s">
        <v>2221</v>
      </c>
      <c r="C40" s="1493">
        <f>F21</f>
        <v>0.02</v>
      </c>
      <c r="D40" s="240" t="s">
        <v>2222</v>
      </c>
      <c r="E40" s="236"/>
      <c r="F40" s="2532">
        <f>F21</f>
        <v>0.02</v>
      </c>
      <c r="G40" s="238" t="s">
        <v>2223</v>
      </c>
    </row>
    <row r="41" spans="1:7" s="218" customFormat="1" ht="13.5" customHeight="1">
      <c r="A41" s="259" t="s">
        <v>2224</v>
      </c>
      <c r="B41" s="214" t="s">
        <v>2225</v>
      </c>
      <c r="C41" s="236">
        <f ca="1">ROUND(SUM(C42:C43),0)</f>
        <v>1134122</v>
      </c>
      <c r="D41" s="239">
        <f ca="1">C44</f>
        <v>5.9999999999999995E-4</v>
      </c>
      <c r="E41" s="240" t="s">
        <v>2222</v>
      </c>
      <c r="F41" s="2533">
        <f ca="1">F22</f>
        <v>3.85E-2</v>
      </c>
      <c r="G41" s="238" t="str">
        <f>IF('数据-取费表'!B22&lt;=1,"单利计息","复利计息")</f>
        <v>复利计息</v>
      </c>
    </row>
    <row r="42" spans="1:7" ht="13.5" customHeight="1">
      <c r="A42" s="886" t="s">
        <v>791</v>
      </c>
      <c r="B42" s="219" t="s">
        <v>2226</v>
      </c>
      <c r="C42" s="242">
        <f ca="1">ROUND(IF('数据-取费表'!B22&lt;=1,C33*F22*'数据-取费表'!B20/2,C33*(POWER((1+F22),'数据-取费表'!B20/2)-1)),0)</f>
        <v>1111884</v>
      </c>
      <c r="D42" s="242"/>
      <c r="E42" s="242"/>
      <c r="F42" s="243"/>
      <c r="G42" s="3259" t="s">
        <v>2274</v>
      </c>
    </row>
    <row r="43" spans="1:7" ht="13.5" customHeight="1">
      <c r="A43" s="886" t="s">
        <v>792</v>
      </c>
      <c r="B43" s="219" t="s">
        <v>2228</v>
      </c>
      <c r="C43" s="242">
        <f ca="1">ROUND(IF('数据-取费表'!B22&lt;=1,C39*F22*'数据-取费表'!B20/2,C39*(POWER((1+F22),'数据-取费表'!B20/2)-1)),0)</f>
        <v>22238</v>
      </c>
      <c r="D43" s="242"/>
      <c r="E43" s="242"/>
      <c r="F43" s="243"/>
      <c r="G43" s="3260"/>
    </row>
    <row r="44" spans="1:7" ht="13.5" customHeight="1">
      <c r="A44" s="886" t="s">
        <v>793</v>
      </c>
      <c r="B44" s="219" t="s">
        <v>2229</v>
      </c>
      <c r="C44" s="242">
        <f ca="1">ROUND(IF('数据-取费表'!B22&lt;=1,C40*F22*'数据-取费表'!B20/2,C40*(POWER((1+F22),'数据-取费表'!B20/2)-1)),4)</f>
        <v>5.9999999999999995E-4</v>
      </c>
      <c r="D44" s="242"/>
      <c r="E44" s="242"/>
      <c r="F44" s="243"/>
      <c r="G44" s="3261"/>
    </row>
    <row r="45" spans="1:7" s="218" customFormat="1" ht="13.5" customHeight="1">
      <c r="A45" s="259" t="s">
        <v>2230</v>
      </c>
      <c r="B45" s="248" t="s">
        <v>2196</v>
      </c>
      <c r="C45" s="249">
        <f ca="1">C46</f>
        <v>3946387</v>
      </c>
      <c r="D45" s="239">
        <f ca="1">C47</f>
        <v>2E-3</v>
      </c>
      <c r="E45" s="240" t="s">
        <v>2222</v>
      </c>
      <c r="F45" s="2534">
        <f ca="1">F27</f>
        <v>0.1</v>
      </c>
      <c r="G45" s="251" t="s">
        <v>2231</v>
      </c>
    </row>
    <row r="46" spans="1:7" s="218" customFormat="1" ht="13.5" customHeight="1">
      <c r="A46" s="886" t="s">
        <v>791</v>
      </c>
      <c r="B46" s="252" t="s">
        <v>2232</v>
      </c>
      <c r="C46" s="253">
        <f ca="1">ROUND((C33+C39)*F27,0)</f>
        <v>3946387</v>
      </c>
      <c r="D46" s="267"/>
      <c r="E46" s="240"/>
      <c r="F46" s="250"/>
      <c r="G46" s="251"/>
    </row>
    <row r="47" spans="1:7" s="218" customFormat="1" ht="13.5" customHeight="1">
      <c r="A47" s="886" t="s">
        <v>792</v>
      </c>
      <c r="B47" s="252" t="s">
        <v>2233</v>
      </c>
      <c r="C47" s="242">
        <f ca="1">ROUND(C40*F27,4)</f>
        <v>2E-3</v>
      </c>
      <c r="D47" s="267"/>
      <c r="E47" s="240"/>
      <c r="F47" s="250"/>
      <c r="G47" s="251"/>
    </row>
    <row r="48" spans="1:7" s="218" customFormat="1" ht="13.5" customHeight="1">
      <c r="A48" s="259" t="s">
        <v>2195</v>
      </c>
      <c r="B48" s="214" t="s">
        <v>2234</v>
      </c>
      <c r="C48" s="266">
        <f>ROUND(F30/(1+'数据-取费表'!C42),4)</f>
        <v>5.2400000000000002E-2</v>
      </c>
      <c r="D48" s="240" t="s">
        <v>2222</v>
      </c>
      <c r="E48" s="236"/>
      <c r="F48" s="2533">
        <f>F30</f>
        <v>5.5000000000000007E-2</v>
      </c>
      <c r="G48" s="238" t="s">
        <v>2235</v>
      </c>
    </row>
    <row r="49" spans="1:7" ht="16.5" customHeight="1">
      <c r="A49" s="259" t="s">
        <v>2201</v>
      </c>
      <c r="B49" s="214" t="s">
        <v>2275</v>
      </c>
      <c r="C49" s="236">
        <f ca="1">ROUND((C33+C39+C41+C45)/(1-C40-D41-D45-C48),0)</f>
        <v>48156085</v>
      </c>
      <c r="D49" s="236"/>
      <c r="E49" s="236"/>
      <c r="F49" s="268"/>
      <c r="G49" s="238" t="s">
        <v>2237</v>
      </c>
    </row>
    <row r="50" spans="1:7" s="262" customFormat="1">
      <c r="A50" s="259" t="s">
        <v>2238</v>
      </c>
      <c r="B50" s="214" t="s">
        <v>2239</v>
      </c>
      <c r="C50" s="236"/>
      <c r="D50" s="236"/>
      <c r="E50" s="236"/>
      <c r="F50" s="268">
        <f>IF('数据-取费表'!B24=0,'数据-取费表'!N16,1)</f>
        <v>0.98</v>
      </c>
      <c r="G50" s="251"/>
    </row>
    <row r="51" spans="1:7" ht="16.5" customHeight="1">
      <c r="A51" s="259" t="s">
        <v>2241</v>
      </c>
      <c r="B51" s="214" t="s">
        <v>2276</v>
      </c>
      <c r="C51" s="236">
        <f ca="1">ROUND(C49*F50,0)</f>
        <v>47192963</v>
      </c>
      <c r="D51" s="236"/>
      <c r="E51" s="236"/>
      <c r="F51" s="268"/>
      <c r="G51" s="238" t="s">
        <v>2243</v>
      </c>
    </row>
    <row r="52" spans="1:7" s="212" customFormat="1" ht="16.5" thickBot="1">
      <c r="A52" s="269" t="s">
        <v>2244</v>
      </c>
      <c r="B52" s="270"/>
      <c r="C52" s="271">
        <f ca="1">C31+C51</f>
        <v>53117122</v>
      </c>
      <c r="D52" s="270"/>
      <c r="E52" s="270"/>
      <c r="F52" s="270"/>
      <c r="G52" s="272"/>
    </row>
    <row r="55" spans="1:7" ht="15">
      <c r="B55" s="274" t="s">
        <v>2245</v>
      </c>
      <c r="C55" s="275"/>
    </row>
    <row r="56" spans="1:7">
      <c r="B56" s="277" t="s">
        <v>1478</v>
      </c>
      <c r="C56" s="279">
        <f ca="1">1-C57</f>
        <v>0.11199999999999999</v>
      </c>
    </row>
    <row r="57" spans="1:7">
      <c r="B57" s="277" t="s">
        <v>1479</v>
      </c>
      <c r="C57" s="278">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2277</v>
      </c>
      <c r="B1" s="1350"/>
      <c r="C1" s="1351"/>
      <c r="D1" s="1349"/>
      <c r="E1" s="3031"/>
      <c r="F1" s="3031"/>
      <c r="G1" s="2894"/>
      <c r="H1" s="3031"/>
      <c r="I1" s="3031"/>
      <c r="J1" s="3031"/>
      <c r="K1" s="3032">
        <f>MATCH(C1,'数据-取费表'!A6:A16,0)+5</f>
        <v>7</v>
      </c>
    </row>
    <row r="2" spans="1:33" ht="18" customHeight="1">
      <c r="A2" s="205" t="s">
        <v>2145</v>
      </c>
      <c r="B2" s="208">
        <f ca="1">C32</f>
        <v>0</v>
      </c>
      <c r="C2" s="280" t="s">
        <v>2278</v>
      </c>
      <c r="D2" s="280"/>
      <c r="E2" s="3031"/>
      <c r="F2" s="3031"/>
      <c r="G2" s="3031"/>
      <c r="H2" s="3031"/>
      <c r="I2" s="3031"/>
      <c r="J2" s="3031"/>
      <c r="K2" s="3031"/>
    </row>
    <row r="3" spans="1:33" ht="18" customHeight="1" thickBot="1">
      <c r="A3" s="207" t="s">
        <v>2147</v>
      </c>
      <c r="B3" s="208">
        <f ca="1">ROUND(B2*10000/IF(C1="",'数据-汇总表'!E3,INDIRECT("'数据-取费表'!K"&amp;$K$1)),0)</f>
        <v>0</v>
      </c>
      <c r="C3" s="280" t="s">
        <v>2279</v>
      </c>
      <c r="D3" s="280"/>
      <c r="E3" s="3031"/>
      <c r="F3" s="3031"/>
      <c r="G3" s="3031"/>
      <c r="H3" s="3031"/>
      <c r="I3" s="3031"/>
      <c r="J3" s="3031"/>
      <c r="K3" s="3031"/>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3" t="s">
        <v>2283</v>
      </c>
      <c r="D5" s="2043" t="s">
        <v>2284</v>
      </c>
      <c r="E5" s="2043" t="s">
        <v>2285</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4" t="s">
        <v>2288</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7"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2299</v>
      </c>
      <c r="C12" s="23">
        <f ca="1">ROUND(C11*F12,0)</f>
        <v>0</v>
      </c>
      <c r="D12" s="908"/>
      <c r="E12" s="333"/>
      <c r="F12" s="911">
        <f>'数据-取费表'!B33</f>
        <v>0.03</v>
      </c>
      <c r="G12" s="8" t="s">
        <v>2300</v>
      </c>
      <c r="H12" s="903"/>
      <c r="I12" s="903"/>
      <c r="J12" s="903"/>
      <c r="K12" s="904"/>
    </row>
    <row r="13" spans="1:33" s="910" customFormat="1" ht="13.5" customHeight="1">
      <c r="A13" s="906" t="s">
        <v>1302</v>
      </c>
      <c r="B13" s="907" t="s">
        <v>2301</v>
      </c>
      <c r="C13" s="23">
        <f ca="1">ROUND(IF(C1="",SUMIF('数据-取费表'!C:C,"住宅",'数据-取费表'!P:P)*F13,IF(INDIRECT("'数据-取费表'!c"&amp;$K$1)="住宅",INDIRECT("'数据-取费表'!P"&amp;$K$1)*F13,0)),0)</f>
        <v>0</v>
      </c>
      <c r="D13" s="953"/>
      <c r="E13" s="333"/>
      <c r="F13" s="911">
        <f>'数据-取费表'!B34</f>
        <v>0</v>
      </c>
      <c r="G13" s="8" t="s">
        <v>2302</v>
      </c>
      <c r="H13" s="903"/>
      <c r="I13" s="903"/>
      <c r="J13" s="903"/>
      <c r="K13" s="904"/>
    </row>
    <row r="14" spans="1:33" s="912" customFormat="1" ht="13.5" customHeight="1">
      <c r="A14" s="906" t="s">
        <v>1303</v>
      </c>
      <c r="B14" s="907" t="s">
        <v>2303</v>
      </c>
      <c r="C14" s="23">
        <f ca="1">ROUND(D14*E14*F11/10000,0)</f>
        <v>0</v>
      </c>
      <c r="D14" s="953">
        <f ca="1">IF(C1="",'数据-汇总表'!E3,INDIRECT("'数据-取费表'!K"&amp;$K$1)+INDIRECT("'数据-取费表'!S"&amp;$K$1))</f>
        <v>11601.220000000001</v>
      </c>
      <c r="E14" s="23">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4"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4"/>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3">
        <f ca="1">ROUND(D17*E17/10000,0)</f>
        <v>0</v>
      </c>
      <c r="D17" s="953">
        <f ca="1">D14</f>
        <v>11601.220000000001</v>
      </c>
      <c r="E17" s="23">
        <f>'数据-取费表'!B32</f>
        <v>0</v>
      </c>
      <c r="F17" s="913"/>
      <c r="G17" s="134"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3">
        <f ca="1">C19+C20-IF(C1="",'数据-取费表'!B29,IF(G18="已全部缴纳",C19+C20,H18))</f>
        <v>0</v>
      </c>
      <c r="D18" s="953"/>
      <c r="E18" s="23"/>
      <c r="F18" s="911"/>
      <c r="G18" s="2045"/>
      <c r="H18" s="1346"/>
      <c r="I18" s="2046" t="s">
        <v>2311</v>
      </c>
      <c r="J18" s="914"/>
      <c r="K18" s="915"/>
    </row>
    <row r="19" spans="1:33" s="910" customFormat="1" ht="13.5" customHeight="1">
      <c r="A19" s="906" t="s">
        <v>805</v>
      </c>
      <c r="B19" s="907" t="s">
        <v>2312</v>
      </c>
      <c r="C19" s="23">
        <f ca="1">ROUND(D19*E19/10000,0)</f>
        <v>0</v>
      </c>
      <c r="D19" s="953">
        <f ca="1">IF(C1="",'数据-汇总表'!E5,IF(INDIRECT("'数据-取费表'!c"&amp;$K$1)="住宅",INDIRECT("'数据-取费表'!k"&amp;$K$1),0))</f>
        <v>0</v>
      </c>
      <c r="E19" s="23">
        <f>'数据-取费表'!B27</f>
        <v>160</v>
      </c>
      <c r="F19" s="911"/>
      <c r="G19" s="14"/>
      <c r="H19" s="1348"/>
      <c r="I19" s="916"/>
      <c r="J19" s="916"/>
      <c r="K19" s="917"/>
    </row>
    <row r="20" spans="1:33" s="910" customFormat="1" ht="13.5" customHeight="1">
      <c r="A20" s="906" t="s">
        <v>806</v>
      </c>
      <c r="B20" s="907" t="s">
        <v>2313</v>
      </c>
      <c r="C20" s="23">
        <f ca="1">ROUND(D20*E20/10000,0)</f>
        <v>232</v>
      </c>
      <c r="D20" s="953">
        <f ca="1">IF(C1="",'数据-汇总表'!E6,IF(INDIRECT("'数据-取费表'!c"&amp;$K$1)="住宅",INDIRECT("'数据-取费表'!s"&amp;$K$1),INDIRECT("'数据-取费表'!k"&amp;$K$1)+INDIRECT("'数据-取费表'!s"&amp;$K$1)))</f>
        <v>11601.220000000001</v>
      </c>
      <c r="E20" s="23">
        <f>'数据-取费表'!B28</f>
        <v>200</v>
      </c>
      <c r="F20" s="911"/>
      <c r="G20" s="14"/>
      <c r="H20" s="916"/>
      <c r="I20" s="916"/>
      <c r="J20" s="916"/>
      <c r="K20" s="917"/>
    </row>
    <row r="21" spans="1:33" s="910" customFormat="1" ht="13.5" customHeight="1">
      <c r="A21" s="896" t="s">
        <v>802</v>
      </c>
      <c r="B21" s="920" t="s">
        <v>2314</v>
      </c>
      <c r="C21" s="921">
        <f ca="1">C16+C17+C18</f>
        <v>0</v>
      </c>
      <c r="D21" s="922"/>
      <c r="E21" s="285"/>
      <c r="F21" s="285"/>
      <c r="G21" s="134" t="s">
        <v>2315</v>
      </c>
      <c r="H21" s="914"/>
      <c r="I21" s="914"/>
      <c r="J21" s="914"/>
      <c r="K21" s="915"/>
    </row>
    <row r="22" spans="1:33" s="910" customFormat="1" ht="13.5" customHeight="1">
      <c r="A22" s="896" t="s">
        <v>2287</v>
      </c>
      <c r="B22" s="920" t="s">
        <v>2316</v>
      </c>
      <c r="C22" s="921">
        <f ca="1">ROUND(C21*F22,0)</f>
        <v>0</v>
      </c>
      <c r="D22" s="285"/>
      <c r="E22" s="285"/>
      <c r="F22" s="923">
        <f>'数据-取费表'!B37</f>
        <v>0.02</v>
      </c>
      <c r="G22" s="8" t="s">
        <v>2317</v>
      </c>
      <c r="H22" s="903"/>
      <c r="I22" s="903"/>
      <c r="J22" s="903"/>
      <c r="K22" s="904"/>
    </row>
    <row r="23" spans="1:33" s="910" customFormat="1" ht="13.5" customHeight="1">
      <c r="A23" s="896" t="s">
        <v>2289</v>
      </c>
      <c r="B23" s="920" t="s">
        <v>2318</v>
      </c>
      <c r="C23" s="921">
        <f ca="1">ROUND(C4*F23*F11,0)</f>
        <v>0</v>
      </c>
      <c r="D23" s="285"/>
      <c r="E23" s="285"/>
      <c r="F23" s="923">
        <f>'数据-取费表'!B38</f>
        <v>0.02</v>
      </c>
      <c r="G23" s="8" t="s">
        <v>2319</v>
      </c>
      <c r="H23" s="903"/>
      <c r="I23" s="903"/>
      <c r="J23" s="903"/>
      <c r="K23" s="904"/>
    </row>
    <row r="24" spans="1:33" s="910" customFormat="1" ht="13.5" customHeight="1">
      <c r="A24" s="896" t="s">
        <v>2320</v>
      </c>
      <c r="B24" s="920" t="s">
        <v>2321</v>
      </c>
      <c r="C24" s="284">
        <f>ROUND(F24/(1+'数据-取费表'!C42),4)</f>
        <v>2.9000000000000001E-2</v>
      </c>
      <c r="D24" s="285" t="s">
        <v>15</v>
      </c>
      <c r="E24" s="285"/>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0</v>
      </c>
      <c r="D25" s="284">
        <f ca="1">C26</f>
        <v>0</v>
      </c>
      <c r="E25" s="286" t="s">
        <v>15</v>
      </c>
      <c r="F25" s="287">
        <f ca="1">'数据-取费表'!B40</f>
        <v>3.85E-2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0</v>
      </c>
      <c r="D26" s="288"/>
      <c r="E26" s="289"/>
      <c r="F26" s="290"/>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0</v>
      </c>
      <c r="D27" s="288"/>
      <c r="E27" s="289"/>
      <c r="F27" s="290"/>
      <c r="G27" s="2047" t="str">
        <f>IF('数据-取费表'!B22&lt;=1,"（1）-（3）项×年利率×建设期÷2","（1）-（3）项×((1+年利率)^(建设期÷2)-1)")</f>
        <v>（1）-（3）项×((1+年利率)^(建设期÷2)-1)</v>
      </c>
      <c r="H27" s="914"/>
      <c r="I27" s="914"/>
      <c r="J27" s="914"/>
      <c r="K27" s="915"/>
    </row>
    <row r="28" spans="1:33" s="293" customFormat="1" ht="13.5" customHeight="1">
      <c r="A28" s="896" t="s">
        <v>2327</v>
      </c>
      <c r="B28" s="2048" t="s">
        <v>2328</v>
      </c>
      <c r="C28" s="291">
        <f ca="1">C30</f>
        <v>0</v>
      </c>
      <c r="D28" s="284">
        <f ca="1">C29</f>
        <v>0</v>
      </c>
      <c r="E28" s="286" t="s">
        <v>15</v>
      </c>
      <c r="F28" s="292">
        <f ca="1">IF(C1="",'数据-取费表'!Q16,INDIRECT("'数据-取费表'!q"&amp;$K$1))</f>
        <v>0.1</v>
      </c>
      <c r="G28" s="924"/>
      <c r="H28" s="925"/>
      <c r="I28" s="925"/>
      <c r="J28" s="925"/>
      <c r="K28" s="926"/>
    </row>
    <row r="29" spans="1:33" s="295" customFormat="1" ht="13.5" customHeight="1">
      <c r="A29" s="906" t="s">
        <v>803</v>
      </c>
      <c r="B29" s="929" t="s">
        <v>2329</v>
      </c>
      <c r="C29" s="288">
        <f ca="1">ROUND((1+C24)*F28*'数据-取费表'!B24/'数据-取费表'!B20,4)</f>
        <v>0</v>
      </c>
      <c r="D29" s="288"/>
      <c r="E29" s="289"/>
      <c r="F29" s="294"/>
      <c r="G29" s="134" t="s">
        <v>2330</v>
      </c>
      <c r="H29" s="914"/>
      <c r="I29" s="914"/>
      <c r="J29" s="914"/>
      <c r="K29" s="915"/>
    </row>
    <row r="30" spans="1:33" s="295" customFormat="1" ht="13.5" customHeight="1">
      <c r="A30" s="906" t="s">
        <v>804</v>
      </c>
      <c r="B30" s="929" t="s">
        <v>2331</v>
      </c>
      <c r="C30" s="296">
        <f ca="1">ROUND((C21+C22+C23)*F28,0)</f>
        <v>0</v>
      </c>
      <c r="D30" s="288"/>
      <c r="E30" s="289"/>
      <c r="F30" s="294"/>
      <c r="G30" s="134"/>
      <c r="H30" s="914"/>
      <c r="I30" s="914"/>
      <c r="J30" s="914"/>
      <c r="K30" s="915"/>
    </row>
    <row r="31" spans="1:33" s="910" customFormat="1" ht="13.5" customHeight="1" thickBot="1">
      <c r="A31" s="2049" t="s">
        <v>2332</v>
      </c>
      <c r="B31" s="940" t="s">
        <v>2333</v>
      </c>
      <c r="C31" s="941">
        <f>ROUND(C4*F31/(1+'数据-取费表'!C42),0)</f>
        <v>0</v>
      </c>
      <c r="D31" s="942"/>
      <c r="E31" s="943"/>
      <c r="F31" s="944">
        <f>'数据-取费表'!B41</f>
        <v>5.5000000000000007E-2</v>
      </c>
      <c r="G31" s="945" t="s">
        <v>2334</v>
      </c>
      <c r="H31" s="946"/>
      <c r="I31" s="946"/>
      <c r="J31" s="946"/>
      <c r="K31" s="947"/>
    </row>
    <row r="32" spans="1:33" s="905" customFormat="1" ht="13.5" customHeight="1" thickBot="1">
      <c r="A32" s="935" t="s">
        <v>2335</v>
      </c>
      <c r="B32" s="936"/>
      <c r="C32" s="937">
        <f ca="1">ROUND((C4-C21-C22-C23-C25-C28-C31)/(1+C24+D25+D28),0)</f>
        <v>0</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8" zoomScale="80" zoomScaleNormal="60" zoomScaleSheetLayoutView="80" workbookViewId="0">
      <selection activeCell="F66" sqref="F6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2562</v>
      </c>
      <c r="B1" s="353"/>
      <c r="C1" s="354" t="s">
        <v>2563</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2145</v>
      </c>
      <c r="B2" s="625">
        <f>F66</f>
        <v>19106</v>
      </c>
      <c r="C2" s="1036"/>
      <c r="D2" s="1036"/>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c r="AD2" s="355"/>
    </row>
    <row r="3" spans="1:30" s="356" customFormat="1" ht="28.5" customHeight="1" thickBot="1">
      <c r="A3" s="207" t="s">
        <v>2147</v>
      </c>
      <c r="B3" s="564">
        <f>ROUND(IF(D3="",B2*10000/'数据-汇总表'!E3,B2*10000/D3),0)</f>
        <v>16469</v>
      </c>
      <c r="C3" s="207" t="s">
        <v>2564</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30" ht="15">
      <c r="A4" s="359" t="s">
        <v>2463</v>
      </c>
      <c r="B4" s="360"/>
      <c r="C4" s="3280" t="s">
        <v>2464</v>
      </c>
      <c r="D4" s="3281"/>
      <c r="E4" s="3282" t="s">
        <v>2465</v>
      </c>
      <c r="F4" s="3283"/>
      <c r="G4" s="3280" t="s">
        <v>2466</v>
      </c>
      <c r="H4" s="3281"/>
      <c r="I4" s="3280" t="s">
        <v>2467</v>
      </c>
      <c r="J4" s="3281"/>
      <c r="K4" s="565" t="s">
        <v>2468</v>
      </c>
      <c r="L4" s="2938"/>
      <c r="M4" s="2939"/>
      <c r="N4" s="2939"/>
      <c r="O4" s="2939"/>
      <c r="P4" s="3284" t="s">
        <v>2469</v>
      </c>
      <c r="Q4" s="3285"/>
      <c r="R4" s="3267" t="s">
        <v>2465</v>
      </c>
      <c r="S4" s="3268"/>
      <c r="T4" s="3267" t="s">
        <v>2466</v>
      </c>
      <c r="U4" s="3268"/>
      <c r="V4" s="3292" t="s">
        <v>2467</v>
      </c>
      <c r="W4" s="3292"/>
      <c r="X4" s="1537"/>
      <c r="Y4" s="3267" t="s">
        <v>2469</v>
      </c>
      <c r="Z4" s="3268"/>
      <c r="AA4" s="3262" t="s">
        <v>2465</v>
      </c>
      <c r="AB4" s="3263" t="s">
        <v>2466</v>
      </c>
      <c r="AC4" s="3262" t="s">
        <v>2467</v>
      </c>
    </row>
    <row r="5" spans="1:30" ht="57" customHeight="1">
      <c r="A5" s="362"/>
      <c r="B5" s="363"/>
      <c r="C5" s="3273" t="s">
        <v>2360</v>
      </c>
      <c r="D5" s="3274"/>
      <c r="E5" s="3271" t="str">
        <f>土地案例!A4</f>
        <v>北京市大兴区西红门镇集体经营性建设用地入市试点2号地C地块(2-006-1)F81绿隔产业用地</v>
      </c>
      <c r="F5" s="3272"/>
      <c r="G5" s="3273" t="str">
        <f>土地案例!A5</f>
        <v>北京经济技术开发区南海子郊野公园B片区B-04/*B-06/B-11地块F3其他类多功能用地</v>
      </c>
      <c r="H5" s="3274"/>
      <c r="I5" s="3273" t="str">
        <f>土地案例!A6</f>
        <v>北京经济技术开发区路东区E16街区E16C-3、E16C-5、E16S-1地块</v>
      </c>
      <c r="J5" s="3274"/>
      <c r="K5" s="565"/>
      <c r="L5" s="2938"/>
      <c r="M5" s="2939"/>
      <c r="N5" s="2939"/>
      <c r="O5" s="2939"/>
      <c r="P5" s="3286"/>
      <c r="Q5" s="3287"/>
      <c r="R5" s="3269"/>
      <c r="S5" s="3270"/>
      <c r="T5" s="3269"/>
      <c r="U5" s="3270"/>
      <c r="V5" s="3292"/>
      <c r="W5" s="3292"/>
      <c r="X5" s="1537"/>
      <c r="Y5" s="3269"/>
      <c r="Z5" s="3270"/>
      <c r="AA5" s="3263"/>
      <c r="AB5" s="3263"/>
      <c r="AC5" s="3263"/>
    </row>
    <row r="6" spans="1:30" ht="15.75" thickBot="1">
      <c r="A6" s="364"/>
      <c r="B6" s="365"/>
      <c r="C6" s="3275" t="s">
        <v>2364</v>
      </c>
      <c r="D6" s="3276"/>
      <c r="E6" s="3277" t="s">
        <v>2364</v>
      </c>
      <c r="F6" s="3278"/>
      <c r="G6" s="3275" t="s">
        <v>2364</v>
      </c>
      <c r="H6" s="3276"/>
      <c r="I6" s="3275" t="s">
        <v>2364</v>
      </c>
      <c r="J6" s="3276"/>
      <c r="K6" s="565" t="s">
        <v>2365</v>
      </c>
      <c r="L6" s="2938"/>
      <c r="M6" s="2939"/>
      <c r="N6" s="2939"/>
      <c r="O6" s="2939"/>
      <c r="P6" s="3288"/>
      <c r="Q6" s="3289"/>
      <c r="R6" s="3269"/>
      <c r="S6" s="3270"/>
      <c r="T6" s="3290"/>
      <c r="U6" s="3291"/>
      <c r="V6" s="3292"/>
      <c r="W6" s="3292"/>
      <c r="X6" s="1537"/>
      <c r="Y6" s="3290"/>
      <c r="Z6" s="3291"/>
      <c r="AA6" s="3264"/>
      <c r="AB6" s="3264"/>
      <c r="AC6" s="3264"/>
    </row>
    <row r="7" spans="1:30" s="112" customFormat="1" ht="15.75" thickBot="1">
      <c r="A7" s="366" t="s">
        <v>2366</v>
      </c>
      <c r="B7" s="367"/>
      <c r="C7" s="368">
        <f>'数据-取费表'!B2</f>
        <v>44299</v>
      </c>
      <c r="D7" s="369">
        <v>100</v>
      </c>
      <c r="E7" s="370" t="str">
        <f>土地案例!L4</f>
        <v>2019-03-08</v>
      </c>
      <c r="F7" s="371">
        <f>SUMIF(70:70,YEAR(E7)&amp;"-"&amp;INT((MONTH(E7)+2)/3),71:71)</f>
        <v>95.5</v>
      </c>
      <c r="G7" s="2157" t="str">
        <f>土地案例!L5</f>
        <v>2019-05-28</v>
      </c>
      <c r="H7" s="369">
        <f>SUMIF(70:70,YEAR(G7)&amp;"-"&amp;INT((MONTH(G7)+2)/3),71:71)</f>
        <v>96</v>
      </c>
      <c r="I7" s="2157" t="str">
        <f>土地案例!L6</f>
        <v>2018-06-14</v>
      </c>
      <c r="J7" s="369">
        <f>SUMIF(70:70,YEAR(I7)&amp;"-"&amp;INT((MONTH(I7)+2)/3),71:71)</f>
        <v>94</v>
      </c>
      <c r="K7" s="566"/>
      <c r="L7" s="2940"/>
      <c r="M7" s="2941"/>
      <c r="N7" s="2941"/>
      <c r="O7" s="2941"/>
      <c r="P7" s="3265" t="s">
        <v>2367</v>
      </c>
      <c r="Q7" s="3293"/>
      <c r="R7" s="708" t="s">
        <v>17</v>
      </c>
      <c r="S7" s="709">
        <f t="shared" ref="S7:S15" si="0">F7</f>
        <v>95.5</v>
      </c>
      <c r="T7" s="708" t="s">
        <v>17</v>
      </c>
      <c r="U7" s="709">
        <f t="shared" ref="U7:U15" si="1">H7</f>
        <v>96</v>
      </c>
      <c r="V7" s="708" t="s">
        <v>17</v>
      </c>
      <c r="W7" s="709">
        <f t="shared" ref="W7:W15" si="2">J7</f>
        <v>94</v>
      </c>
      <c r="X7" s="710"/>
      <c r="Y7" s="3265" t="s">
        <v>2367</v>
      </c>
      <c r="Z7" s="3266"/>
      <c r="AA7" s="711">
        <f>D7/F7</f>
        <v>1.0471204188481675</v>
      </c>
      <c r="AB7" s="711">
        <f>D7/H7</f>
        <v>1.0416666666666667</v>
      </c>
      <c r="AC7" s="711">
        <f>D7/J7</f>
        <v>1.0638297872340425</v>
      </c>
    </row>
    <row r="8" spans="1:30" s="112" customFormat="1" ht="15.75" thickBot="1">
      <c r="A8" s="366" t="s">
        <v>2368</v>
      </c>
      <c r="B8" s="367"/>
      <c r="C8" s="372" t="s">
        <v>2369</v>
      </c>
      <c r="D8" s="369">
        <v>100</v>
      </c>
      <c r="E8" s="372" t="s">
        <v>2369</v>
      </c>
      <c r="F8" s="371">
        <f>SUMIF(73:73,E8,74:74)-SUMIF(73:73,C8,74:74)+100</f>
        <v>100</v>
      </c>
      <c r="G8" s="372" t="s">
        <v>2369</v>
      </c>
      <c r="H8" s="369">
        <f>SUMIF(73:73,G8,74:74)-SUMIF(73:73,C8,74:74)+100</f>
        <v>100</v>
      </c>
      <c r="I8" s="372" t="s">
        <v>2369</v>
      </c>
      <c r="J8" s="369">
        <f>SUMIF(73:73,I8,74:74)-SUMIF(73:73,C8,74:74)+100</f>
        <v>100</v>
      </c>
      <c r="K8" s="566"/>
      <c r="L8" s="2940"/>
      <c r="M8" s="2941"/>
      <c r="N8" s="2941"/>
      <c r="O8" s="2941"/>
      <c r="P8" s="3265" t="s">
        <v>2370</v>
      </c>
      <c r="Q8" s="3266"/>
      <c r="R8" s="708" t="s">
        <v>17</v>
      </c>
      <c r="S8" s="709">
        <f t="shared" si="0"/>
        <v>100</v>
      </c>
      <c r="T8" s="708" t="s">
        <v>17</v>
      </c>
      <c r="U8" s="709">
        <f t="shared" si="1"/>
        <v>100</v>
      </c>
      <c r="V8" s="708" t="s">
        <v>17</v>
      </c>
      <c r="W8" s="709">
        <f t="shared" si="2"/>
        <v>100</v>
      </c>
      <c r="X8" s="710"/>
      <c r="Y8" s="3265" t="s">
        <v>2370</v>
      </c>
      <c r="Z8" s="3266"/>
      <c r="AA8" s="711">
        <f t="shared" ref="AA8:AA45" si="3">D8/F8</f>
        <v>1</v>
      </c>
      <c r="AB8" s="711">
        <f t="shared" ref="AB8:AB45" si="4">D8/H8</f>
        <v>1</v>
      </c>
      <c r="AC8" s="711">
        <f t="shared" ref="AC8:AC45" si="5">D8/J8</f>
        <v>1</v>
      </c>
    </row>
    <row r="9" spans="1:30" s="112" customFormat="1">
      <c r="A9" s="373" t="s">
        <v>2371</v>
      </c>
      <c r="B9" s="66" t="s">
        <v>2372</v>
      </c>
      <c r="C9" s="2160" t="s">
        <v>3100</v>
      </c>
      <c r="D9" s="129">
        <v>100</v>
      </c>
      <c r="E9" s="2160" t="s">
        <v>3100</v>
      </c>
      <c r="F9" s="129">
        <f>SUMIF(75:75,E9,76:76)-SUMIF(75:75,C9,76:76)+100</f>
        <v>100</v>
      </c>
      <c r="G9" s="2160" t="s">
        <v>3100</v>
      </c>
      <c r="H9" s="129">
        <f>SUMIF(75:75,G9,76:76)-SUMIF(75:75,C9,76:76)+100</f>
        <v>100</v>
      </c>
      <c r="I9" s="2160" t="s">
        <v>3100</v>
      </c>
      <c r="J9" s="129">
        <f>SUMIF(75:75,I9,76:76)-SUMIF(75:75,C9,76:76)+100</f>
        <v>100</v>
      </c>
      <c r="K9" s="566"/>
      <c r="L9" s="2940"/>
      <c r="M9" s="2941"/>
      <c r="N9" s="2941"/>
      <c r="O9" s="2995"/>
      <c r="P9" s="3279"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711">
        <f t="shared" si="5"/>
        <v>1</v>
      </c>
    </row>
    <row r="10" spans="1:30" s="384" customFormat="1" ht="27">
      <c r="A10" s="378"/>
      <c r="B10" s="379" t="s">
        <v>2375</v>
      </c>
      <c r="C10" s="389"/>
      <c r="D10" s="130">
        <v>100</v>
      </c>
      <c r="E10" s="422"/>
      <c r="F10" s="130">
        <f>ROUND(100/'数据-取费表'!G16,0)</f>
        <v>103</v>
      </c>
      <c r="G10" s="420"/>
      <c r="H10" s="130">
        <f>ROUND(100/'数据-取费表'!G16,0)</f>
        <v>103</v>
      </c>
      <c r="I10" s="420"/>
      <c r="J10" s="130">
        <f>ROUND(100/'数据-取费表'!G16,0)</f>
        <v>103</v>
      </c>
      <c r="K10" s="626"/>
      <c r="L10" s="2942"/>
      <c r="M10" s="2943"/>
      <c r="N10" s="2943"/>
      <c r="O10" s="2996"/>
      <c r="P10" s="3279"/>
      <c r="Q10" s="1525" t="str">
        <f t="shared" si="6"/>
        <v>土地使用年限（年）</v>
      </c>
      <c r="R10" s="708" t="s">
        <v>17</v>
      </c>
      <c r="S10" s="709">
        <f t="shared" si="0"/>
        <v>103</v>
      </c>
      <c r="T10" s="708" t="s">
        <v>17</v>
      </c>
      <c r="U10" s="709">
        <f t="shared" si="1"/>
        <v>103</v>
      </c>
      <c r="V10" s="708" t="s">
        <v>17</v>
      </c>
      <c r="W10" s="709">
        <f t="shared" si="2"/>
        <v>103</v>
      </c>
      <c r="X10" s="710"/>
      <c r="Y10" s="3231"/>
      <c r="Z10" s="54" t="str">
        <f t="shared" si="7"/>
        <v>土地使用年限（年）</v>
      </c>
      <c r="AA10" s="711">
        <f t="shared" si="3"/>
        <v>0.970873786407767</v>
      </c>
      <c r="AB10" s="711">
        <f t="shared" si="4"/>
        <v>0.970873786407767</v>
      </c>
      <c r="AC10" s="711">
        <f t="shared" si="5"/>
        <v>0.970873786407767</v>
      </c>
    </row>
    <row r="11" spans="1:30" ht="15">
      <c r="A11" s="385"/>
      <c r="B11" s="379" t="s">
        <v>2376</v>
      </c>
      <c r="C11" s="386">
        <f>'数据-汇总表'!I4</f>
        <v>1.31</v>
      </c>
      <c r="D11" s="130">
        <v>100</v>
      </c>
      <c r="E11" s="386">
        <v>2</v>
      </c>
      <c r="F11" s="130">
        <f>LOOKUP(E11,80:80,81:81)-LOOKUP(C11,80:80,81:81)+100</f>
        <v>97</v>
      </c>
      <c r="G11" s="387">
        <v>2</v>
      </c>
      <c r="H11" s="130">
        <f>LOOKUP(G11,80:80,81:81)-LOOKUP(C11,80:80,81:81)+100</f>
        <v>97</v>
      </c>
      <c r="I11" s="386">
        <v>3.7</v>
      </c>
      <c r="J11" s="130">
        <f>LOOKUP(I11,80:80,81:81)-LOOKUP(C11,80:80,81:81)+100</f>
        <v>94</v>
      </c>
      <c r="K11" s="627">
        <v>3</v>
      </c>
      <c r="L11" s="2944"/>
      <c r="M11" s="2939"/>
      <c r="N11" s="2939"/>
      <c r="O11" s="2997"/>
      <c r="P11" s="3279"/>
      <c r="Q11" s="1525" t="str">
        <f t="shared" si="6"/>
        <v>容积率</v>
      </c>
      <c r="R11" s="708" t="s">
        <v>17</v>
      </c>
      <c r="S11" s="709">
        <f t="shared" si="0"/>
        <v>97</v>
      </c>
      <c r="T11" s="708" t="s">
        <v>17</v>
      </c>
      <c r="U11" s="709">
        <f t="shared" si="1"/>
        <v>97</v>
      </c>
      <c r="V11" s="708" t="s">
        <v>17</v>
      </c>
      <c r="W11" s="709">
        <f t="shared" si="2"/>
        <v>94</v>
      </c>
      <c r="X11" s="710"/>
      <c r="Y11" s="3231"/>
      <c r="Z11" s="54" t="str">
        <f t="shared" si="7"/>
        <v>容积率</v>
      </c>
      <c r="AA11" s="711">
        <f t="shared" si="3"/>
        <v>1.0309278350515463</v>
      </c>
      <c r="AB11" s="711">
        <f t="shared" si="4"/>
        <v>1.0309278350515463</v>
      </c>
      <c r="AC11" s="711">
        <f t="shared" si="5"/>
        <v>1.0638297872340425</v>
      </c>
    </row>
    <row r="12" spans="1:30" s="112" customFormat="1" ht="15">
      <c r="A12" s="388"/>
      <c r="B12" s="2076"/>
      <c r="C12" s="389"/>
      <c r="D12" s="390">
        <v>100</v>
      </c>
      <c r="E12" s="422"/>
      <c r="F12" s="130">
        <f>SUMIF(82:82,E12,83:83)-SUMIF(82:82,C12,83:83)+100</f>
        <v>100</v>
      </c>
      <c r="G12" s="420"/>
      <c r="H12" s="130">
        <f>SUMIF(82:82,G12,83:83)-SUMIF(82:82,C12,83:83)+100</f>
        <v>100</v>
      </c>
      <c r="I12" s="422"/>
      <c r="J12" s="130">
        <f>SUMIF(82:82,I12,83:83)-SUMIF(82:82,C12,83:83)+100</f>
        <v>100</v>
      </c>
      <c r="K12" s="626"/>
      <c r="L12" s="2940"/>
      <c r="M12" s="2941"/>
      <c r="N12" s="2941"/>
      <c r="O12" s="2995"/>
      <c r="P12" s="3279"/>
      <c r="Q12" s="1525">
        <f t="shared" si="6"/>
        <v>0</v>
      </c>
      <c r="R12" s="708" t="s">
        <v>17</v>
      </c>
      <c r="S12" s="709">
        <f t="shared" si="0"/>
        <v>100</v>
      </c>
      <c r="T12" s="708" t="s">
        <v>17</v>
      </c>
      <c r="U12" s="709">
        <f t="shared" si="1"/>
        <v>100</v>
      </c>
      <c r="V12" s="708" t="s">
        <v>17</v>
      </c>
      <c r="W12" s="709">
        <f t="shared" si="2"/>
        <v>100</v>
      </c>
      <c r="X12" s="710"/>
      <c r="Y12" s="3231"/>
      <c r="Z12" s="54">
        <f t="shared" si="7"/>
        <v>0</v>
      </c>
      <c r="AA12" s="711">
        <f>D12/F12</f>
        <v>1</v>
      </c>
      <c r="AB12" s="711">
        <f>D12/H12</f>
        <v>1</v>
      </c>
      <c r="AC12" s="711">
        <f>D12/J12</f>
        <v>1</v>
      </c>
    </row>
    <row r="13" spans="1:30" ht="15" hidden="1">
      <c r="A13" s="385"/>
      <c r="B13" s="2076">
        <v>111</v>
      </c>
      <c r="C13" s="391"/>
      <c r="D13" s="392">
        <v>100</v>
      </c>
      <c r="E13" s="504"/>
      <c r="F13" s="130">
        <f>SUMIF(84:84,E13,85:85)-SUMIF(84:84,C13,85:85)+100</f>
        <v>100</v>
      </c>
      <c r="G13" s="628"/>
      <c r="H13" s="392">
        <f>SUMIF(84:84,G13,85:85)-SUMIF(84:84,C13,85:85)+100</f>
        <v>100</v>
      </c>
      <c r="I13" s="628"/>
      <c r="J13" s="392">
        <f>SUMIF(84:84,I13,85:85)-SUMIF(84:84,C13,85:85)+100</f>
        <v>100</v>
      </c>
      <c r="K13" s="626"/>
      <c r="L13" s="2945"/>
      <c r="M13" s="2939"/>
      <c r="N13" s="2939"/>
      <c r="O13" s="2997"/>
      <c r="P13" s="3279"/>
      <c r="Q13" s="1525">
        <f t="shared" si="6"/>
        <v>111</v>
      </c>
      <c r="R13" s="708" t="s">
        <v>17</v>
      </c>
      <c r="S13" s="709">
        <f t="shared" si="0"/>
        <v>100</v>
      </c>
      <c r="T13" s="708" t="s">
        <v>17</v>
      </c>
      <c r="U13" s="709">
        <f t="shared" si="1"/>
        <v>100</v>
      </c>
      <c r="V13" s="708" t="s">
        <v>17</v>
      </c>
      <c r="W13" s="709">
        <f t="shared" si="2"/>
        <v>100</v>
      </c>
      <c r="X13" s="710"/>
      <c r="Y13" s="3231"/>
      <c r="Z13" s="54">
        <f t="shared" si="7"/>
        <v>111</v>
      </c>
      <c r="AA13" s="711">
        <f>D13/F13</f>
        <v>1</v>
      </c>
      <c r="AB13" s="711">
        <f>D13/H13</f>
        <v>1</v>
      </c>
      <c r="AC13" s="711">
        <f>D13/J13</f>
        <v>1</v>
      </c>
    </row>
    <row r="14" spans="1:30" ht="15.75" hidden="1" thickBot="1">
      <c r="A14" s="393"/>
      <c r="B14" s="2078">
        <v>111</v>
      </c>
      <c r="C14" s="394"/>
      <c r="D14" s="395">
        <v>100</v>
      </c>
      <c r="E14" s="504"/>
      <c r="F14" s="395">
        <f>SUMIF(86:86,E14,87:87)-SUMIF(86:86,C14,87:87)+100</f>
        <v>100</v>
      </c>
      <c r="G14" s="628"/>
      <c r="H14" s="395">
        <f>SUMIF(86:86,G14,87:87)-SUMIF(86:86,C14,87:87)+100</f>
        <v>100</v>
      </c>
      <c r="I14" s="628"/>
      <c r="J14" s="395">
        <f>SUMIF(86:86,I14,87:87)-SUMIF(86:86,C14,87:87)+100</f>
        <v>100</v>
      </c>
      <c r="K14" s="626"/>
      <c r="L14" s="2945"/>
      <c r="M14" s="2939"/>
      <c r="N14" s="2939"/>
      <c r="O14" s="2997"/>
      <c r="P14" s="3279"/>
      <c r="Q14" s="1525">
        <f t="shared" si="6"/>
        <v>111</v>
      </c>
      <c r="R14" s="708" t="s">
        <v>17</v>
      </c>
      <c r="S14" s="709">
        <f t="shared" si="0"/>
        <v>100</v>
      </c>
      <c r="T14" s="708" t="s">
        <v>17</v>
      </c>
      <c r="U14" s="709">
        <f t="shared" si="1"/>
        <v>100</v>
      </c>
      <c r="V14" s="708" t="s">
        <v>17</v>
      </c>
      <c r="W14" s="709">
        <f t="shared" si="2"/>
        <v>100</v>
      </c>
      <c r="X14" s="710"/>
      <c r="Y14" s="3231"/>
      <c r="Z14" s="54">
        <f t="shared" si="7"/>
        <v>111</v>
      </c>
      <c r="AA14" s="711">
        <f>D14/F14</f>
        <v>1</v>
      </c>
      <c r="AB14" s="711">
        <f>D14/H14</f>
        <v>1</v>
      </c>
      <c r="AC14" s="711">
        <f>D14/J14</f>
        <v>1</v>
      </c>
    </row>
    <row r="15" spans="1:30" ht="99.75" hidden="1">
      <c r="A15" s="397" t="s">
        <v>2377</v>
      </c>
      <c r="B15" s="64" t="s">
        <v>1943</v>
      </c>
      <c r="C15" s="2079"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5"/>
      <c r="M15" s="2939"/>
      <c r="N15" s="2939"/>
      <c r="O15" s="2997"/>
      <c r="P15" s="3294" t="s">
        <v>2378</v>
      </c>
      <c r="Q15" s="1534" t="str">
        <f t="shared" si="6"/>
        <v>居住社区成熟度</v>
      </c>
      <c r="R15" s="712" t="s">
        <v>17</v>
      </c>
      <c r="S15" s="713">
        <f t="shared" si="0"/>
        <v>100</v>
      </c>
      <c r="T15" s="712" t="s">
        <v>17</v>
      </c>
      <c r="U15" s="713">
        <f t="shared" si="1"/>
        <v>100</v>
      </c>
      <c r="V15" s="712" t="s">
        <v>17</v>
      </c>
      <c r="W15" s="713">
        <f t="shared" si="2"/>
        <v>100</v>
      </c>
      <c r="X15" s="1537"/>
      <c r="Y15" s="3294" t="s">
        <v>2378</v>
      </c>
      <c r="Z15" s="1538" t="str">
        <f t="shared" si="7"/>
        <v>居住社区成熟度</v>
      </c>
      <c r="AA15" s="1535">
        <f t="shared" si="3"/>
        <v>1</v>
      </c>
      <c r="AB15" s="1535">
        <f t="shared" si="4"/>
        <v>1</v>
      </c>
      <c r="AC15" s="1535">
        <f t="shared" si="5"/>
        <v>1</v>
      </c>
    </row>
    <row r="16" spans="1:30" ht="15" hidden="1">
      <c r="A16" s="385"/>
      <c r="B16" s="403"/>
      <c r="C16" s="404"/>
      <c r="D16" s="405"/>
      <c r="E16" s="2081"/>
      <c r="F16" s="405"/>
      <c r="G16" s="2081"/>
      <c r="H16" s="407"/>
      <c r="I16" s="2080"/>
      <c r="J16" s="405"/>
      <c r="K16" s="626"/>
      <c r="L16" s="2945"/>
      <c r="M16" s="2939"/>
      <c r="N16" s="2939"/>
      <c r="O16" s="2997"/>
      <c r="P16" s="3295"/>
      <c r="Q16" s="1534"/>
      <c r="R16" s="712"/>
      <c r="S16" s="713"/>
      <c r="T16" s="712"/>
      <c r="U16" s="713"/>
      <c r="V16" s="712"/>
      <c r="W16" s="713"/>
      <c r="X16" s="1537"/>
      <c r="Y16" s="3295"/>
      <c r="Z16" s="1538"/>
      <c r="AA16" s="1535">
        <v>1</v>
      </c>
      <c r="AB16" s="1535">
        <v>1</v>
      </c>
      <c r="AC16" s="1535">
        <v>1</v>
      </c>
    </row>
    <row r="17" spans="1:29" ht="71.25">
      <c r="A17" s="385"/>
      <c r="B17" s="408" t="s">
        <v>2471</v>
      </c>
      <c r="C17" s="2138" t="str">
        <f>估价对象房地状况!C16</f>
        <v>估价对象位于XX商圈，周边商业氛围成熟，人流量大，商业繁华度好</v>
      </c>
      <c r="D17" s="407">
        <v>100</v>
      </c>
      <c r="E17" s="409"/>
      <c r="F17" s="407">
        <f>SUMIF(90:90,E18,91:91)-SUMIF(90:90,C18,91:91)+100</f>
        <v>100</v>
      </c>
      <c r="G17" s="409"/>
      <c r="H17" s="412">
        <f>SUMIF(90:90,G18,91:91)-SUMIF(90:90,C18,91:91)+100</f>
        <v>103</v>
      </c>
      <c r="I17" s="411"/>
      <c r="J17" s="412">
        <f>SUMIF(90:90,I18,91:91)-SUMIF(90:90,C18,91:91)+100</f>
        <v>100</v>
      </c>
      <c r="K17" s="627">
        <v>3</v>
      </c>
      <c r="L17" s="2945"/>
      <c r="M17" s="2939"/>
      <c r="N17" s="2939"/>
      <c r="O17" s="2997"/>
      <c r="P17" s="3295"/>
      <c r="Q17" s="1534" t="str">
        <f>B17</f>
        <v>商业繁华度</v>
      </c>
      <c r="R17" s="712" t="s">
        <v>17</v>
      </c>
      <c r="S17" s="713">
        <f>F17</f>
        <v>100</v>
      </c>
      <c r="T17" s="712" t="s">
        <v>17</v>
      </c>
      <c r="U17" s="713">
        <f>H17</f>
        <v>103</v>
      </c>
      <c r="V17" s="712" t="s">
        <v>17</v>
      </c>
      <c r="W17" s="713">
        <f>J17</f>
        <v>100</v>
      </c>
      <c r="X17" s="1537"/>
      <c r="Y17" s="3295"/>
      <c r="Z17" s="1538" t="str">
        <f>Q17</f>
        <v>商业繁华度</v>
      </c>
      <c r="AA17" s="1535">
        <f t="shared" si="3"/>
        <v>1</v>
      </c>
      <c r="AB17" s="1535">
        <f t="shared" si="4"/>
        <v>0.970873786407767</v>
      </c>
      <c r="AC17" s="1535">
        <f t="shared" si="5"/>
        <v>1</v>
      </c>
    </row>
    <row r="18" spans="1:29" ht="15">
      <c r="A18" s="385"/>
      <c r="B18" s="413"/>
      <c r="C18" s="2084" t="s">
        <v>3115</v>
      </c>
      <c r="D18" s="407"/>
      <c r="E18" s="2084" t="s">
        <v>3115</v>
      </c>
      <c r="F18" s="407"/>
      <c r="G18" s="2084" t="s">
        <v>3114</v>
      </c>
      <c r="H18" s="405"/>
      <c r="I18" s="2084" t="s">
        <v>3115</v>
      </c>
      <c r="J18" s="405"/>
      <c r="K18" s="626"/>
      <c r="L18" s="2945"/>
      <c r="M18" s="2939"/>
      <c r="N18" s="2939"/>
      <c r="O18" s="2997"/>
      <c r="P18" s="3295"/>
      <c r="Q18" s="1534"/>
      <c r="R18" s="712"/>
      <c r="S18" s="713"/>
      <c r="T18" s="712"/>
      <c r="U18" s="713"/>
      <c r="V18" s="712"/>
      <c r="W18" s="713"/>
      <c r="X18" s="1537"/>
      <c r="Y18" s="3295"/>
      <c r="Z18" s="1538"/>
      <c r="AA18" s="1535">
        <v>1</v>
      </c>
      <c r="AB18" s="1535">
        <v>1</v>
      </c>
      <c r="AC18" s="1535">
        <v>1</v>
      </c>
    </row>
    <row r="19" spans="1:29" ht="71.25">
      <c r="A19" s="385"/>
      <c r="B19" s="408" t="s">
        <v>2505</v>
      </c>
      <c r="C19" s="2138"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3</v>
      </c>
      <c r="L19" s="2945"/>
      <c r="M19" s="2939"/>
      <c r="N19" s="2939"/>
      <c r="O19" s="2997"/>
      <c r="P19" s="3295"/>
      <c r="Q19" s="1534" t="str">
        <f>B19</f>
        <v>办公集聚程度</v>
      </c>
      <c r="R19" s="712" t="s">
        <v>17</v>
      </c>
      <c r="S19" s="713">
        <f>F19</f>
        <v>100</v>
      </c>
      <c r="T19" s="712" t="s">
        <v>17</v>
      </c>
      <c r="U19" s="713">
        <f>H19</f>
        <v>100</v>
      </c>
      <c r="V19" s="712" t="s">
        <v>17</v>
      </c>
      <c r="W19" s="713">
        <f>J19</f>
        <v>100</v>
      </c>
      <c r="X19" s="1537"/>
      <c r="Y19" s="3295"/>
      <c r="Z19" s="1538" t="str">
        <f>Q19</f>
        <v>办公集聚程度</v>
      </c>
      <c r="AA19" s="1535">
        <f t="shared" si="3"/>
        <v>1</v>
      </c>
      <c r="AB19" s="1535">
        <f t="shared" si="4"/>
        <v>1</v>
      </c>
      <c r="AC19" s="1535">
        <f t="shared" si="5"/>
        <v>1</v>
      </c>
    </row>
    <row r="20" spans="1:29" ht="15">
      <c r="A20" s="385"/>
      <c r="B20" s="413"/>
      <c r="C20" s="404" t="s">
        <v>3114</v>
      </c>
      <c r="D20" s="405"/>
      <c r="E20" s="404" t="s">
        <v>3114</v>
      </c>
      <c r="F20" s="405"/>
      <c r="G20" s="404" t="s">
        <v>3114</v>
      </c>
      <c r="H20" s="405"/>
      <c r="I20" s="404" t="s">
        <v>3114</v>
      </c>
      <c r="J20" s="405"/>
      <c r="K20" s="626"/>
      <c r="L20" s="2945"/>
      <c r="M20" s="2939"/>
      <c r="N20" s="2939"/>
      <c r="O20" s="2997"/>
      <c r="P20" s="3295"/>
      <c r="Q20" s="1534"/>
      <c r="R20" s="712"/>
      <c r="S20" s="713"/>
      <c r="T20" s="712"/>
      <c r="U20" s="713"/>
      <c r="V20" s="712"/>
      <c r="W20" s="713"/>
      <c r="X20" s="1537"/>
      <c r="Y20" s="3295"/>
      <c r="Z20" s="1538"/>
      <c r="AA20" s="1535">
        <v>1</v>
      </c>
      <c r="AB20" s="1535">
        <v>1</v>
      </c>
      <c r="AC20" s="1535">
        <v>1</v>
      </c>
    </row>
    <row r="21" spans="1:29" ht="85.5">
      <c r="A21" s="385"/>
      <c r="B21" s="408" t="s">
        <v>2527</v>
      </c>
      <c r="C21" s="2083"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3</v>
      </c>
      <c r="L21" s="2945"/>
      <c r="M21" s="2939"/>
      <c r="N21" s="2939"/>
      <c r="O21" s="2997"/>
      <c r="P21" s="3295"/>
      <c r="Q21" s="1534" t="str">
        <f>B21</f>
        <v>交通便捷度</v>
      </c>
      <c r="R21" s="712" t="s">
        <v>17</v>
      </c>
      <c r="S21" s="713">
        <f>F21</f>
        <v>100</v>
      </c>
      <c r="T21" s="712" t="s">
        <v>17</v>
      </c>
      <c r="U21" s="713">
        <f>H21</f>
        <v>100</v>
      </c>
      <c r="V21" s="712" t="s">
        <v>17</v>
      </c>
      <c r="W21" s="713">
        <f>J21</f>
        <v>100</v>
      </c>
      <c r="X21" s="1537"/>
      <c r="Y21" s="3295"/>
      <c r="Z21" s="1538" t="str">
        <f>Q21</f>
        <v>交通便捷度</v>
      </c>
      <c r="AA21" s="1535">
        <f t="shared" si="3"/>
        <v>1</v>
      </c>
      <c r="AB21" s="1535">
        <f t="shared" si="4"/>
        <v>1</v>
      </c>
      <c r="AC21" s="1535">
        <f t="shared" si="5"/>
        <v>1</v>
      </c>
    </row>
    <row r="22" spans="1:29" ht="15">
      <c r="A22" s="385"/>
      <c r="B22" s="1291"/>
      <c r="C22" s="404" t="s">
        <v>3114</v>
      </c>
      <c r="D22" s="407"/>
      <c r="E22" s="404" t="s">
        <v>3114</v>
      </c>
      <c r="F22" s="405"/>
      <c r="G22" s="404" t="s">
        <v>3114</v>
      </c>
      <c r="H22" s="405"/>
      <c r="I22" s="404" t="s">
        <v>3114</v>
      </c>
      <c r="J22" s="405"/>
      <c r="K22" s="626"/>
      <c r="L22" s="2945"/>
      <c r="M22" s="2939"/>
      <c r="N22" s="2939"/>
      <c r="O22" s="2997"/>
      <c r="P22" s="3295"/>
      <c r="Q22" s="1534"/>
      <c r="R22" s="712"/>
      <c r="S22" s="713"/>
      <c r="T22" s="712"/>
      <c r="U22" s="713"/>
      <c r="V22" s="712"/>
      <c r="W22" s="713"/>
      <c r="X22" s="1537"/>
      <c r="Y22" s="3295"/>
      <c r="Z22" s="1538"/>
      <c r="AA22" s="1535">
        <v>1</v>
      </c>
      <c r="AB22" s="1535">
        <v>1</v>
      </c>
      <c r="AC22" s="1535">
        <v>1</v>
      </c>
    </row>
    <row r="23" spans="1:29" ht="15">
      <c r="A23" s="362"/>
      <c r="B23" s="408" t="s">
        <v>2565</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45"/>
      <c r="M23" s="2939"/>
      <c r="N23" s="2939"/>
      <c r="O23" s="2997"/>
      <c r="P23" s="3295"/>
      <c r="Q23" s="1534" t="str">
        <f t="shared" ref="Q23:Q37" si="8">B23</f>
        <v>区域土地利用方向</v>
      </c>
      <c r="R23" s="712" t="s">
        <v>17</v>
      </c>
      <c r="S23" s="713">
        <f>F23</f>
        <v>100</v>
      </c>
      <c r="T23" s="712" t="s">
        <v>17</v>
      </c>
      <c r="U23" s="713">
        <f>H23</f>
        <v>100</v>
      </c>
      <c r="V23" s="712" t="s">
        <v>17</v>
      </c>
      <c r="W23" s="713">
        <f>J23</f>
        <v>100</v>
      </c>
      <c r="X23" s="1537"/>
      <c r="Y23" s="3295"/>
      <c r="Z23" s="1538" t="str">
        <f>Q23</f>
        <v>区域土地利用方向</v>
      </c>
      <c r="AA23" s="1535">
        <f t="shared" si="3"/>
        <v>1</v>
      </c>
      <c r="AB23" s="1535">
        <f t="shared" si="4"/>
        <v>1</v>
      </c>
      <c r="AC23" s="1535">
        <f t="shared" si="5"/>
        <v>1</v>
      </c>
    </row>
    <row r="24" spans="1:29" ht="15">
      <c r="A24" s="362"/>
      <c r="B24" s="413"/>
      <c r="C24" s="571" t="s">
        <v>3112</v>
      </c>
      <c r="D24" s="405"/>
      <c r="E24" s="571" t="s">
        <v>3112</v>
      </c>
      <c r="F24" s="405"/>
      <c r="G24" s="571" t="s">
        <v>3112</v>
      </c>
      <c r="H24" s="405"/>
      <c r="I24" s="571" t="s">
        <v>3112</v>
      </c>
      <c r="J24" s="405"/>
      <c r="K24" s="749"/>
      <c r="L24" s="2945"/>
      <c r="M24" s="2939"/>
      <c r="N24" s="2939"/>
      <c r="O24" s="2997"/>
      <c r="P24" s="3295"/>
      <c r="Q24" s="1534"/>
      <c r="R24" s="712"/>
      <c r="S24" s="713"/>
      <c r="T24" s="712"/>
      <c r="U24" s="713"/>
      <c r="V24" s="712"/>
      <c r="W24" s="713"/>
      <c r="X24" s="1537"/>
      <c r="Y24" s="3295"/>
      <c r="Z24" s="1538"/>
      <c r="AA24" s="1535"/>
      <c r="AB24" s="1535"/>
      <c r="AC24" s="1535"/>
    </row>
    <row r="25" spans="1:29" ht="57">
      <c r="A25" s="362"/>
      <c r="B25" s="1291" t="s">
        <v>2566</v>
      </c>
      <c r="C25" s="2138" t="str">
        <f>估价对象房地状况!C20</f>
        <v>区域自然环境：；人文环境；综合评价环境状况一般</v>
      </c>
      <c r="D25" s="407">
        <v>100</v>
      </c>
      <c r="E25" s="409"/>
      <c r="F25" s="407">
        <f>SUMIF(98:98,E26,99:99)-SUMIF(98:98,C26,99:99)+100</f>
        <v>100</v>
      </c>
      <c r="G25" s="409"/>
      <c r="H25" s="407">
        <f>SUMIF(98:98,G26,99:99)-SUMIF(98:98,C26,99:99)+100</f>
        <v>103</v>
      </c>
      <c r="I25" s="411"/>
      <c r="J25" s="407">
        <f>SUMIF(98:98,I26,99:99)-SUMIF(98:98,C26,99:99)+100</f>
        <v>100</v>
      </c>
      <c r="K25" s="627">
        <v>3</v>
      </c>
      <c r="L25" s="2945"/>
      <c r="M25" s="2939"/>
      <c r="N25" s="2939"/>
      <c r="O25" s="2997"/>
      <c r="P25" s="3295"/>
      <c r="Q25" s="1534" t="str">
        <f t="shared" si="8"/>
        <v>自然及人文环境状况</v>
      </c>
      <c r="R25" s="712" t="s">
        <v>17</v>
      </c>
      <c r="S25" s="713">
        <f>F25</f>
        <v>100</v>
      </c>
      <c r="T25" s="712" t="s">
        <v>17</v>
      </c>
      <c r="U25" s="713">
        <f>H25</f>
        <v>103</v>
      </c>
      <c r="V25" s="712" t="s">
        <v>17</v>
      </c>
      <c r="W25" s="713">
        <f>J25</f>
        <v>100</v>
      </c>
      <c r="X25" s="1537"/>
      <c r="Y25" s="3295"/>
      <c r="Z25" s="1538" t="str">
        <f>Q25</f>
        <v>自然及人文环境状况</v>
      </c>
      <c r="AA25" s="1535">
        <f t="shared" si="3"/>
        <v>1</v>
      </c>
      <c r="AB25" s="1535">
        <f t="shared" si="4"/>
        <v>0.970873786407767</v>
      </c>
      <c r="AC25" s="1535">
        <f t="shared" si="5"/>
        <v>1</v>
      </c>
    </row>
    <row r="26" spans="1:29" ht="15">
      <c r="A26" s="362"/>
      <c r="B26" s="413"/>
      <c r="C26" s="404" t="s">
        <v>3114</v>
      </c>
      <c r="D26" s="405"/>
      <c r="E26" s="404" t="s">
        <v>3114</v>
      </c>
      <c r="F26" s="405"/>
      <c r="G26" s="404" t="s">
        <v>3112</v>
      </c>
      <c r="H26" s="405"/>
      <c r="I26" s="404" t="s">
        <v>3114</v>
      </c>
      <c r="J26" s="405"/>
      <c r="K26" s="626"/>
      <c r="L26" s="2945"/>
      <c r="M26" s="2939"/>
      <c r="N26" s="2939"/>
      <c r="O26" s="2997"/>
      <c r="P26" s="3295"/>
      <c r="Q26" s="1534"/>
      <c r="R26" s="712"/>
      <c r="S26" s="713"/>
      <c r="T26" s="712"/>
      <c r="U26" s="713"/>
      <c r="V26" s="712"/>
      <c r="W26" s="713"/>
      <c r="X26" s="1537"/>
      <c r="Y26" s="3295"/>
      <c r="Z26" s="1538"/>
      <c r="AA26" s="1535">
        <v>1</v>
      </c>
      <c r="AB26" s="1535">
        <v>1</v>
      </c>
      <c r="AC26" s="1535">
        <v>1</v>
      </c>
    </row>
    <row r="27" spans="1:29" s="112" customFormat="1" ht="42.75">
      <c r="A27" s="603"/>
      <c r="B27" s="1291" t="s">
        <v>2472</v>
      </c>
      <c r="C27" s="2083"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3</v>
      </c>
      <c r="L27" s="2940"/>
      <c r="M27" s="2941"/>
      <c r="N27" s="2941"/>
      <c r="O27" s="2995"/>
      <c r="P27" s="3295"/>
      <c r="Q27" s="1525" t="str">
        <f t="shared" si="8"/>
        <v>公共配套设施</v>
      </c>
      <c r="R27" s="708" t="s">
        <v>17</v>
      </c>
      <c r="S27" s="709">
        <f>F27</f>
        <v>100</v>
      </c>
      <c r="T27" s="708" t="s">
        <v>17</v>
      </c>
      <c r="U27" s="709">
        <f>H27</f>
        <v>100</v>
      </c>
      <c r="V27" s="708" t="s">
        <v>17</v>
      </c>
      <c r="W27" s="709">
        <f>J27</f>
        <v>100</v>
      </c>
      <c r="X27" s="710"/>
      <c r="Y27" s="3295"/>
      <c r="Z27" s="54" t="str">
        <f>Q27</f>
        <v>公共配套设施</v>
      </c>
      <c r="AA27" s="1535">
        <f>D27/F27</f>
        <v>1</v>
      </c>
      <c r="AB27" s="1535">
        <f>D27/H27</f>
        <v>1</v>
      </c>
      <c r="AC27" s="1535">
        <f>D27/J27</f>
        <v>1</v>
      </c>
    </row>
    <row r="28" spans="1:29" s="112" customFormat="1" ht="15">
      <c r="A28" s="603"/>
      <c r="B28" s="413"/>
      <c r="C28" s="2161" t="s">
        <v>3115</v>
      </c>
      <c r="D28" s="405"/>
      <c r="E28" s="2161" t="s">
        <v>3115</v>
      </c>
      <c r="F28" s="405"/>
      <c r="G28" s="2161" t="s">
        <v>3115</v>
      </c>
      <c r="H28" s="405"/>
      <c r="I28" s="2161" t="s">
        <v>3115</v>
      </c>
      <c r="J28" s="405"/>
      <c r="K28" s="626"/>
      <c r="L28" s="2940"/>
      <c r="M28" s="2941"/>
      <c r="N28" s="2941"/>
      <c r="O28" s="2995"/>
      <c r="P28" s="3295"/>
      <c r="Q28" s="1525"/>
      <c r="R28" s="708"/>
      <c r="S28" s="709"/>
      <c r="T28" s="708"/>
      <c r="U28" s="709"/>
      <c r="V28" s="708"/>
      <c r="W28" s="709"/>
      <c r="X28" s="710"/>
      <c r="Y28" s="3295"/>
      <c r="Z28" s="54"/>
      <c r="AA28" s="1535">
        <v>1</v>
      </c>
      <c r="AB28" s="1535">
        <v>1</v>
      </c>
      <c r="AC28" s="1535">
        <v>1</v>
      </c>
    </row>
    <row r="29" spans="1:29" s="112" customFormat="1" ht="28.5">
      <c r="A29" s="603"/>
      <c r="B29" s="1291" t="s">
        <v>2473</v>
      </c>
      <c r="C29" s="2083"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40"/>
      <c r="M29" s="2941"/>
      <c r="N29" s="2941"/>
      <c r="O29" s="2995"/>
      <c r="P29" s="3295"/>
      <c r="Q29" s="1525" t="str">
        <f t="shared" ref="Q29" si="9">B29</f>
        <v>基础设施水平</v>
      </c>
      <c r="R29" s="708" t="s">
        <v>17</v>
      </c>
      <c r="S29" s="709">
        <f>F29</f>
        <v>100</v>
      </c>
      <c r="T29" s="708" t="s">
        <v>17</v>
      </c>
      <c r="U29" s="709">
        <f>H29</f>
        <v>100</v>
      </c>
      <c r="V29" s="708" t="s">
        <v>17</v>
      </c>
      <c r="W29" s="709">
        <f>J29</f>
        <v>100</v>
      </c>
      <c r="X29" s="710"/>
      <c r="Y29" s="3295"/>
      <c r="Z29" s="54" t="str">
        <f>Q29</f>
        <v>基础设施水平</v>
      </c>
      <c r="AA29" s="1535">
        <f>D29/F29</f>
        <v>1</v>
      </c>
      <c r="AB29" s="1535">
        <f>D29/H29</f>
        <v>1</v>
      </c>
      <c r="AC29" s="1535">
        <f>D29/J29</f>
        <v>1</v>
      </c>
    </row>
    <row r="30" spans="1:29" s="112" customFormat="1" ht="15.75" thickBot="1">
      <c r="A30" s="603"/>
      <c r="B30" s="413"/>
      <c r="C30" s="2161" t="s">
        <v>3106</v>
      </c>
      <c r="D30" s="405"/>
      <c r="E30" s="2161" t="s">
        <v>3106</v>
      </c>
      <c r="F30" s="405"/>
      <c r="G30" s="2161" t="s">
        <v>3106</v>
      </c>
      <c r="H30" s="405"/>
      <c r="I30" s="2161" t="s">
        <v>3106</v>
      </c>
      <c r="J30" s="405"/>
      <c r="K30" s="626"/>
      <c r="L30" s="2940"/>
      <c r="M30" s="2941"/>
      <c r="N30" s="2941"/>
      <c r="O30" s="2995"/>
      <c r="P30" s="3295"/>
      <c r="Q30" s="1525"/>
      <c r="R30" s="708"/>
      <c r="S30" s="709"/>
      <c r="T30" s="708"/>
      <c r="U30" s="709"/>
      <c r="V30" s="708"/>
      <c r="W30" s="709"/>
      <c r="X30" s="710"/>
      <c r="Y30" s="3295"/>
      <c r="Z30" s="54"/>
      <c r="AA30" s="1535">
        <v>1</v>
      </c>
      <c r="AB30" s="1535">
        <v>1</v>
      </c>
      <c r="AC30" s="1535">
        <v>1</v>
      </c>
    </row>
    <row r="31" spans="1:29" ht="15" hidden="1">
      <c r="A31" s="385"/>
      <c r="B31" s="413" t="s">
        <v>2474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5"/>
      <c r="M31" s="2939"/>
      <c r="N31" s="2939"/>
      <c r="O31" s="2997"/>
      <c r="P31" s="3295"/>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295"/>
      <c r="Z31" s="1538" t="str">
        <f t="shared" ref="Z31:Z45" si="13">Q31</f>
        <v>临街状况</v>
      </c>
      <c r="AA31" s="1535">
        <f t="shared" si="3"/>
        <v>1</v>
      </c>
      <c r="AB31" s="1535">
        <f t="shared" si="4"/>
        <v>1</v>
      </c>
      <c r="AC31" s="1535">
        <f t="shared" si="5"/>
        <v>1</v>
      </c>
    </row>
    <row r="32" spans="1:29" ht="27" hidden="1">
      <c r="A32" s="385"/>
      <c r="B32" s="1291" t="s">
        <v>2509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5"/>
      <c r="M32" s="2939"/>
      <c r="N32" s="2939"/>
      <c r="O32" s="2997"/>
      <c r="P32" s="3295"/>
      <c r="Q32" s="1534" t="str">
        <f t="shared" si="8"/>
        <v>毗邻道路的类型与等级</v>
      </c>
      <c r="R32" s="712" t="s">
        <v>17</v>
      </c>
      <c r="S32" s="713">
        <f t="shared" si="10"/>
        <v>100</v>
      </c>
      <c r="T32" s="712" t="s">
        <v>17</v>
      </c>
      <c r="U32" s="713">
        <f t="shared" si="11"/>
        <v>100</v>
      </c>
      <c r="V32" s="712" t="s">
        <v>17</v>
      </c>
      <c r="W32" s="713">
        <f t="shared" si="12"/>
        <v>100</v>
      </c>
      <c r="X32" s="1537"/>
      <c r="Y32" s="3295"/>
      <c r="Z32" s="1538" t="str">
        <f t="shared" si="13"/>
        <v>毗邻道路的类型与等级</v>
      </c>
      <c r="AA32" s="1535">
        <f t="shared" si="3"/>
        <v>1</v>
      </c>
      <c r="AB32" s="1535">
        <f t="shared" si="4"/>
        <v>1</v>
      </c>
      <c r="AC32" s="1535">
        <f t="shared" si="5"/>
        <v>1</v>
      </c>
    </row>
    <row r="33" spans="1:29" ht="15" hidden="1">
      <c r="A33" s="385"/>
      <c r="B33" s="413"/>
      <c r="C33" s="404"/>
      <c r="D33" s="405"/>
      <c r="E33" s="2087"/>
      <c r="F33" s="405"/>
      <c r="G33" s="2087"/>
      <c r="H33" s="405"/>
      <c r="I33" s="404"/>
      <c r="J33" s="405"/>
      <c r="K33" s="568"/>
      <c r="L33" s="2945"/>
      <c r="M33" s="2939"/>
      <c r="N33" s="2939"/>
      <c r="O33" s="2997"/>
      <c r="P33" s="3295"/>
      <c r="Q33" s="1534"/>
      <c r="R33" s="712"/>
      <c r="S33" s="713"/>
      <c r="T33" s="712"/>
      <c r="U33" s="713"/>
      <c r="V33" s="712"/>
      <c r="W33" s="713"/>
      <c r="X33" s="1537"/>
      <c r="Y33" s="3295"/>
      <c r="Z33" s="1538"/>
      <c r="AA33" s="1535">
        <v>1</v>
      </c>
      <c r="AB33" s="1535">
        <v>1</v>
      </c>
      <c r="AC33" s="1535">
        <v>1</v>
      </c>
    </row>
    <row r="34" spans="1:29" ht="15" hidden="1">
      <c r="A34" s="385"/>
      <c r="B34" s="379" t="s">
        <v>2567</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5"/>
      <c r="M34" s="2939"/>
      <c r="N34" s="2939"/>
      <c r="O34" s="2997"/>
      <c r="P34" s="3295"/>
      <c r="Q34" s="1534" t="str">
        <f t="shared" si="8"/>
        <v>土地级别</v>
      </c>
      <c r="R34" s="712" t="s">
        <v>17</v>
      </c>
      <c r="S34" s="713">
        <f t="shared" si="10"/>
        <v>100</v>
      </c>
      <c r="T34" s="712" t="s">
        <v>17</v>
      </c>
      <c r="U34" s="713">
        <f t="shared" si="11"/>
        <v>100</v>
      </c>
      <c r="V34" s="712" t="s">
        <v>17</v>
      </c>
      <c r="W34" s="713">
        <f t="shared" si="12"/>
        <v>100</v>
      </c>
      <c r="X34" s="1537"/>
      <c r="Y34" s="3295"/>
      <c r="Z34" s="1538" t="str">
        <f t="shared" si="13"/>
        <v>土地级别</v>
      </c>
      <c r="AA34" s="1535">
        <f t="shared" si="3"/>
        <v>1</v>
      </c>
      <c r="AB34" s="1535">
        <f t="shared" si="4"/>
        <v>1</v>
      </c>
      <c r="AC34" s="1535">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5"/>
      <c r="M35" s="2939"/>
      <c r="N35" s="2939"/>
      <c r="O35" s="2997"/>
      <c r="P35" s="3295"/>
      <c r="Q35" s="1534">
        <f t="shared" si="8"/>
        <v>111</v>
      </c>
      <c r="R35" s="712" t="s">
        <v>17</v>
      </c>
      <c r="S35" s="713">
        <f t="shared" si="10"/>
        <v>100</v>
      </c>
      <c r="T35" s="712" t="s">
        <v>17</v>
      </c>
      <c r="U35" s="713">
        <f t="shared" si="11"/>
        <v>100</v>
      </c>
      <c r="V35" s="712" t="s">
        <v>17</v>
      </c>
      <c r="W35" s="713">
        <f t="shared" si="12"/>
        <v>100</v>
      </c>
      <c r="X35" s="1537"/>
      <c r="Y35" s="3295"/>
      <c r="Z35" s="1538">
        <f t="shared" si="13"/>
        <v>111</v>
      </c>
      <c r="AA35" s="1535">
        <f t="shared" si="3"/>
        <v>1</v>
      </c>
      <c r="AB35" s="1535">
        <f t="shared" si="4"/>
        <v>1</v>
      </c>
      <c r="AC35" s="1535">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5"/>
      <c r="M36" s="2939"/>
      <c r="N36" s="2939"/>
      <c r="O36" s="2997"/>
      <c r="P36" s="3296" t="s">
        <v>2383</v>
      </c>
      <c r="Q36" s="1534">
        <f t="shared" si="8"/>
        <v>111</v>
      </c>
      <c r="R36" s="712" t="s">
        <v>17</v>
      </c>
      <c r="S36" s="713">
        <f t="shared" si="10"/>
        <v>100</v>
      </c>
      <c r="T36" s="712" t="s">
        <v>17</v>
      </c>
      <c r="U36" s="713">
        <f t="shared" si="11"/>
        <v>100</v>
      </c>
      <c r="V36" s="712" t="s">
        <v>17</v>
      </c>
      <c r="W36" s="713">
        <f t="shared" si="12"/>
        <v>100</v>
      </c>
      <c r="X36" s="1537"/>
      <c r="Y36" s="3297" t="s">
        <v>2383</v>
      </c>
      <c r="Z36" s="1538">
        <f t="shared" si="13"/>
        <v>111</v>
      </c>
      <c r="AA36" s="1535">
        <f t="shared" si="3"/>
        <v>1</v>
      </c>
      <c r="AB36" s="1535">
        <f t="shared" si="4"/>
        <v>1</v>
      </c>
      <c r="AC36" s="1535">
        <f t="shared" si="5"/>
        <v>1</v>
      </c>
    </row>
    <row r="37" spans="1:29" s="428" customFormat="1" ht="15.75" hidden="1"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4"/>
      <c r="M37" s="2946"/>
      <c r="N37" s="2946"/>
      <c r="O37" s="2998"/>
      <c r="P37" s="3297"/>
      <c r="Q37" s="1534">
        <f t="shared" si="8"/>
        <v>111</v>
      </c>
      <c r="R37" s="715" t="s">
        <v>17</v>
      </c>
      <c r="S37" s="716">
        <f t="shared" si="10"/>
        <v>100</v>
      </c>
      <c r="T37" s="715" t="s">
        <v>17</v>
      </c>
      <c r="U37" s="716">
        <f t="shared" si="11"/>
        <v>100</v>
      </c>
      <c r="V37" s="715" t="s">
        <v>17</v>
      </c>
      <c r="W37" s="716">
        <f t="shared" si="12"/>
        <v>100</v>
      </c>
      <c r="X37" s="717"/>
      <c r="Y37" s="3297"/>
      <c r="Z37" s="718">
        <f t="shared" si="13"/>
        <v>111</v>
      </c>
      <c r="AA37" s="1535">
        <f t="shared" si="3"/>
        <v>1</v>
      </c>
      <c r="AB37" s="1535">
        <f t="shared" si="4"/>
        <v>1</v>
      </c>
      <c r="AC37" s="1535">
        <f t="shared" si="5"/>
        <v>1</v>
      </c>
    </row>
    <row r="38" spans="1:29" ht="15">
      <c r="A38" s="429" t="s">
        <v>2381</v>
      </c>
      <c r="B38" s="413" t="s">
        <v>2568</v>
      </c>
      <c r="C38" s="633">
        <v>8832.7999999999993</v>
      </c>
      <c r="D38" s="424">
        <v>100</v>
      </c>
      <c r="E38" s="633">
        <f>土地案例!G4</f>
        <v>40285.32</v>
      </c>
      <c r="F38" s="424">
        <f>LOOKUP(E38,117:117,118:118)-LOOKUP(C38,117:117,118:118)+100</f>
        <v>104</v>
      </c>
      <c r="G38" s="633">
        <f>土地案例!G5</f>
        <v>51736.9</v>
      </c>
      <c r="H38" s="424">
        <f>LOOKUP(G38,117:117,118:118)-LOOKUP(C38,117:117,118:118)+100</f>
        <v>105</v>
      </c>
      <c r="I38" s="485">
        <f>土地案例!G6</f>
        <v>33071.620000000003</v>
      </c>
      <c r="J38" s="424">
        <f>LOOKUP(I38,117:117,118:118)-LOOKUP(C38,117:117,118:118)+100</f>
        <v>103</v>
      </c>
      <c r="K38" s="568"/>
      <c r="L38" s="2945"/>
      <c r="M38" s="2939"/>
      <c r="N38" s="2939"/>
      <c r="O38" s="2997"/>
      <c r="P38" s="3297"/>
      <c r="Q38" s="1534" t="str">
        <f>B38</f>
        <v>宗地面积</v>
      </c>
      <c r="R38" s="712" t="s">
        <v>17</v>
      </c>
      <c r="S38" s="713">
        <f t="shared" si="10"/>
        <v>104</v>
      </c>
      <c r="T38" s="712" t="s">
        <v>17</v>
      </c>
      <c r="U38" s="713">
        <f t="shared" si="11"/>
        <v>105</v>
      </c>
      <c r="V38" s="712" t="s">
        <v>17</v>
      </c>
      <c r="W38" s="713">
        <f t="shared" si="12"/>
        <v>103</v>
      </c>
      <c r="X38" s="1537"/>
      <c r="Y38" s="3297"/>
      <c r="Z38" s="1538" t="str">
        <f t="shared" si="13"/>
        <v>宗地面积</v>
      </c>
      <c r="AA38" s="1535">
        <f t="shared" si="3"/>
        <v>0.96153846153846156</v>
      </c>
      <c r="AB38" s="1535">
        <f t="shared" si="4"/>
        <v>0.95238095238095233</v>
      </c>
      <c r="AC38" s="1535">
        <f t="shared" si="5"/>
        <v>0.970873786407767</v>
      </c>
    </row>
    <row r="39" spans="1:29" ht="15">
      <c r="A39" s="429"/>
      <c r="B39" s="379" t="s">
        <v>2569</v>
      </c>
      <c r="C39" s="2089" t="s">
        <v>3102</v>
      </c>
      <c r="D39" s="392">
        <v>100</v>
      </c>
      <c r="E39" s="2089" t="s">
        <v>3102</v>
      </c>
      <c r="F39" s="392">
        <f>SUMIF(119:119,E39,120:120)-SUMIF(119:119,C39,120:120)+100</f>
        <v>100</v>
      </c>
      <c r="G39" s="2089" t="s">
        <v>3102</v>
      </c>
      <c r="H39" s="392">
        <f>SUMIF(119:119,G39,120:120)-SUMIF(119:119,C39,120:120)+100</f>
        <v>100</v>
      </c>
      <c r="I39" s="2089" t="s">
        <v>3102</v>
      </c>
      <c r="J39" s="392">
        <f>SUMIF(119:119,I39,120:120)-SUMIF(119:119,C39,120:120)+100</f>
        <v>100</v>
      </c>
      <c r="K39" s="567">
        <v>1</v>
      </c>
      <c r="L39" s="2945"/>
      <c r="M39" s="2939"/>
      <c r="N39" s="2939"/>
      <c r="O39" s="2997"/>
      <c r="P39" s="3297"/>
      <c r="Q39" s="1534" t="str">
        <f t="shared" ref="Q39:Q45" si="14">B39</f>
        <v>宗地形状</v>
      </c>
      <c r="R39" s="712" t="s">
        <v>17</v>
      </c>
      <c r="S39" s="713">
        <f t="shared" si="10"/>
        <v>100</v>
      </c>
      <c r="T39" s="712" t="s">
        <v>17</v>
      </c>
      <c r="U39" s="713">
        <f t="shared" si="11"/>
        <v>100</v>
      </c>
      <c r="V39" s="712" t="s">
        <v>17</v>
      </c>
      <c r="W39" s="713">
        <f t="shared" si="12"/>
        <v>100</v>
      </c>
      <c r="X39" s="1537"/>
      <c r="Y39" s="3297"/>
      <c r="Z39" s="1538" t="str">
        <f t="shared" si="13"/>
        <v>宗地形状</v>
      </c>
      <c r="AA39" s="1535">
        <f t="shared" si="3"/>
        <v>1</v>
      </c>
      <c r="AB39" s="1535">
        <f t="shared" si="4"/>
        <v>1</v>
      </c>
      <c r="AC39" s="1535">
        <f t="shared" si="5"/>
        <v>1</v>
      </c>
    </row>
    <row r="40" spans="1:29" ht="15">
      <c r="A40" s="429"/>
      <c r="B40" s="379" t="s">
        <v>2570</v>
      </c>
      <c r="C40" s="2089" t="s">
        <v>3104</v>
      </c>
      <c r="D40" s="392">
        <v>100</v>
      </c>
      <c r="E40" s="2089" t="s">
        <v>3104</v>
      </c>
      <c r="F40" s="392">
        <f>SUMIF(121:121,E40,122:122)-SUMIF(121:121,C40,122:122)+100</f>
        <v>100</v>
      </c>
      <c r="G40" s="2089" t="s">
        <v>3104</v>
      </c>
      <c r="H40" s="392">
        <f>SUMIF(121:121,G40,122:122)-SUMIF(121:121,C40,122:122)+100</f>
        <v>100</v>
      </c>
      <c r="I40" s="2089" t="s">
        <v>3104</v>
      </c>
      <c r="J40" s="392">
        <f>SUMIF(121:121,I40,122:122)-SUMIF(121:121,C40,122:122)+100</f>
        <v>100</v>
      </c>
      <c r="K40" s="567">
        <v>1</v>
      </c>
      <c r="L40" s="2945"/>
      <c r="M40" s="2939"/>
      <c r="N40" s="2939"/>
      <c r="O40" s="2997"/>
      <c r="P40" s="3297"/>
      <c r="Q40" s="1534" t="str">
        <f t="shared" si="14"/>
        <v>临街宽度及深度</v>
      </c>
      <c r="R40" s="712" t="s">
        <v>17</v>
      </c>
      <c r="S40" s="713">
        <f t="shared" si="10"/>
        <v>100</v>
      </c>
      <c r="T40" s="712" t="s">
        <v>17</v>
      </c>
      <c r="U40" s="713">
        <f t="shared" si="11"/>
        <v>100</v>
      </c>
      <c r="V40" s="712" t="s">
        <v>17</v>
      </c>
      <c r="W40" s="713">
        <f t="shared" si="12"/>
        <v>100</v>
      </c>
      <c r="X40" s="1537"/>
      <c r="Y40" s="3297"/>
      <c r="Z40" s="1538" t="str">
        <f t="shared" si="13"/>
        <v>临街宽度及深度</v>
      </c>
      <c r="AA40" s="1535">
        <f t="shared" si="3"/>
        <v>1</v>
      </c>
      <c r="AB40" s="1535">
        <f t="shared" si="4"/>
        <v>1</v>
      </c>
      <c r="AC40" s="1535">
        <f t="shared" si="5"/>
        <v>1</v>
      </c>
    </row>
    <row r="41" spans="1:29" s="112" customFormat="1" ht="15">
      <c r="A41" s="430"/>
      <c r="B41" s="379" t="s">
        <v>2571</v>
      </c>
      <c r="C41" s="2163" t="s">
        <v>3226</v>
      </c>
      <c r="D41" s="130">
        <v>100</v>
      </c>
      <c r="E41" s="2163" t="s">
        <v>3235</v>
      </c>
      <c r="F41" s="392">
        <f>SUMIF(123:123,E41,124:124)-SUMIF(123:123,C41,124:124)+100</f>
        <v>97</v>
      </c>
      <c r="G41" s="2163" t="s">
        <v>3226</v>
      </c>
      <c r="H41" s="392">
        <f>SUMIF(123:123,G41,124:124)-SUMIF(123:123,C41,124:124)+100</f>
        <v>100</v>
      </c>
      <c r="I41" s="2163" t="s">
        <v>3106</v>
      </c>
      <c r="J41" s="392">
        <f>SUMIF(123:123,I41,124:124)-SUMIF(123:123,C41,124:124)+100</f>
        <v>101</v>
      </c>
      <c r="K41" s="567">
        <v>1</v>
      </c>
      <c r="L41" s="2940"/>
      <c r="M41" s="2941"/>
      <c r="N41" s="2941"/>
      <c r="O41" s="2995"/>
      <c r="P41" s="3297"/>
      <c r="Q41" s="1534" t="str">
        <f t="shared" si="14"/>
        <v>宗地开发程度</v>
      </c>
      <c r="R41" s="708" t="s">
        <v>17</v>
      </c>
      <c r="S41" s="709">
        <f t="shared" si="10"/>
        <v>97</v>
      </c>
      <c r="T41" s="708" t="s">
        <v>17</v>
      </c>
      <c r="U41" s="709">
        <f t="shared" si="11"/>
        <v>100</v>
      </c>
      <c r="V41" s="708" t="s">
        <v>17</v>
      </c>
      <c r="W41" s="709">
        <f t="shared" si="12"/>
        <v>101</v>
      </c>
      <c r="X41" s="710"/>
      <c r="Y41" s="3297"/>
      <c r="Z41" s="54" t="str">
        <f t="shared" si="13"/>
        <v>宗地开发程度</v>
      </c>
      <c r="AA41" s="711">
        <f t="shared" si="3"/>
        <v>1.0309278350515463</v>
      </c>
      <c r="AB41" s="711">
        <f t="shared" si="4"/>
        <v>1</v>
      </c>
      <c r="AC41" s="711">
        <f t="shared" si="5"/>
        <v>0.99009900990099009</v>
      </c>
    </row>
    <row r="42" spans="1:29" ht="15.75" thickBot="1">
      <c r="A42" s="429"/>
      <c r="B42" s="379" t="s">
        <v>2572</v>
      </c>
      <c r="C42" s="2089" t="s">
        <v>3112</v>
      </c>
      <c r="D42" s="392">
        <v>100</v>
      </c>
      <c r="E42" s="2089" t="s">
        <v>3112</v>
      </c>
      <c r="F42" s="392">
        <f>SUMIF(125:125,E42,126:126)-SUMIF(125:125,C42,126:126)+100</f>
        <v>100</v>
      </c>
      <c r="G42" s="2089" t="s">
        <v>3112</v>
      </c>
      <c r="H42" s="392">
        <f>SUMIF(125:125,G42,126:126)-SUMIF(125:125,C42,126:126)+100</f>
        <v>100</v>
      </c>
      <c r="I42" s="2089" t="s">
        <v>3112</v>
      </c>
      <c r="J42" s="392">
        <f>SUMIF(125:125,I42,126:126)-SUMIF(125:125,C42,126:126)+100</f>
        <v>100</v>
      </c>
      <c r="K42" s="567">
        <v>1</v>
      </c>
      <c r="L42" s="2945"/>
      <c r="M42" s="2939"/>
      <c r="N42" s="2939"/>
      <c r="O42" s="2997"/>
      <c r="P42" s="3297" t="s">
        <v>2383</v>
      </c>
      <c r="Q42" s="1534" t="str">
        <f t="shared" si="14"/>
        <v>工程地质条件</v>
      </c>
      <c r="R42" s="712" t="s">
        <v>17</v>
      </c>
      <c r="S42" s="713">
        <f t="shared" si="10"/>
        <v>100</v>
      </c>
      <c r="T42" s="712" t="s">
        <v>17</v>
      </c>
      <c r="U42" s="713">
        <f t="shared" si="11"/>
        <v>100</v>
      </c>
      <c r="V42" s="712" t="s">
        <v>17</v>
      </c>
      <c r="W42" s="713">
        <f t="shared" si="12"/>
        <v>100</v>
      </c>
      <c r="X42" s="1537"/>
      <c r="Y42" s="3297" t="s">
        <v>2383</v>
      </c>
      <c r="Z42" s="1538" t="str">
        <f t="shared" si="13"/>
        <v>工程地质条件</v>
      </c>
      <c r="AA42" s="1535">
        <f t="shared" si="3"/>
        <v>1</v>
      </c>
      <c r="AB42" s="1535">
        <f t="shared" si="4"/>
        <v>1</v>
      </c>
      <c r="AC42" s="1535">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5"/>
      <c r="M43" s="2939"/>
      <c r="N43" s="2939"/>
      <c r="O43" s="2997"/>
      <c r="P43" s="3297"/>
      <c r="Q43" s="1534">
        <f t="shared" si="14"/>
        <v>111</v>
      </c>
      <c r="R43" s="712" t="s">
        <v>17</v>
      </c>
      <c r="S43" s="713">
        <f t="shared" si="10"/>
        <v>100</v>
      </c>
      <c r="T43" s="712" t="s">
        <v>17</v>
      </c>
      <c r="U43" s="713">
        <f t="shared" si="11"/>
        <v>100</v>
      </c>
      <c r="V43" s="712" t="s">
        <v>17</v>
      </c>
      <c r="W43" s="713">
        <f t="shared" si="12"/>
        <v>100</v>
      </c>
      <c r="X43" s="1537"/>
      <c r="Y43" s="3297"/>
      <c r="Z43" s="1538">
        <f t="shared" si="13"/>
        <v>111</v>
      </c>
      <c r="AA43" s="1535">
        <f t="shared" si="3"/>
        <v>1</v>
      </c>
      <c r="AB43" s="1535">
        <f t="shared" si="4"/>
        <v>1</v>
      </c>
      <c r="AC43" s="1535">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5"/>
      <c r="M44" s="2939"/>
      <c r="N44" s="2939"/>
      <c r="O44" s="2997"/>
      <c r="P44" s="3297"/>
      <c r="Q44" s="1534">
        <f t="shared" si="14"/>
        <v>111</v>
      </c>
      <c r="R44" s="712" t="s">
        <v>17</v>
      </c>
      <c r="S44" s="713">
        <f t="shared" si="10"/>
        <v>100</v>
      </c>
      <c r="T44" s="712" t="s">
        <v>17</v>
      </c>
      <c r="U44" s="713">
        <f t="shared" si="11"/>
        <v>100</v>
      </c>
      <c r="V44" s="712" t="s">
        <v>17</v>
      </c>
      <c r="W44" s="713">
        <f t="shared" si="12"/>
        <v>100</v>
      </c>
      <c r="X44" s="1537"/>
      <c r="Y44" s="3297"/>
      <c r="Z44" s="1538">
        <f t="shared" si="13"/>
        <v>111</v>
      </c>
      <c r="AA44" s="1535">
        <f t="shared" si="3"/>
        <v>1</v>
      </c>
      <c r="AB44" s="1535">
        <f t="shared" si="4"/>
        <v>1</v>
      </c>
      <c r="AC44" s="1535">
        <f t="shared" si="5"/>
        <v>1</v>
      </c>
    </row>
    <row r="45" spans="1:29" s="428" customFormat="1" ht="15.75" hidden="1" thickBot="1">
      <c r="A45" s="425"/>
      <c r="B45" s="1294">
        <v>111</v>
      </c>
      <c r="C45" s="2164"/>
      <c r="D45" s="634">
        <v>100</v>
      </c>
      <c r="E45" s="628"/>
      <c r="F45" s="395">
        <f>SUMIF(131:131,E45,132:132)-SUMIF(131:131,C45,132:132)+100</f>
        <v>100</v>
      </c>
      <c r="G45" s="628"/>
      <c r="H45" s="395">
        <f>SUMIF(131:131,G45,132:132)-SUMIF(131:131,C45,132:132)+100</f>
        <v>100</v>
      </c>
      <c r="I45" s="628"/>
      <c r="J45" s="395">
        <f>SUMIF(131:131,I45,132:132)-SUMIF(131:131,C45,132:132)+100</f>
        <v>100</v>
      </c>
      <c r="K45" s="635"/>
      <c r="L45" s="2944"/>
      <c r="M45" s="2946"/>
      <c r="N45" s="2946"/>
      <c r="O45" s="2998"/>
      <c r="P45" s="3297"/>
      <c r="Q45" s="1534">
        <f t="shared" si="14"/>
        <v>111</v>
      </c>
      <c r="R45" s="715" t="s">
        <v>17</v>
      </c>
      <c r="S45" s="716">
        <f t="shared" si="10"/>
        <v>100</v>
      </c>
      <c r="T45" s="715" t="s">
        <v>17</v>
      </c>
      <c r="U45" s="716">
        <f t="shared" si="11"/>
        <v>100</v>
      </c>
      <c r="V45" s="715" t="s">
        <v>17</v>
      </c>
      <c r="W45" s="716">
        <f t="shared" si="12"/>
        <v>100</v>
      </c>
      <c r="X45" s="717"/>
      <c r="Y45" s="3297"/>
      <c r="Z45" s="718">
        <f t="shared" si="13"/>
        <v>111</v>
      </c>
      <c r="AA45" s="1535">
        <f t="shared" si="3"/>
        <v>1</v>
      </c>
      <c r="AB45" s="1535">
        <f t="shared" si="4"/>
        <v>1</v>
      </c>
      <c r="AC45" s="1535">
        <f t="shared" si="5"/>
        <v>1</v>
      </c>
    </row>
    <row r="46" spans="1:29" ht="15">
      <c r="A46" s="436" t="s">
        <v>2538</v>
      </c>
      <c r="B46" s="2165" t="s">
        <v>2573</v>
      </c>
      <c r="C46" s="636" t="s">
        <v>1</v>
      </c>
      <c r="D46" s="438"/>
      <c r="E46" s="439">
        <f>土地案例!Q4</f>
        <v>15800</v>
      </c>
      <c r="F46" s="440"/>
      <c r="G46" s="441">
        <v>18382</v>
      </c>
      <c r="H46" s="442"/>
      <c r="I46" s="439">
        <v>14948</v>
      </c>
      <c r="J46" s="442"/>
      <c r="K46" s="721"/>
      <c r="L46" s="2947"/>
      <c r="M46" s="2948"/>
      <c r="N46" s="2939"/>
      <c r="O46" s="2948"/>
      <c r="P46" s="3279" t="str">
        <f>A46</f>
        <v>成交单价</v>
      </c>
      <c r="Q46" s="3279"/>
      <c r="R46" s="3292">
        <f>E46</f>
        <v>15800</v>
      </c>
      <c r="S46" s="3292"/>
      <c r="T46" s="3292">
        <f>G46</f>
        <v>18382</v>
      </c>
      <c r="U46" s="3292"/>
      <c r="V46" s="3292">
        <f>I46</f>
        <v>14948</v>
      </c>
      <c r="W46" s="3292"/>
      <c r="X46" s="697"/>
      <c r="Y46" s="719"/>
      <c r="Z46" s="697"/>
      <c r="AA46" s="697"/>
      <c r="AB46" s="697"/>
      <c r="AC46" s="697"/>
    </row>
    <row r="47" spans="1:29" ht="15.75" thickBot="1">
      <c r="A47" s="443" t="s">
        <v>2487</v>
      </c>
      <c r="B47" s="637"/>
      <c r="C47" s="446">
        <f>R48</f>
        <v>16469</v>
      </c>
      <c r="D47" s="2535" t="s">
        <v>2876</v>
      </c>
      <c r="E47" s="446">
        <f>R47</f>
        <v>16415</v>
      </c>
      <c r="F47" s="2536"/>
      <c r="G47" s="445">
        <f>T47</f>
        <v>17205</v>
      </c>
      <c r="H47" s="2536"/>
      <c r="I47" s="446">
        <f>V47</f>
        <v>15788</v>
      </c>
      <c r="J47" s="2536"/>
      <c r="K47" s="2538">
        <f>F47+H47+J47</f>
        <v>0</v>
      </c>
      <c r="L47" s="2947"/>
      <c r="M47" s="2948"/>
      <c r="N47" s="2948"/>
      <c r="O47" s="2948"/>
      <c r="P47" s="3279" t="str">
        <f>A47</f>
        <v>比较价值（元/平方米）</v>
      </c>
      <c r="Q47" s="3279"/>
      <c r="R47" s="3298">
        <f>ROUND(PRODUCT(R46,AA7:AA45),0)</f>
        <v>16415</v>
      </c>
      <c r="S47" s="3298"/>
      <c r="T47" s="3298">
        <f>ROUND(PRODUCT(T46,AB7:AB45),0)</f>
        <v>17205</v>
      </c>
      <c r="U47" s="3298"/>
      <c r="V47" s="3298">
        <f>ROUND(PRODUCT(V46,AC7:AC45),0)</f>
        <v>15788</v>
      </c>
      <c r="W47" s="3298"/>
      <c r="X47" s="697"/>
      <c r="Y47" s="697"/>
      <c r="Z47" s="697"/>
      <c r="AA47" s="697"/>
      <c r="AB47" s="697"/>
      <c r="AC47" s="697"/>
    </row>
    <row r="48" spans="1:29" ht="15.75" thickBot="1">
      <c r="A48" s="447" t="s">
        <v>2574</v>
      </c>
      <c r="B48" s="448"/>
      <c r="C48" s="449">
        <f>R48</f>
        <v>16469</v>
      </c>
      <c r="D48" s="449"/>
      <c r="E48" s="449"/>
      <c r="F48" s="449"/>
      <c r="G48" s="449"/>
      <c r="H48" s="449"/>
      <c r="I48" s="449"/>
      <c r="J48" s="449"/>
      <c r="K48" s="722"/>
      <c r="L48" s="2947"/>
      <c r="M48" s="2948"/>
      <c r="N48" s="2948"/>
      <c r="O48" s="2948"/>
      <c r="P48" s="3299" t="str">
        <f>A48</f>
        <v>估价对象XX用房的比较价值（楼面单价，元/平方米）</v>
      </c>
      <c r="Q48" s="3300"/>
      <c r="R48" s="3301">
        <f>ROUND(IF(D47="简单平均",AVERAGE(R47:W47),R47*F47+T47*H47+V47*J47),0)</f>
        <v>16469</v>
      </c>
      <c r="S48" s="3301"/>
      <c r="T48" s="3301"/>
      <c r="U48" s="3301"/>
      <c r="V48" s="3301"/>
      <c r="W48" s="3301"/>
      <c r="X48" s="697"/>
      <c r="Y48" s="697"/>
      <c r="Z48" s="697"/>
      <c r="AA48" s="697"/>
      <c r="AB48" s="697"/>
      <c r="AC48" s="697"/>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2" t="s">
        <v>2489</v>
      </c>
      <c r="D51" s="453"/>
      <c r="E51" s="454">
        <f>IF(E46&lt;E47,E47/E46-1,E46/E47-1)</f>
        <v>3.8924050632911378E-2</v>
      </c>
      <c r="F51" s="455" t="str">
        <f>IF(OR(E51&gt;=0.3,E51&lt;=-0.3),"超过30%","")</f>
        <v/>
      </c>
      <c r="G51" s="454">
        <f>IF(G46&lt;G47,G47/G46-1,G46/G47-1)</f>
        <v>6.8410345829700736E-2</v>
      </c>
      <c r="H51" s="455" t="str">
        <f>IF(OR(G51&gt;=0.3,G51&lt;=-0.3),"超过30%","")</f>
        <v/>
      </c>
      <c r="I51" s="454">
        <f>IF(I46&lt;I47,I47/I46-1,I46/I47-1)</f>
        <v>5.6194808670056107E-2</v>
      </c>
      <c r="J51" s="455"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2" t="s">
        <v>2490</v>
      </c>
      <c r="D52" s="456"/>
      <c r="E52" s="454">
        <f>IF(E47&lt;G47,G47/E47-1,E47/G47-1)</f>
        <v>4.8126713371915875E-2</v>
      </c>
      <c r="F52" s="455" t="str">
        <f>IF(OR(E52&gt;=0.2,E52&lt;=-0.2),"超过20%","")</f>
        <v/>
      </c>
      <c r="G52" s="454">
        <f>IF(G47&lt;I47,I47/G47-1,G47/I47-1)</f>
        <v>8.9751710159614806E-2</v>
      </c>
      <c r="H52" s="455" t="str">
        <f>IF(OR(G52&gt;=0.2,G52&lt;=-0.2),"超过20%","")</f>
        <v/>
      </c>
      <c r="I52" s="454">
        <f>IF(I47&lt;E47,E47/I47-1,I47/E47-1)</f>
        <v>3.9713706612617194E-2</v>
      </c>
      <c r="J52" s="455"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7" customFormat="1" ht="13.5" customHeight="1">
      <c r="A53" s="2951"/>
      <c r="B53" s="2951"/>
      <c r="C53" s="452" t="s">
        <v>2491</v>
      </c>
      <c r="D53" s="456"/>
      <c r="E53" s="454">
        <f>IF(E46&lt;G46,G46/E46-1,E46/G46-1)</f>
        <v>0.16341772151898737</v>
      </c>
      <c r="F53" s="455" t="str">
        <f>IF(OR(E53&gt;=0.3,E53&lt;=-0.3),"超过30%","")</f>
        <v/>
      </c>
      <c r="G53" s="454">
        <f>IF(G46&lt;I46,I46/G46-1,G46/I46-1)</f>
        <v>0.22972972972972983</v>
      </c>
      <c r="H53" s="455" t="str">
        <f>IF(OR(G53&gt;=0.3,G53&lt;=-0.3),"超过30%","")</f>
        <v/>
      </c>
      <c r="I53" s="454">
        <f>IF(I46&lt;E46,E46/I46-1,I46/E46-1)</f>
        <v>5.6997591651057E-2</v>
      </c>
      <c r="J53" s="455"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7" customFormat="1" ht="15" thickBot="1">
      <c r="A54" s="2951"/>
      <c r="B54" s="2954"/>
      <c r="C54" s="700"/>
      <c r="D54" s="698"/>
      <c r="E54" s="698"/>
      <c r="F54" s="698"/>
      <c r="G54" s="698"/>
      <c r="H54" s="698"/>
      <c r="I54" s="698"/>
      <c r="J54" s="698"/>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8" t="s">
        <v>2575</v>
      </c>
      <c r="B55" s="639" t="s">
        <v>2576</v>
      </c>
      <c r="C55" s="2166" t="s">
        <v>2577</v>
      </c>
      <c r="D55" s="2167" t="s">
        <v>2578</v>
      </c>
      <c r="E55" s="640" t="s">
        <v>2579</v>
      </c>
      <c r="F55" s="1019" t="s">
        <v>2580</v>
      </c>
      <c r="G55" s="3280" t="s">
        <v>2581</v>
      </c>
      <c r="H55" s="3302"/>
      <c r="I55" s="138" t="s">
        <v>2582</v>
      </c>
      <c r="J55" s="2168">
        <f>项目基本情况!F35</f>
        <v>0</v>
      </c>
      <c r="K55" s="2169" t="s">
        <v>2583</v>
      </c>
      <c r="L55" s="2949"/>
      <c r="M55" s="2948"/>
      <c r="N55" s="2948"/>
      <c r="O55" s="2948"/>
      <c r="P55" s="2948"/>
      <c r="Q55" s="2948"/>
      <c r="R55" s="2948"/>
      <c r="S55" s="2948"/>
      <c r="T55" s="2948"/>
      <c r="U55" s="2948"/>
      <c r="V55" s="2948"/>
      <c r="W55" s="2948"/>
      <c r="X55" s="2948"/>
      <c r="Y55" s="2948"/>
      <c r="Z55" s="2948"/>
      <c r="AA55" s="2948"/>
      <c r="AB55" s="2948"/>
      <c r="AC55" s="2948"/>
    </row>
    <row r="56" spans="1:29" s="646" customFormat="1">
      <c r="A56" s="642" t="s">
        <v>2584</v>
      </c>
      <c r="B56" s="643">
        <f>C48</f>
        <v>16469</v>
      </c>
      <c r="C56" s="644">
        <v>1</v>
      </c>
      <c r="D56" s="1073">
        <v>1</v>
      </c>
      <c r="E56" s="644">
        <f>'数据-汇总表'!E8+'数据-汇总表'!E9</f>
        <v>11601.220000000001</v>
      </c>
      <c r="F56" s="1015">
        <f t="shared" ref="F56:F65" si="15">ROUND(B56*E56/10000,0)</f>
        <v>19106</v>
      </c>
      <c r="G56" s="3303"/>
      <c r="H56" s="3279"/>
      <c r="I56" s="1020">
        <v>1</v>
      </c>
      <c r="J56" s="1023">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6" customFormat="1">
      <c r="A57" s="647" t="s">
        <v>2585</v>
      </c>
      <c r="B57" s="222">
        <f>ROUND($C$48*C57*D57,0)</f>
        <v>0</v>
      </c>
      <c r="C57" s="174">
        <f t="shared" ref="C57:C65" si="16">IF($C$55="北京市系数",I57,J57)</f>
        <v>0</v>
      </c>
      <c r="D57" s="1074">
        <v>0.25</v>
      </c>
      <c r="E57" s="648"/>
      <c r="F57" s="1015">
        <f t="shared" si="15"/>
        <v>0</v>
      </c>
      <c r="G57" s="3304" t="s">
        <v>2586</v>
      </c>
      <c r="H57" s="1016">
        <f>项目基本情况!B37</f>
        <v>0</v>
      </c>
      <c r="I57" s="1020">
        <f>SUMIF(修正!A45:A56,H57,修正!B45:B56)</f>
        <v>0</v>
      </c>
      <c r="J57" s="1024"/>
      <c r="K57" s="2948"/>
      <c r="L57" s="3005"/>
      <c r="M57" s="3005"/>
      <c r="N57" s="3005"/>
      <c r="O57" s="3005"/>
      <c r="P57" s="3005"/>
      <c r="Q57" s="3005"/>
      <c r="R57" s="3005"/>
      <c r="S57" s="3005"/>
      <c r="T57" s="3005"/>
      <c r="U57" s="3005"/>
      <c r="V57" s="3005"/>
      <c r="W57" s="3005"/>
      <c r="X57" s="3005"/>
      <c r="Y57" s="3005"/>
      <c r="Z57" s="3005"/>
      <c r="AA57" s="3005"/>
      <c r="AB57" s="3005"/>
      <c r="AC57" s="3005"/>
    </row>
    <row r="58" spans="1:29" s="646" customFormat="1">
      <c r="A58" s="647" t="s">
        <v>2587</v>
      </c>
      <c r="B58" s="222">
        <f t="shared" ref="B58:B65" si="17">ROUND($C$48*C58*D58,0)</f>
        <v>0</v>
      </c>
      <c r="C58" s="174">
        <f t="shared" si="16"/>
        <v>0</v>
      </c>
      <c r="D58" s="1074">
        <v>0.25</v>
      </c>
      <c r="E58" s="648"/>
      <c r="F58" s="1015">
        <f t="shared" si="15"/>
        <v>0</v>
      </c>
      <c r="G58" s="3304"/>
      <c r="H58" s="1016">
        <f>项目基本情况!B37</f>
        <v>0</v>
      </c>
      <c r="I58" s="1020">
        <f>SUMIF(修正!A45:A56,H58,修正!C45:C56)</f>
        <v>0</v>
      </c>
      <c r="J58" s="1024"/>
      <c r="K58" s="2951"/>
      <c r="L58" s="3005"/>
      <c r="M58" s="3005"/>
      <c r="N58" s="3005"/>
      <c r="O58" s="3005"/>
      <c r="P58" s="3005"/>
      <c r="Q58" s="3005"/>
      <c r="R58" s="3005"/>
      <c r="S58" s="3005"/>
      <c r="T58" s="3005"/>
      <c r="U58" s="3005"/>
      <c r="V58" s="3005"/>
      <c r="W58" s="3005"/>
      <c r="X58" s="3005"/>
      <c r="Y58" s="3005"/>
      <c r="Z58" s="3005"/>
      <c r="AA58" s="3005"/>
      <c r="AB58" s="3005"/>
      <c r="AC58" s="3005"/>
    </row>
    <row r="59" spans="1:29" s="646" customFormat="1">
      <c r="A59" s="647" t="s">
        <v>2588</v>
      </c>
      <c r="B59" s="222">
        <f t="shared" si="17"/>
        <v>0</v>
      </c>
      <c r="C59" s="174">
        <f t="shared" si="16"/>
        <v>0</v>
      </c>
      <c r="D59" s="1074">
        <v>0.25</v>
      </c>
      <c r="E59" s="648"/>
      <c r="F59" s="1015">
        <f t="shared" si="15"/>
        <v>0</v>
      </c>
      <c r="G59" s="3304"/>
      <c r="H59" s="1016">
        <f>项目基本情况!B37</f>
        <v>0</v>
      </c>
      <c r="I59" s="1020">
        <f>SUMIF(修正!A45:A56,H59,修正!D45:D56)</f>
        <v>0</v>
      </c>
      <c r="J59" s="1024"/>
      <c r="K59" s="2948"/>
      <c r="L59" s="3005"/>
      <c r="M59" s="3005"/>
      <c r="N59" s="3005"/>
      <c r="O59" s="3005"/>
      <c r="P59" s="3005"/>
      <c r="Q59" s="3005"/>
      <c r="R59" s="3005"/>
      <c r="S59" s="3005"/>
      <c r="T59" s="3005"/>
      <c r="U59" s="3005"/>
      <c r="V59" s="3005"/>
      <c r="W59" s="3005"/>
      <c r="X59" s="3005"/>
      <c r="Y59" s="3005"/>
      <c r="Z59" s="3005"/>
      <c r="AA59" s="3005"/>
      <c r="AB59" s="3005"/>
      <c r="AC59" s="3005"/>
    </row>
    <row r="60" spans="1:29" s="646" customFormat="1">
      <c r="A60" s="647" t="s">
        <v>2589</v>
      </c>
      <c r="B60" s="222">
        <f t="shared" si="17"/>
        <v>0</v>
      </c>
      <c r="C60" s="174">
        <f t="shared" si="16"/>
        <v>0</v>
      </c>
      <c r="D60" s="1074">
        <v>0.25</v>
      </c>
      <c r="E60" s="648"/>
      <c r="F60" s="1015">
        <f t="shared" si="15"/>
        <v>0</v>
      </c>
      <c r="G60" s="3304"/>
      <c r="H60" s="1016">
        <f>项目基本情况!B37</f>
        <v>0</v>
      </c>
      <c r="I60" s="1020">
        <f>SUMIF(修正!A45:A56,H60,修正!E45:E56)</f>
        <v>0</v>
      </c>
      <c r="J60" s="1024"/>
      <c r="K60" s="2951"/>
      <c r="L60" s="3005"/>
      <c r="M60" s="3005"/>
      <c r="N60" s="3005"/>
      <c r="O60" s="3005"/>
      <c r="P60" s="3005"/>
      <c r="Q60" s="3005"/>
      <c r="R60" s="3005"/>
      <c r="S60" s="3005"/>
      <c r="T60" s="3005"/>
      <c r="U60" s="3005"/>
      <c r="V60" s="3005"/>
      <c r="W60" s="3005"/>
      <c r="X60" s="3005"/>
      <c r="Y60" s="3005"/>
      <c r="Z60" s="3005"/>
      <c r="AA60" s="3005"/>
      <c r="AB60" s="3005"/>
      <c r="AC60" s="3005"/>
    </row>
    <row r="61" spans="1:29" s="646" customFormat="1">
      <c r="A61" s="647" t="s">
        <v>2590</v>
      </c>
      <c r="B61" s="222">
        <f t="shared" si="17"/>
        <v>0</v>
      </c>
      <c r="C61" s="174">
        <f t="shared" si="16"/>
        <v>0</v>
      </c>
      <c r="D61" s="1074">
        <v>0.25</v>
      </c>
      <c r="E61" s="221">
        <f>'数据-汇总表'!E11</f>
        <v>0</v>
      </c>
      <c r="F61" s="1015">
        <f t="shared" si="15"/>
        <v>0</v>
      </c>
      <c r="G61" s="2170" t="s">
        <v>2591</v>
      </c>
      <c r="H61" s="1016">
        <f>项目基本情况!C37</f>
        <v>0</v>
      </c>
      <c r="I61" s="1020">
        <f>SUMIF(修正!A45:A56,H61,修正!F45:F56)</f>
        <v>0</v>
      </c>
      <c r="J61" s="1024"/>
      <c r="K61" s="2948"/>
      <c r="L61" s="3005"/>
      <c r="M61" s="3005"/>
      <c r="N61" s="3005"/>
      <c r="O61" s="3005"/>
      <c r="P61" s="3005"/>
      <c r="Q61" s="3005"/>
      <c r="R61" s="3005"/>
      <c r="S61" s="3005"/>
      <c r="T61" s="3005"/>
      <c r="U61" s="3005"/>
      <c r="V61" s="3005"/>
      <c r="W61" s="3005"/>
      <c r="X61" s="3005"/>
      <c r="Y61" s="3005"/>
      <c r="Z61" s="3005"/>
      <c r="AA61" s="3005"/>
      <c r="AB61" s="3005"/>
      <c r="AC61" s="3005"/>
    </row>
    <row r="62" spans="1:29" s="646" customFormat="1">
      <c r="A62" s="647" t="s">
        <v>2592</v>
      </c>
      <c r="B62" s="222">
        <f t="shared" si="17"/>
        <v>0</v>
      </c>
      <c r="C62" s="174">
        <f t="shared" si="16"/>
        <v>0</v>
      </c>
      <c r="D62" s="1074">
        <v>0.25</v>
      </c>
      <c r="E62" s="221">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51"/>
      <c r="L62" s="3005"/>
      <c r="M62" s="3005"/>
      <c r="N62" s="3005"/>
      <c r="O62" s="3005"/>
      <c r="P62" s="3005"/>
      <c r="Q62" s="3005"/>
      <c r="R62" s="3005"/>
      <c r="S62" s="3005"/>
      <c r="T62" s="3005"/>
      <c r="U62" s="3005"/>
      <c r="V62" s="3005"/>
      <c r="W62" s="3005"/>
      <c r="X62" s="3005"/>
      <c r="Y62" s="3005"/>
      <c r="Z62" s="3005"/>
      <c r="AA62" s="3005"/>
      <c r="AB62" s="3005"/>
      <c r="AC62" s="3005"/>
    </row>
    <row r="63" spans="1:29" s="646" customFormat="1">
      <c r="A63" s="647" t="s">
        <v>2594</v>
      </c>
      <c r="B63" s="222">
        <f t="shared" si="17"/>
        <v>0</v>
      </c>
      <c r="C63" s="174">
        <f t="shared" si="16"/>
        <v>0</v>
      </c>
      <c r="D63" s="1074">
        <v>0.25</v>
      </c>
      <c r="E63" s="221">
        <f>'数据-汇总表'!E13</f>
        <v>0</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8"/>
      <c r="L63" s="3005"/>
      <c r="M63" s="3005"/>
      <c r="N63" s="3005"/>
      <c r="O63" s="3005"/>
      <c r="P63" s="3005"/>
      <c r="Q63" s="3005"/>
      <c r="R63" s="3005"/>
      <c r="S63" s="3005"/>
      <c r="T63" s="3005"/>
      <c r="U63" s="3005"/>
      <c r="V63" s="3005"/>
      <c r="W63" s="3005"/>
      <c r="X63" s="3005"/>
      <c r="Y63" s="3005"/>
      <c r="Z63" s="3005"/>
      <c r="AA63" s="3005"/>
      <c r="AB63" s="3005"/>
      <c r="AC63" s="3005"/>
    </row>
    <row r="64" spans="1:29" s="646" customFormat="1">
      <c r="A64" s="647" t="s">
        <v>2596</v>
      </c>
      <c r="B64" s="222">
        <f t="shared" si="17"/>
        <v>0</v>
      </c>
      <c r="C64" s="174">
        <f t="shared" si="16"/>
        <v>0</v>
      </c>
      <c r="D64" s="1074">
        <v>0.25</v>
      </c>
      <c r="E64" s="221">
        <f>'数据-汇总表'!E14</f>
        <v>0</v>
      </c>
      <c r="F64" s="1015">
        <f t="shared" si="15"/>
        <v>0</v>
      </c>
      <c r="G64" s="2170" t="s">
        <v>2586</v>
      </c>
      <c r="H64" s="1016">
        <f>项目基本情况!B37</f>
        <v>0</v>
      </c>
      <c r="I64" s="1020">
        <f>SUMIF(修正!A45:A56,H64,修正!H45:H56)</f>
        <v>0</v>
      </c>
      <c r="J64" s="1024"/>
      <c r="K64" s="2951"/>
      <c r="L64" s="3005"/>
      <c r="M64" s="3005"/>
      <c r="N64" s="3005"/>
      <c r="O64" s="3005"/>
      <c r="P64" s="3005"/>
      <c r="Q64" s="3005"/>
      <c r="R64" s="3005"/>
      <c r="S64" s="3005"/>
      <c r="T64" s="3005"/>
      <c r="U64" s="3005"/>
      <c r="V64" s="3005"/>
      <c r="W64" s="3005"/>
      <c r="X64" s="3005"/>
      <c r="Y64" s="3005"/>
      <c r="Z64" s="3005"/>
      <c r="AA64" s="3005"/>
      <c r="AB64" s="3005"/>
      <c r="AC64" s="3005"/>
    </row>
    <row r="65" spans="1:29" s="646" customFormat="1" ht="15" thickBot="1">
      <c r="A65" s="647" t="s">
        <v>2597</v>
      </c>
      <c r="B65" s="222">
        <f t="shared" si="17"/>
        <v>0</v>
      </c>
      <c r="C65" s="174">
        <f t="shared" si="16"/>
        <v>0</v>
      </c>
      <c r="D65" s="1074">
        <v>0.25</v>
      </c>
      <c r="E65" s="221">
        <f>'数据-汇总表'!E15</f>
        <v>0</v>
      </c>
      <c r="F65" s="1015">
        <f t="shared" si="15"/>
        <v>0</v>
      </c>
      <c r="G65" s="2171" t="s">
        <v>2591</v>
      </c>
      <c r="H65" s="1026">
        <f>项目基本情况!C37</f>
        <v>0</v>
      </c>
      <c r="I65" s="1022">
        <f>SUMIF(修正!A45:A56,H65,修正!H45:H56)</f>
        <v>0</v>
      </c>
      <c r="J65" s="1025"/>
      <c r="K65" s="2948"/>
      <c r="L65" s="3005"/>
      <c r="M65" s="3005"/>
      <c r="N65" s="3005"/>
      <c r="O65" s="3005"/>
      <c r="P65" s="3005"/>
      <c r="Q65" s="3005"/>
      <c r="R65" s="3005"/>
      <c r="S65" s="3005"/>
      <c r="T65" s="3005"/>
      <c r="U65" s="3005"/>
      <c r="V65" s="3005"/>
      <c r="W65" s="3005"/>
      <c r="X65" s="3005"/>
      <c r="Y65" s="3005"/>
      <c r="Z65" s="3005"/>
      <c r="AA65" s="3005"/>
      <c r="AB65" s="3005"/>
      <c r="AC65" s="3005"/>
    </row>
    <row r="66" spans="1:29" s="646" customFormat="1" ht="13.5" thickBot="1">
      <c r="A66" s="649" t="s">
        <v>2598</v>
      </c>
      <c r="B66" s="650" t="s">
        <v>28</v>
      </c>
      <c r="C66" s="650" t="s">
        <v>29</v>
      </c>
      <c r="D66" s="650" t="s">
        <v>997</v>
      </c>
      <c r="E66" s="650">
        <f>IF(B46="楼面地价",SUM(E56:E65),'数据-汇总表'!D3)</f>
        <v>11601.220000000001</v>
      </c>
      <c r="F66" s="651">
        <f>IF(B46="楼面地价",SUM(F56:F65),ROUND(C48*E66/10000,0))</f>
        <v>19106</v>
      </c>
      <c r="G66" s="724"/>
      <c r="H66" s="724"/>
      <c r="I66" s="724"/>
      <c r="J66" s="724"/>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7"/>
      <c r="B67" s="699"/>
      <c r="C67" s="700"/>
      <c r="D67" s="697"/>
      <c r="E67" s="697"/>
      <c r="F67" s="697"/>
      <c r="G67" s="697"/>
      <c r="H67" s="697"/>
      <c r="I67" s="697"/>
      <c r="J67" s="1056"/>
      <c r="K67" s="1017"/>
      <c r="L67" s="1018"/>
      <c r="M67" s="1056"/>
      <c r="N67" s="1056"/>
      <c r="O67" s="1056"/>
      <c r="P67" s="2948"/>
      <c r="Q67" s="2948"/>
      <c r="R67" s="2948"/>
      <c r="S67" s="2948"/>
      <c r="T67" s="2948"/>
      <c r="U67" s="2948"/>
      <c r="V67" s="2948"/>
      <c r="W67" s="2948"/>
      <c r="X67" s="2948"/>
      <c r="Y67" s="2948"/>
      <c r="Z67" s="2948"/>
      <c r="AA67" s="2948"/>
      <c r="AB67" s="2948"/>
      <c r="AC67" s="2948"/>
    </row>
    <row r="68" spans="1:29">
      <c r="A68" s="697"/>
      <c r="B68" s="699"/>
      <c r="C68" s="699" t="str">
        <f>YEAR(C7)&amp;"-"&amp;MONTH(C7)&amp;"-1"</f>
        <v>2021-4-1</v>
      </c>
      <c r="D68" s="699">
        <f>EDATE(C68,-3)</f>
        <v>44197</v>
      </c>
      <c r="E68" s="699">
        <f>EDATE(D68,-3)</f>
        <v>44105</v>
      </c>
      <c r="F68" s="699">
        <f t="shared" ref="F68:O68" si="18">EDATE(E68,-3)</f>
        <v>44013</v>
      </c>
      <c r="G68" s="699">
        <f t="shared" si="18"/>
        <v>43922</v>
      </c>
      <c r="H68" s="699">
        <f t="shared" si="18"/>
        <v>43831</v>
      </c>
      <c r="I68" s="699">
        <f t="shared" si="18"/>
        <v>43739</v>
      </c>
      <c r="J68" s="699">
        <f t="shared" si="18"/>
        <v>43647</v>
      </c>
      <c r="K68" s="699">
        <f t="shared" si="18"/>
        <v>43556</v>
      </c>
      <c r="L68" s="699">
        <f t="shared" si="18"/>
        <v>43466</v>
      </c>
      <c r="M68" s="699">
        <f t="shared" si="18"/>
        <v>43374</v>
      </c>
      <c r="N68" s="699">
        <f t="shared" si="18"/>
        <v>43282</v>
      </c>
      <c r="O68" s="699">
        <f t="shared" si="18"/>
        <v>43191</v>
      </c>
      <c r="P68" s="2948"/>
      <c r="Q68" s="2948"/>
      <c r="R68" s="2948"/>
      <c r="S68" s="2948"/>
      <c r="T68" s="2948"/>
      <c r="U68" s="2948"/>
      <c r="V68" s="2948"/>
      <c r="W68" s="2948"/>
      <c r="X68" s="2948"/>
      <c r="Y68" s="2948"/>
      <c r="Z68" s="2948"/>
      <c r="AA68" s="2948"/>
      <c r="AB68" s="2948"/>
      <c r="AC68" s="2948"/>
    </row>
    <row r="69" spans="1:29" ht="21.75" thickBot="1">
      <c r="A69" s="701" t="s">
        <v>2492</v>
      </c>
      <c r="B69" s="697"/>
      <c r="C69" s="702"/>
      <c r="D69" s="702"/>
      <c r="E69" s="702"/>
      <c r="F69" s="703"/>
      <c r="G69" s="703"/>
      <c r="H69" s="702"/>
      <c r="I69" s="702"/>
      <c r="J69" s="1069"/>
      <c r="K69" s="1070"/>
      <c r="L69" s="1071"/>
      <c r="M69" s="1069"/>
      <c r="N69" s="2992"/>
      <c r="O69" s="2992"/>
      <c r="P69" s="2992"/>
      <c r="Q69" s="2962"/>
      <c r="R69" s="2948"/>
      <c r="S69" s="2948"/>
      <c r="T69" s="2948"/>
      <c r="U69" s="2948"/>
      <c r="V69" s="2948"/>
      <c r="W69" s="2948"/>
      <c r="X69" s="2948"/>
      <c r="Y69" s="2948"/>
      <c r="Z69" s="2948"/>
      <c r="AA69" s="2948"/>
      <c r="AB69" s="2948"/>
      <c r="AC69" s="2948"/>
    </row>
    <row r="70" spans="1:29" s="463" customFormat="1" ht="15">
      <c r="A70" s="2172" t="s">
        <v>2599</v>
      </c>
      <c r="B70" s="1267"/>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2999"/>
      <c r="Q70" s="2964"/>
      <c r="R70" s="2964"/>
      <c r="S70" s="2964"/>
      <c r="T70" s="2964"/>
      <c r="U70" s="2964"/>
      <c r="V70" s="2964"/>
      <c r="W70" s="2964"/>
      <c r="X70" s="2964"/>
      <c r="Y70" s="2964"/>
      <c r="Z70" s="2964"/>
      <c r="AA70" s="2964"/>
      <c r="AB70" s="2964"/>
      <c r="AC70" s="2964"/>
    </row>
    <row r="71" spans="1:29" s="112" customFormat="1" ht="30" customHeight="1">
      <c r="A71" s="2173" t="s">
        <v>1343</v>
      </c>
      <c r="B71" s="292" t="str">
        <f>"北京市平均增长率"&amp;TEXT(SUMIF(基准地价修正!N21:N25,A71,基准地价修正!P21:P25),"0.00%")</f>
        <v>北京市平均增长率0.00%</v>
      </c>
      <c r="C71" s="558">
        <v>100</v>
      </c>
      <c r="D71" s="550">
        <f>C71-$C$72</f>
        <v>99.5</v>
      </c>
      <c r="E71" s="550">
        <f t="shared" ref="E71:O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550">
        <f t="shared" si="20"/>
        <v>94</v>
      </c>
      <c r="P71" s="2962"/>
      <c r="Q71" s="2882"/>
      <c r="R71" s="2882"/>
      <c r="S71" s="2882"/>
      <c r="T71" s="2882"/>
      <c r="U71" s="2882"/>
      <c r="V71" s="2882"/>
      <c r="W71" s="2882"/>
      <c r="X71" s="2882"/>
      <c r="Y71" s="2882"/>
      <c r="Z71" s="2882"/>
      <c r="AA71" s="2882"/>
      <c r="AB71" s="2882"/>
      <c r="AC71" s="2882"/>
    </row>
    <row r="72" spans="1:29" s="112" customFormat="1" ht="15.75" thickBot="1">
      <c r="A72" s="470" t="s">
        <v>2403</v>
      </c>
      <c r="B72" s="471"/>
      <c r="C72" s="472">
        <v>0.5</v>
      </c>
      <c r="D72" s="473"/>
      <c r="E72" s="473"/>
      <c r="F72" s="473"/>
      <c r="G72" s="473"/>
      <c r="H72" s="473"/>
      <c r="I72" s="473"/>
      <c r="J72" s="473"/>
      <c r="K72" s="473"/>
      <c r="L72" s="473"/>
      <c r="M72" s="474"/>
      <c r="N72" s="473"/>
      <c r="O72" s="1072"/>
      <c r="P72" s="2962"/>
      <c r="Q72" s="2962"/>
      <c r="R72" s="2882"/>
      <c r="S72" s="2882"/>
      <c r="T72" s="2882"/>
      <c r="U72" s="2882"/>
      <c r="V72" s="2882"/>
      <c r="W72" s="2882"/>
      <c r="X72" s="2882"/>
      <c r="Y72" s="2882"/>
      <c r="Z72" s="2882"/>
      <c r="AA72" s="2882"/>
      <c r="AB72" s="2882"/>
      <c r="AC72" s="2882"/>
    </row>
    <row r="73" spans="1:29" s="112" customFormat="1" ht="15">
      <c r="A73" s="476" t="s">
        <v>2368</v>
      </c>
      <c r="B73" s="465"/>
      <c r="C73" s="477" t="s">
        <v>2470</v>
      </c>
      <c r="D73" s="478"/>
      <c r="E73" s="478"/>
      <c r="F73" s="478"/>
      <c r="G73" s="478"/>
      <c r="H73" s="478"/>
      <c r="I73" s="478"/>
      <c r="J73" s="478"/>
      <c r="K73" s="478"/>
      <c r="L73" s="479"/>
      <c r="M73" s="480"/>
      <c r="N73" s="2975"/>
      <c r="O73" s="2975"/>
      <c r="P73" s="3000"/>
      <c r="Q73" s="2962"/>
      <c r="R73" s="2882"/>
      <c r="S73" s="2882"/>
      <c r="T73" s="2882"/>
      <c r="U73" s="2882"/>
      <c r="V73" s="2882"/>
      <c r="W73" s="2882"/>
      <c r="X73" s="2882"/>
      <c r="Y73" s="2882"/>
      <c r="Z73" s="2882"/>
      <c r="AA73" s="2882"/>
      <c r="AB73" s="2882"/>
      <c r="AC73" s="2882"/>
    </row>
    <row r="74" spans="1:29" s="112" customFormat="1" ht="15.75" thickBot="1">
      <c r="A74" s="476"/>
      <c r="B74" s="465"/>
      <c r="C74" s="593">
        <v>100</v>
      </c>
      <c r="D74" s="467"/>
      <c r="E74" s="467"/>
      <c r="F74" s="467"/>
      <c r="G74" s="467"/>
      <c r="H74" s="467"/>
      <c r="I74" s="467"/>
      <c r="J74" s="467"/>
      <c r="K74" s="467"/>
      <c r="L74" s="467"/>
      <c r="M74" s="469"/>
      <c r="N74" s="2975"/>
      <c r="O74" s="2975"/>
      <c r="P74" s="2962"/>
      <c r="Q74" s="2962"/>
      <c r="R74" s="2882"/>
      <c r="S74" s="2882"/>
      <c r="T74" s="2882"/>
      <c r="U74" s="2882"/>
      <c r="V74" s="2882"/>
      <c r="W74" s="2882"/>
      <c r="X74" s="2882"/>
      <c r="Y74" s="2882"/>
      <c r="Z74" s="2882"/>
      <c r="AA74" s="2882"/>
      <c r="AB74" s="2882"/>
      <c r="AC74" s="2882"/>
    </row>
    <row r="75" spans="1:29">
      <c r="A75" s="482" t="s">
        <v>2406</v>
      </c>
      <c r="B75" s="483" t="s">
        <v>2372</v>
      </c>
      <c r="C75" s="3051" t="s">
        <v>3101</v>
      </c>
      <c r="D75" s="485"/>
      <c r="E75" s="485"/>
      <c r="F75" s="485"/>
      <c r="G75" s="485"/>
      <c r="H75" s="485"/>
      <c r="I75" s="485"/>
      <c r="J75" s="485"/>
      <c r="K75" s="486"/>
      <c r="L75" s="487"/>
      <c r="M75" s="488"/>
      <c r="N75" s="2976"/>
      <c r="O75" s="2976"/>
      <c r="P75" s="3001"/>
      <c r="Q75" s="2962"/>
      <c r="R75" s="2948"/>
      <c r="S75" s="2948"/>
      <c r="T75" s="2948"/>
      <c r="U75" s="2948"/>
      <c r="V75" s="2948"/>
      <c r="W75" s="2948"/>
      <c r="X75" s="2948"/>
      <c r="Y75" s="2948"/>
      <c r="Z75" s="2948"/>
      <c r="AA75" s="2948"/>
      <c r="AB75" s="2948"/>
      <c r="AC75" s="2948"/>
    </row>
    <row r="76" spans="1:29" ht="15.75" thickBot="1">
      <c r="A76" s="489"/>
      <c r="B76" s="490"/>
      <c r="C76" s="491">
        <v>100</v>
      </c>
      <c r="D76" s="491"/>
      <c r="E76" s="491"/>
      <c r="F76" s="491"/>
      <c r="G76" s="491"/>
      <c r="H76" s="491"/>
      <c r="I76" s="491"/>
      <c r="J76" s="491"/>
      <c r="K76" s="491"/>
      <c r="L76" s="491"/>
      <c r="M76" s="492"/>
      <c r="N76" s="2977"/>
      <c r="O76" s="2977"/>
      <c r="P76" s="3001"/>
      <c r="Q76" s="2962"/>
      <c r="R76" s="2948"/>
      <c r="S76" s="2948"/>
      <c r="T76" s="2948"/>
      <c r="U76" s="2948"/>
      <c r="V76" s="2948"/>
      <c r="W76" s="2948"/>
      <c r="X76" s="2948"/>
      <c r="Y76" s="2948"/>
      <c r="Z76" s="2948"/>
      <c r="AA76" s="2948"/>
      <c r="AB76" s="2948"/>
      <c r="AC76" s="2948"/>
    </row>
    <row r="77" spans="1:29" ht="27.75" thickTop="1">
      <c r="A77" s="489"/>
      <c r="B77" s="493" t="s">
        <v>2375</v>
      </c>
      <c r="C77" s="494"/>
      <c r="D77" s="494"/>
      <c r="E77" s="494"/>
      <c r="F77" s="494"/>
      <c r="G77" s="494"/>
      <c r="H77" s="494"/>
      <c r="I77" s="494"/>
      <c r="J77" s="494"/>
      <c r="K77" s="495"/>
      <c r="L77" s="496"/>
      <c r="M77" s="497"/>
      <c r="N77" s="2976"/>
      <c r="O77" s="2976"/>
      <c r="P77" s="3001"/>
      <c r="Q77" s="2962"/>
      <c r="R77" s="2948"/>
      <c r="S77" s="2948"/>
      <c r="T77" s="2948"/>
      <c r="U77" s="2948"/>
      <c r="V77" s="2948"/>
      <c r="W77" s="2948"/>
      <c r="X77" s="2948"/>
      <c r="Y77" s="2948"/>
      <c r="Z77" s="2948"/>
      <c r="AA77" s="2948"/>
      <c r="AB77" s="2948"/>
      <c r="AC77" s="2948"/>
    </row>
    <row r="78" spans="1:29" ht="15.75" thickBot="1">
      <c r="A78" s="489"/>
      <c r="B78" s="498"/>
      <c r="C78" s="499"/>
      <c r="D78" s="499"/>
      <c r="E78" s="499"/>
      <c r="F78" s="499"/>
      <c r="G78" s="499"/>
      <c r="H78" s="499"/>
      <c r="I78" s="499"/>
      <c r="J78" s="499"/>
      <c r="K78" s="499"/>
      <c r="L78" s="499"/>
      <c r="M78" s="500"/>
      <c r="N78" s="2977"/>
      <c r="O78" s="2977"/>
      <c r="P78" s="3001"/>
      <c r="Q78" s="2962"/>
      <c r="R78" s="2948"/>
      <c r="S78" s="2948"/>
      <c r="T78" s="2948"/>
      <c r="U78" s="2948"/>
      <c r="V78" s="2948"/>
      <c r="W78" s="2948"/>
      <c r="X78" s="2948"/>
      <c r="Y78" s="2948"/>
      <c r="Z78" s="2948"/>
      <c r="AA78" s="2948"/>
      <c r="AB78" s="2948"/>
      <c r="AC78" s="2948"/>
    </row>
    <row r="79" spans="1:29" ht="15.75" thickTop="1">
      <c r="A79" s="489"/>
      <c r="B79" s="501" t="s">
        <v>2376</v>
      </c>
      <c r="C79" s="502" t="str">
        <f>C80&amp;"（含）"&amp;"-"&amp;D80</f>
        <v>0（含）-1</v>
      </c>
      <c r="D79" s="502" t="str">
        <f t="shared" ref="D79:L79" si="21">D80&amp;"（含）"&amp;"-"&amp;E80</f>
        <v>1（含）-2</v>
      </c>
      <c r="E79" s="502" t="str">
        <f t="shared" si="21"/>
        <v>2（含）-3</v>
      </c>
      <c r="F79" s="502" t="str">
        <f t="shared" si="21"/>
        <v>3（含）-4</v>
      </c>
      <c r="G79" s="502" t="str">
        <f t="shared" si="21"/>
        <v>4（含）-</v>
      </c>
      <c r="H79" s="502" t="str">
        <f t="shared" si="21"/>
        <v>（含）-</v>
      </c>
      <c r="I79" s="502" t="str">
        <f t="shared" si="21"/>
        <v>（含）-</v>
      </c>
      <c r="J79" s="502" t="str">
        <f t="shared" si="21"/>
        <v>（含）-</v>
      </c>
      <c r="K79" s="502" t="str">
        <f t="shared" si="21"/>
        <v>（含）-</v>
      </c>
      <c r="L79" s="502" t="str">
        <f t="shared" si="21"/>
        <v>（含）-</v>
      </c>
      <c r="M79" s="405"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89"/>
      <c r="B80" s="503"/>
      <c r="C80" s="504">
        <v>0</v>
      </c>
      <c r="D80" s="504">
        <v>1</v>
      </c>
      <c r="E80" s="504">
        <v>2</v>
      </c>
      <c r="F80" s="504">
        <v>3</v>
      </c>
      <c r="G80" s="504">
        <v>4</v>
      </c>
      <c r="H80" s="504"/>
      <c r="I80" s="504"/>
      <c r="J80" s="504"/>
      <c r="K80" s="505"/>
      <c r="L80" s="506"/>
      <c r="M80" s="507"/>
      <c r="N80" s="2976"/>
      <c r="O80" s="2976"/>
      <c r="P80" s="3001"/>
      <c r="Q80" s="2962"/>
      <c r="R80" s="2948"/>
      <c r="S80" s="2948"/>
      <c r="T80" s="2948"/>
      <c r="U80" s="2948"/>
      <c r="V80" s="2948"/>
      <c r="W80" s="2948"/>
      <c r="X80" s="2948"/>
      <c r="Y80" s="2948"/>
      <c r="Z80" s="2948"/>
      <c r="AA80" s="2948"/>
      <c r="AB80" s="2948"/>
      <c r="AC80" s="2948"/>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77"/>
      <c r="O81" s="2977"/>
      <c r="P81" s="3001"/>
      <c r="Q81" s="2962"/>
      <c r="R81" s="2948"/>
      <c r="S81" s="2948"/>
      <c r="T81" s="2948"/>
      <c r="U81" s="2948"/>
      <c r="V81" s="2948"/>
      <c r="W81" s="2948"/>
      <c r="X81" s="2948"/>
      <c r="Y81" s="2948"/>
      <c r="Z81" s="2948"/>
      <c r="AA81" s="2948"/>
      <c r="AB81" s="2948"/>
      <c r="AC81" s="2948"/>
    </row>
    <row r="82" spans="1:29" s="428" customFormat="1" ht="15.75" thickTop="1">
      <c r="A82" s="508"/>
      <c r="B82" s="493">
        <f>B12</f>
        <v>0</v>
      </c>
      <c r="C82" s="509"/>
      <c r="D82" s="509"/>
      <c r="E82" s="509"/>
      <c r="F82" s="509"/>
      <c r="G82" s="509"/>
      <c r="H82" s="510"/>
      <c r="I82" s="510"/>
      <c r="J82" s="510"/>
      <c r="K82" s="510"/>
      <c r="L82" s="511"/>
      <c r="M82" s="512"/>
      <c r="N82" s="2978"/>
      <c r="O82" s="2978"/>
      <c r="P82" s="3002"/>
      <c r="Q82" s="2969"/>
      <c r="R82" s="2970"/>
      <c r="S82" s="2970"/>
      <c r="T82" s="2970"/>
      <c r="U82" s="2970"/>
      <c r="V82" s="2970"/>
      <c r="W82" s="2970"/>
      <c r="X82" s="2970"/>
      <c r="Y82" s="2970"/>
      <c r="Z82" s="2970"/>
      <c r="AA82" s="2970"/>
      <c r="AB82" s="2970"/>
      <c r="AC82" s="2970"/>
    </row>
    <row r="83" spans="1:29" s="428" customFormat="1" ht="15.75" thickBot="1">
      <c r="A83" s="508"/>
      <c r="B83" s="498"/>
      <c r="C83" s="515"/>
      <c r="D83" s="491"/>
      <c r="E83" s="491"/>
      <c r="F83" s="491"/>
      <c r="G83" s="491"/>
      <c r="H83" s="491"/>
      <c r="I83" s="491"/>
      <c r="J83" s="491"/>
      <c r="K83" s="491"/>
      <c r="L83" s="491"/>
      <c r="M83" s="492"/>
      <c r="N83" s="2977"/>
      <c r="O83" s="2977"/>
      <c r="P83" s="3002"/>
      <c r="Q83" s="2969"/>
      <c r="R83" s="2970"/>
      <c r="S83" s="2970"/>
      <c r="T83" s="2970"/>
      <c r="U83" s="2970"/>
      <c r="V83" s="2970"/>
      <c r="W83" s="2970"/>
      <c r="X83" s="2970"/>
      <c r="Y83" s="2970"/>
      <c r="Z83" s="2970"/>
      <c r="AA83" s="2970"/>
      <c r="AB83" s="2970"/>
      <c r="AC83" s="2970"/>
    </row>
    <row r="84" spans="1:29" s="428" customFormat="1" ht="15.75" hidden="1" thickTop="1">
      <c r="A84" s="508"/>
      <c r="B84" s="493">
        <f>B13</f>
        <v>111</v>
      </c>
      <c r="C84" s="509"/>
      <c r="D84" s="509"/>
      <c r="E84" s="509"/>
      <c r="F84" s="509"/>
      <c r="G84" s="509"/>
      <c r="H84" s="510"/>
      <c r="I84" s="510"/>
      <c r="J84" s="510"/>
      <c r="K84" s="510"/>
      <c r="L84" s="511"/>
      <c r="M84" s="512"/>
      <c r="N84" s="2978"/>
      <c r="O84" s="2978"/>
      <c r="P84" s="2946"/>
      <c r="Q84" s="2972"/>
      <c r="R84" s="2970"/>
      <c r="S84" s="2970"/>
      <c r="T84" s="2970"/>
      <c r="U84" s="2970"/>
      <c r="V84" s="2970"/>
      <c r="W84" s="2970"/>
      <c r="X84" s="2970"/>
      <c r="Y84" s="2970"/>
      <c r="Z84" s="2970"/>
      <c r="AA84" s="2970"/>
      <c r="AB84" s="2970"/>
      <c r="AC84" s="2970"/>
    </row>
    <row r="85" spans="1:29" s="428" customFormat="1" ht="15.75" hidden="1" thickBot="1">
      <c r="A85" s="508"/>
      <c r="B85" s="498"/>
      <c r="C85" s="515"/>
      <c r="D85" s="515"/>
      <c r="E85" s="515"/>
      <c r="F85" s="515"/>
      <c r="G85" s="515"/>
      <c r="H85" s="517"/>
      <c r="I85" s="517"/>
      <c r="J85" s="517"/>
      <c r="K85" s="517"/>
      <c r="L85" s="517"/>
      <c r="M85" s="518"/>
      <c r="N85" s="2978"/>
      <c r="O85" s="2978"/>
      <c r="P85" s="3002"/>
      <c r="Q85" s="2969"/>
      <c r="R85" s="2970"/>
      <c r="S85" s="2970"/>
      <c r="T85" s="2970"/>
      <c r="U85" s="2970"/>
      <c r="V85" s="2970"/>
      <c r="W85" s="2970"/>
      <c r="X85" s="2970"/>
      <c r="Y85" s="2970"/>
      <c r="Z85" s="2970"/>
      <c r="AA85" s="2970"/>
      <c r="AB85" s="2970"/>
      <c r="AC85" s="2970"/>
    </row>
    <row r="86" spans="1:29" s="428" customFormat="1" ht="15.75" hidden="1" thickTop="1">
      <c r="A86" s="508"/>
      <c r="B86" s="501">
        <f>B14</f>
        <v>111</v>
      </c>
      <c r="C86" s="478"/>
      <c r="D86" s="478"/>
      <c r="E86" s="478"/>
      <c r="F86" s="478"/>
      <c r="G86" s="478"/>
      <c r="H86" s="519"/>
      <c r="I86" s="519"/>
      <c r="J86" s="519"/>
      <c r="K86" s="519"/>
      <c r="L86" s="520"/>
      <c r="M86" s="521"/>
      <c r="N86" s="2978"/>
      <c r="O86" s="2978"/>
      <c r="P86" s="3007"/>
      <c r="Q86" s="2969"/>
      <c r="R86" s="2970"/>
      <c r="S86" s="2970"/>
      <c r="T86" s="2970"/>
      <c r="U86" s="2970"/>
      <c r="V86" s="2970"/>
      <c r="W86" s="2970"/>
      <c r="X86" s="2970"/>
      <c r="Y86" s="2970"/>
      <c r="Z86" s="2970"/>
      <c r="AA86" s="2970"/>
      <c r="AB86" s="2970"/>
      <c r="AC86" s="2970"/>
    </row>
    <row r="87" spans="1:29" s="428" customFormat="1" ht="15.75" hidden="1" thickBot="1">
      <c r="A87" s="523"/>
      <c r="B87" s="524"/>
      <c r="C87" s="525"/>
      <c r="D87" s="525"/>
      <c r="E87" s="525"/>
      <c r="F87" s="525"/>
      <c r="G87" s="525"/>
      <c r="H87" s="526"/>
      <c r="I87" s="526"/>
      <c r="J87" s="526"/>
      <c r="K87" s="526"/>
      <c r="L87" s="526"/>
      <c r="M87" s="527"/>
      <c r="N87" s="2978"/>
      <c r="O87" s="2978"/>
      <c r="P87" s="3002"/>
      <c r="Q87" s="2969"/>
      <c r="R87" s="2970"/>
      <c r="S87" s="2970"/>
      <c r="T87" s="2970"/>
      <c r="U87" s="2970"/>
      <c r="V87" s="2970"/>
      <c r="W87" s="2970"/>
      <c r="X87" s="2970"/>
      <c r="Y87" s="2970"/>
      <c r="Z87" s="2970"/>
      <c r="AA87" s="2970"/>
      <c r="AB87" s="2970"/>
      <c r="AC87" s="2970"/>
    </row>
    <row r="88" spans="1:29" ht="15" thickTop="1">
      <c r="A88" s="482" t="s">
        <v>2377</v>
      </c>
      <c r="B88" s="483" t="s">
        <v>2414</v>
      </c>
      <c r="C88" s="528" t="s">
        <v>2415</v>
      </c>
      <c r="D88" s="528" t="s">
        <v>2416</v>
      </c>
      <c r="E88" s="528" t="s">
        <v>2417</v>
      </c>
      <c r="F88" s="528" t="s">
        <v>2418</v>
      </c>
      <c r="G88" s="528" t="s">
        <v>2419</v>
      </c>
      <c r="H88" s="484"/>
      <c r="I88" s="484"/>
      <c r="J88" s="484"/>
      <c r="K88" s="529"/>
      <c r="L88" s="530"/>
      <c r="M88" s="531"/>
      <c r="N88" s="2976"/>
      <c r="O88" s="2976"/>
      <c r="P88" s="3003"/>
      <c r="Q88" s="2962"/>
      <c r="R88" s="2948"/>
      <c r="S88" s="2948"/>
      <c r="T88" s="2948"/>
      <c r="U88" s="2948"/>
      <c r="V88" s="2948"/>
      <c r="W88" s="2948"/>
      <c r="X88" s="2948"/>
      <c r="Y88" s="2948"/>
      <c r="Z88" s="2948"/>
      <c r="AA88" s="2948"/>
      <c r="AB88" s="2948"/>
      <c r="AC88" s="2948"/>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7"/>
      <c r="O89" s="2977"/>
      <c r="P89" s="3001"/>
      <c r="Q89" s="2962"/>
      <c r="R89" s="2948"/>
      <c r="S89" s="2948"/>
      <c r="T89" s="2948"/>
      <c r="U89" s="2948"/>
      <c r="V89" s="2948"/>
      <c r="W89" s="2948"/>
      <c r="X89" s="2948"/>
      <c r="Y89" s="2948"/>
      <c r="Z89" s="2948"/>
      <c r="AA89" s="2948"/>
      <c r="AB89" s="2948"/>
      <c r="AC89" s="2948"/>
    </row>
    <row r="90" spans="1:29" ht="15.75" thickTop="1">
      <c r="A90" s="489"/>
      <c r="B90" s="493" t="s">
        <v>2600</v>
      </c>
      <c r="C90" s="533" t="s">
        <v>2415</v>
      </c>
      <c r="D90" s="533" t="s">
        <v>2416</v>
      </c>
      <c r="E90" s="533" t="s">
        <v>2417</v>
      </c>
      <c r="F90" s="533" t="s">
        <v>2418</v>
      </c>
      <c r="G90" s="533" t="s">
        <v>2419</v>
      </c>
      <c r="H90" s="494"/>
      <c r="I90" s="494"/>
      <c r="J90" s="494"/>
      <c r="K90" s="495"/>
      <c r="L90" s="496"/>
      <c r="M90" s="497"/>
      <c r="N90" s="2976"/>
      <c r="O90" s="2976"/>
      <c r="P90" s="3001"/>
      <c r="Q90" s="2962"/>
      <c r="R90" s="2948"/>
      <c r="S90" s="2948"/>
      <c r="T90" s="2948"/>
      <c r="U90" s="2948"/>
      <c r="V90" s="2948"/>
      <c r="W90" s="2948"/>
      <c r="X90" s="2948"/>
      <c r="Y90" s="2948"/>
      <c r="Z90" s="2948"/>
      <c r="AA90" s="2948"/>
      <c r="AB90" s="2948"/>
      <c r="AC90" s="2948"/>
    </row>
    <row r="91" spans="1:29" ht="15.75" thickBot="1">
      <c r="A91" s="489"/>
      <c r="B91" s="498"/>
      <c r="C91" s="499">
        <v>100</v>
      </c>
      <c r="D91" s="499">
        <f>C91-$K17</f>
        <v>97</v>
      </c>
      <c r="E91" s="499">
        <f>D91-$K17</f>
        <v>94</v>
      </c>
      <c r="F91" s="499">
        <f>E91-$K17</f>
        <v>91</v>
      </c>
      <c r="G91" s="499">
        <f>F91-$K17</f>
        <v>88</v>
      </c>
      <c r="H91" s="499"/>
      <c r="I91" s="499"/>
      <c r="J91" s="499"/>
      <c r="K91" s="499"/>
      <c r="L91" s="499"/>
      <c r="M91" s="500"/>
      <c r="N91" s="2977"/>
      <c r="O91" s="2977"/>
      <c r="P91" s="3001"/>
      <c r="Q91" s="2962"/>
      <c r="R91" s="2948"/>
      <c r="S91" s="2948"/>
      <c r="T91" s="2948"/>
      <c r="U91" s="2948"/>
      <c r="V91" s="2948"/>
      <c r="W91" s="2948"/>
      <c r="X91" s="2948"/>
      <c r="Y91" s="2948"/>
      <c r="Z91" s="2948"/>
      <c r="AA91" s="2948"/>
      <c r="AB91" s="2948"/>
      <c r="AC91" s="2948"/>
    </row>
    <row r="92" spans="1:29" ht="15.75" thickTop="1">
      <c r="A92" s="489"/>
      <c r="B92" s="493" t="s">
        <v>2515</v>
      </c>
      <c r="C92" s="533" t="s">
        <v>2415</v>
      </c>
      <c r="D92" s="533" t="s">
        <v>2416</v>
      </c>
      <c r="E92" s="533" t="s">
        <v>2417</v>
      </c>
      <c r="F92" s="533" t="s">
        <v>2418</v>
      </c>
      <c r="G92" s="533" t="s">
        <v>2419</v>
      </c>
      <c r="H92" s="494"/>
      <c r="I92" s="494"/>
      <c r="J92" s="494"/>
      <c r="K92" s="495"/>
      <c r="L92" s="496"/>
      <c r="M92" s="497"/>
      <c r="N92" s="2976"/>
      <c r="O92" s="2976"/>
      <c r="P92" s="3001"/>
      <c r="Q92" s="2962"/>
      <c r="R92" s="2948"/>
      <c r="S92" s="2948"/>
      <c r="T92" s="2948"/>
      <c r="U92" s="2948"/>
      <c r="V92" s="2948"/>
      <c r="W92" s="2948"/>
      <c r="X92" s="2948"/>
      <c r="Y92" s="2948"/>
      <c r="Z92" s="2948"/>
      <c r="AA92" s="2948"/>
      <c r="AB92" s="2948"/>
      <c r="AC92" s="2948"/>
    </row>
    <row r="93" spans="1:29" ht="15.75" thickBot="1">
      <c r="A93" s="489"/>
      <c r="B93" s="498"/>
      <c r="C93" s="499">
        <v>100</v>
      </c>
      <c r="D93" s="499">
        <f>C93-$K19</f>
        <v>97</v>
      </c>
      <c r="E93" s="499">
        <f>D93-$K19</f>
        <v>94</v>
      </c>
      <c r="F93" s="499">
        <f>E93-$K19</f>
        <v>91</v>
      </c>
      <c r="G93" s="499">
        <f>F93-$K19</f>
        <v>88</v>
      </c>
      <c r="H93" s="499"/>
      <c r="I93" s="499"/>
      <c r="J93" s="499"/>
      <c r="K93" s="499"/>
      <c r="L93" s="499"/>
      <c r="M93" s="500"/>
      <c r="N93" s="2977"/>
      <c r="O93" s="2977"/>
      <c r="P93" s="3001"/>
      <c r="Q93" s="2962"/>
      <c r="R93" s="2948"/>
      <c r="S93" s="2948"/>
      <c r="T93" s="2948"/>
      <c r="U93" s="2948"/>
      <c r="V93" s="2948"/>
      <c r="W93" s="2948"/>
      <c r="X93" s="2948"/>
      <c r="Y93" s="2948"/>
      <c r="Z93" s="2948"/>
      <c r="AA93" s="2948"/>
      <c r="AB93" s="2948"/>
      <c r="AC93" s="2948"/>
    </row>
    <row r="94" spans="1:29" ht="15.75" thickTop="1">
      <c r="A94" s="489"/>
      <c r="B94" s="493" t="s">
        <v>2420</v>
      </c>
      <c r="C94" s="533" t="s">
        <v>2415</v>
      </c>
      <c r="D94" s="533" t="s">
        <v>2416</v>
      </c>
      <c r="E94" s="533" t="s">
        <v>2417</v>
      </c>
      <c r="F94" s="533" t="s">
        <v>2418</v>
      </c>
      <c r="G94" s="533" t="s">
        <v>2419</v>
      </c>
      <c r="H94" s="494"/>
      <c r="I94" s="494"/>
      <c r="J94" s="494"/>
      <c r="K94" s="495"/>
      <c r="L94" s="496"/>
      <c r="M94" s="497"/>
      <c r="N94" s="2976"/>
      <c r="O94" s="2976"/>
      <c r="P94" s="3001"/>
      <c r="Q94" s="2962"/>
      <c r="R94" s="2948"/>
      <c r="S94" s="2948"/>
      <c r="T94" s="2948"/>
      <c r="U94" s="2948"/>
      <c r="V94" s="2948"/>
      <c r="W94" s="2948"/>
      <c r="X94" s="2948"/>
      <c r="Y94" s="2948"/>
      <c r="Z94" s="2948"/>
      <c r="AA94" s="2948"/>
      <c r="AB94" s="2948"/>
      <c r="AC94" s="2948"/>
    </row>
    <row r="95" spans="1:29" ht="15.75" thickBot="1">
      <c r="A95" s="489"/>
      <c r="B95" s="498"/>
      <c r="C95" s="499">
        <v>100</v>
      </c>
      <c r="D95" s="499">
        <f>C95-$K21</f>
        <v>97</v>
      </c>
      <c r="E95" s="499">
        <f>D95-$K21</f>
        <v>94</v>
      </c>
      <c r="F95" s="499">
        <f>E95-$K21</f>
        <v>91</v>
      </c>
      <c r="G95" s="499">
        <f>F95-$K21</f>
        <v>88</v>
      </c>
      <c r="H95" s="499"/>
      <c r="I95" s="499"/>
      <c r="J95" s="499"/>
      <c r="K95" s="499"/>
      <c r="L95" s="499"/>
      <c r="M95" s="500"/>
      <c r="N95" s="2977"/>
      <c r="O95" s="2977"/>
      <c r="P95" s="3001"/>
      <c r="Q95" s="2962"/>
      <c r="R95" s="2948"/>
      <c r="S95" s="2948"/>
      <c r="T95" s="2948"/>
      <c r="U95" s="2948"/>
      <c r="V95" s="2948"/>
      <c r="W95" s="2948"/>
      <c r="X95" s="2948"/>
      <c r="Y95" s="2948"/>
      <c r="Z95" s="2948"/>
      <c r="AA95" s="2948"/>
      <c r="AB95" s="2948"/>
      <c r="AC95" s="2948"/>
    </row>
    <row r="96" spans="1:29" s="112" customFormat="1" ht="15.75" thickTop="1">
      <c r="A96" s="534"/>
      <c r="B96" s="493" t="s">
        <v>2601</v>
      </c>
      <c r="C96" s="533" t="s">
        <v>2415</v>
      </c>
      <c r="D96" s="533" t="s">
        <v>2416</v>
      </c>
      <c r="E96" s="533" t="s">
        <v>2417</v>
      </c>
      <c r="F96" s="533" t="s">
        <v>2418</v>
      </c>
      <c r="G96" s="533" t="s">
        <v>2419</v>
      </c>
      <c r="H96" s="533"/>
      <c r="I96" s="533"/>
      <c r="J96" s="533"/>
      <c r="K96" s="533"/>
      <c r="L96" s="652"/>
      <c r="M96" s="576"/>
      <c r="N96" s="2975"/>
      <c r="O96" s="2975"/>
      <c r="P96" s="3001"/>
      <c r="Q96" s="2962"/>
      <c r="R96" s="2882"/>
      <c r="S96" s="2882"/>
      <c r="T96" s="2882"/>
      <c r="U96" s="2882"/>
      <c r="V96" s="2882"/>
      <c r="W96" s="2882"/>
      <c r="X96" s="2882"/>
      <c r="Y96" s="2882"/>
      <c r="Z96" s="2882"/>
      <c r="AA96" s="2882"/>
      <c r="AB96" s="2882"/>
      <c r="AC96" s="2882"/>
    </row>
    <row r="97" spans="1:29" s="112" customFormat="1" ht="15.75" thickBot="1">
      <c r="A97" s="534"/>
      <c r="B97" s="498"/>
      <c r="C97" s="537">
        <v>100</v>
      </c>
      <c r="D97" s="499">
        <f>C97-$K23</f>
        <v>99</v>
      </c>
      <c r="E97" s="499">
        <f>D97-$K23</f>
        <v>98</v>
      </c>
      <c r="F97" s="499">
        <f>E97-$K23</f>
        <v>97</v>
      </c>
      <c r="G97" s="499">
        <f>F97-$K23</f>
        <v>96</v>
      </c>
      <c r="H97" s="499"/>
      <c r="I97" s="499"/>
      <c r="J97" s="499"/>
      <c r="K97" s="499"/>
      <c r="L97" s="499"/>
      <c r="M97" s="500"/>
      <c r="N97" s="2977"/>
      <c r="O97" s="2977"/>
      <c r="P97" s="3001"/>
      <c r="Q97" s="2962"/>
      <c r="R97" s="2882"/>
      <c r="S97" s="2882"/>
      <c r="T97" s="2882"/>
      <c r="U97" s="2882"/>
      <c r="V97" s="2882"/>
      <c r="W97" s="2882"/>
      <c r="X97" s="2882"/>
      <c r="Y97" s="2882"/>
      <c r="Z97" s="2882"/>
      <c r="AA97" s="2882"/>
      <c r="AB97" s="2882"/>
      <c r="AC97" s="2882"/>
    </row>
    <row r="98" spans="1:29" s="112" customFormat="1" ht="27.75" thickTop="1">
      <c r="A98" s="534"/>
      <c r="B98" s="493" t="s">
        <v>2602</v>
      </c>
      <c r="C98" s="528" t="s">
        <v>2415</v>
      </c>
      <c r="D98" s="528" t="s">
        <v>2416</v>
      </c>
      <c r="E98" s="528" t="s">
        <v>2417</v>
      </c>
      <c r="F98" s="528" t="s">
        <v>2418</v>
      </c>
      <c r="G98" s="528" t="s">
        <v>2419</v>
      </c>
      <c r="H98" s="533"/>
      <c r="I98" s="533"/>
      <c r="J98" s="533"/>
      <c r="K98" s="533"/>
      <c r="L98" s="533"/>
      <c r="M98" s="576"/>
      <c r="N98" s="2975"/>
      <c r="O98" s="2975"/>
      <c r="P98" s="3001"/>
      <c r="Q98" s="2962"/>
      <c r="R98" s="2882"/>
      <c r="S98" s="2882"/>
      <c r="T98" s="2882"/>
      <c r="U98" s="2882"/>
      <c r="V98" s="2882"/>
      <c r="W98" s="2882"/>
      <c r="X98" s="2882"/>
      <c r="Y98" s="2882"/>
      <c r="Z98" s="2882"/>
      <c r="AA98" s="2882"/>
      <c r="AB98" s="2882"/>
      <c r="AC98" s="2882"/>
    </row>
    <row r="99" spans="1:29" s="112" customFormat="1" ht="15.75" thickBot="1">
      <c r="A99" s="534"/>
      <c r="B99" s="498"/>
      <c r="C99" s="499">
        <v>100</v>
      </c>
      <c r="D99" s="499">
        <f>C99-$K25</f>
        <v>97</v>
      </c>
      <c r="E99" s="499">
        <f>D99-$K25</f>
        <v>94</v>
      </c>
      <c r="F99" s="499">
        <f>E99-$K25</f>
        <v>91</v>
      </c>
      <c r="G99" s="499">
        <f>F99-$K25</f>
        <v>88</v>
      </c>
      <c r="H99" s="499"/>
      <c r="I99" s="499"/>
      <c r="J99" s="499"/>
      <c r="K99" s="499"/>
      <c r="L99" s="499"/>
      <c r="M99" s="500"/>
      <c r="N99" s="2977"/>
      <c r="O99" s="2977"/>
      <c r="P99" s="3001"/>
      <c r="Q99" s="2962"/>
      <c r="R99" s="2882"/>
      <c r="S99" s="2882"/>
      <c r="T99" s="2882"/>
      <c r="U99" s="2882"/>
      <c r="V99" s="2882"/>
      <c r="W99" s="2882"/>
      <c r="X99" s="2882"/>
      <c r="Y99" s="2882"/>
      <c r="Z99" s="2882"/>
      <c r="AA99" s="2882"/>
      <c r="AB99" s="2882"/>
      <c r="AC99" s="2882"/>
    </row>
    <row r="100" spans="1:29" s="428" customFormat="1" ht="15.75" thickTop="1">
      <c r="A100" s="508"/>
      <c r="B100" s="493" t="s">
        <v>2472</v>
      </c>
      <c r="C100" s="528" t="s">
        <v>2415</v>
      </c>
      <c r="D100" s="528" t="s">
        <v>2416</v>
      </c>
      <c r="E100" s="528" t="s">
        <v>2417</v>
      </c>
      <c r="F100" s="528" t="s">
        <v>2418</v>
      </c>
      <c r="G100" s="528" t="s">
        <v>2419</v>
      </c>
      <c r="H100" s="555"/>
      <c r="I100" s="555"/>
      <c r="J100" s="555"/>
      <c r="K100" s="555"/>
      <c r="L100" s="556"/>
      <c r="M100" s="557"/>
      <c r="N100" s="2978"/>
      <c r="O100" s="2978"/>
      <c r="P100" s="3002"/>
      <c r="Q100" s="2969"/>
      <c r="R100" s="2970"/>
      <c r="S100" s="2970"/>
      <c r="T100" s="2970"/>
      <c r="U100" s="2970"/>
      <c r="V100" s="2970"/>
      <c r="W100" s="2970"/>
      <c r="X100" s="2970"/>
      <c r="Y100" s="2970"/>
      <c r="Z100" s="2970"/>
      <c r="AA100" s="2970"/>
      <c r="AB100" s="2970"/>
      <c r="AC100" s="2970"/>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78"/>
      <c r="O101" s="2978"/>
      <c r="P101" s="3002"/>
      <c r="Q101" s="2969"/>
      <c r="R101" s="2970"/>
      <c r="S101" s="2970"/>
      <c r="T101" s="2970"/>
      <c r="U101" s="2970"/>
      <c r="V101" s="2970"/>
      <c r="W101" s="2970"/>
      <c r="X101" s="2970"/>
      <c r="Y101" s="2970"/>
      <c r="Z101" s="2970"/>
      <c r="AA101" s="2970"/>
      <c r="AB101" s="2970"/>
      <c r="AC101" s="2970"/>
    </row>
    <row r="102" spans="1:29" s="428" customFormat="1" ht="15.75" thickTop="1">
      <c r="A102" s="508"/>
      <c r="B102" s="501" t="s">
        <v>2473</v>
      </c>
      <c r="C102" s="614" t="s">
        <v>2493</v>
      </c>
      <c r="D102" s="614" t="s">
        <v>2494</v>
      </c>
      <c r="E102" s="614" t="s">
        <v>2495</v>
      </c>
      <c r="F102" s="614" t="s">
        <v>2496</v>
      </c>
      <c r="G102" s="614" t="s">
        <v>2497</v>
      </c>
      <c r="H102" s="555"/>
      <c r="I102" s="555"/>
      <c r="J102" s="555"/>
      <c r="K102" s="555"/>
      <c r="L102" s="555"/>
      <c r="M102" s="1292"/>
      <c r="N102" s="2978"/>
      <c r="O102" s="2978"/>
      <c r="P102" s="3002"/>
      <c r="Q102" s="2969"/>
      <c r="R102" s="2970"/>
      <c r="S102" s="2970"/>
      <c r="T102" s="2970"/>
      <c r="U102" s="2970"/>
      <c r="V102" s="2970"/>
      <c r="W102" s="2970"/>
      <c r="X102" s="2970"/>
      <c r="Y102" s="2970"/>
      <c r="Z102" s="2970"/>
      <c r="AA102" s="2970"/>
      <c r="AB102" s="2970"/>
      <c r="AC102" s="2970"/>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89"/>
      <c r="B104" s="493" t="str">
        <f>B31</f>
        <v>临街状况</v>
      </c>
      <c r="C104" s="494" t="s">
        <v>2603</v>
      </c>
      <c r="D104" s="494" t="s">
        <v>2604</v>
      </c>
      <c r="E104" s="494" t="s">
        <v>2605</v>
      </c>
      <c r="F104" s="494" t="s">
        <v>2606</v>
      </c>
      <c r="G104" s="494"/>
      <c r="H104" s="494"/>
      <c r="I104" s="494"/>
      <c r="J104" s="494"/>
      <c r="K104" s="495"/>
      <c r="L104" s="496"/>
      <c r="M104" s="497"/>
      <c r="N104" s="2976"/>
      <c r="O104" s="2976"/>
      <c r="P104" s="3001"/>
      <c r="Q104" s="2962"/>
      <c r="R104" s="2948"/>
      <c r="S104" s="2948"/>
      <c r="T104" s="2948"/>
      <c r="U104" s="2948"/>
      <c r="V104" s="2948"/>
      <c r="W104" s="2948"/>
      <c r="X104" s="2948"/>
      <c r="Y104" s="2948"/>
      <c r="Z104" s="2948"/>
      <c r="AA104" s="2948"/>
      <c r="AB104" s="2948"/>
      <c r="AC104" s="2948"/>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hidden="1" thickTop="1">
      <c r="A106" s="489"/>
      <c r="B106" s="493" t="s">
        <v>2509</v>
      </c>
      <c r="C106" s="509"/>
      <c r="D106" s="509"/>
      <c r="E106" s="509"/>
      <c r="F106" s="509"/>
      <c r="G106" s="509"/>
      <c r="H106" s="538"/>
      <c r="I106" s="538"/>
      <c r="J106" s="538"/>
      <c r="K106" s="539"/>
      <c r="L106" s="540"/>
      <c r="M106" s="541"/>
      <c r="N106" s="2976"/>
      <c r="O106" s="2976"/>
      <c r="P106" s="3001"/>
      <c r="Q106" s="2962"/>
      <c r="R106" s="2948"/>
      <c r="S106" s="2948"/>
      <c r="T106" s="2948"/>
      <c r="U106" s="2948"/>
      <c r="V106" s="2948"/>
      <c r="W106" s="2948"/>
      <c r="X106" s="2948"/>
      <c r="Y106" s="2948"/>
      <c r="Z106" s="2948"/>
      <c r="AA106" s="2948"/>
      <c r="AB106" s="2948"/>
      <c r="AC106" s="2948"/>
    </row>
    <row r="107" spans="1:29" ht="15.75" hidden="1"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hidden="1" thickTop="1">
      <c r="A108" s="489"/>
      <c r="B108" s="493" t="s">
        <v>2567</v>
      </c>
      <c r="C108" s="538"/>
      <c r="D108" s="538"/>
      <c r="E108" s="538"/>
      <c r="F108" s="538"/>
      <c r="G108" s="538"/>
      <c r="H108" s="538"/>
      <c r="I108" s="538"/>
      <c r="J108" s="538"/>
      <c r="K108" s="539"/>
      <c r="L108" s="540"/>
      <c r="M108" s="541"/>
      <c r="N108" s="2976"/>
      <c r="O108" s="2976"/>
      <c r="P108" s="3001"/>
      <c r="Q108" s="2962"/>
      <c r="R108" s="2948"/>
      <c r="S108" s="2948"/>
      <c r="T108" s="2948"/>
      <c r="U108" s="2948"/>
      <c r="V108" s="2948"/>
      <c r="W108" s="2948"/>
      <c r="X108" s="2948"/>
      <c r="Y108" s="2948"/>
      <c r="Z108" s="2948"/>
      <c r="AA108" s="2948"/>
      <c r="AB108" s="2948"/>
      <c r="AC108" s="2948"/>
    </row>
    <row r="109" spans="1:29" ht="15.75" hidden="1"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hidden="1" thickTop="1">
      <c r="A110" s="489"/>
      <c r="B110" s="501">
        <f>B35</f>
        <v>111</v>
      </c>
      <c r="C110" s="509"/>
      <c r="D110" s="509"/>
      <c r="E110" s="509"/>
      <c r="F110" s="509"/>
      <c r="G110" s="542"/>
      <c r="H110" s="542"/>
      <c r="I110" s="542"/>
      <c r="J110" s="542"/>
      <c r="K110" s="543"/>
      <c r="L110" s="544"/>
      <c r="M110" s="545"/>
      <c r="N110" s="2976"/>
      <c r="O110" s="2976"/>
      <c r="P110" s="3001"/>
      <c r="Q110" s="2962"/>
      <c r="R110" s="2948"/>
      <c r="S110" s="2948"/>
      <c r="T110" s="2948"/>
      <c r="U110" s="2948"/>
      <c r="V110" s="2948"/>
      <c r="W110" s="2948"/>
      <c r="X110" s="2948"/>
      <c r="Y110" s="2948"/>
      <c r="Z110" s="2948"/>
      <c r="AA110" s="2948"/>
      <c r="AB110" s="2948"/>
      <c r="AC110" s="2948"/>
    </row>
    <row r="111" spans="1:29" ht="15.75" hidden="1" thickBot="1">
      <c r="A111" s="489"/>
      <c r="B111" s="524"/>
      <c r="C111" s="515"/>
      <c r="D111" s="515"/>
      <c r="E111" s="515"/>
      <c r="F111" s="515"/>
      <c r="G111" s="546"/>
      <c r="H111" s="546"/>
      <c r="I111" s="546"/>
      <c r="J111" s="546"/>
      <c r="K111" s="546"/>
      <c r="L111" s="546"/>
      <c r="M111" s="547"/>
      <c r="N111" s="2977"/>
      <c r="O111" s="2977"/>
      <c r="P111" s="3001"/>
      <c r="Q111" s="2962"/>
      <c r="R111" s="2948"/>
      <c r="S111" s="2948"/>
      <c r="T111" s="2948"/>
      <c r="U111" s="2948"/>
      <c r="V111" s="2948"/>
      <c r="W111" s="2948"/>
      <c r="X111" s="2948"/>
      <c r="Y111" s="2948"/>
      <c r="Z111" s="2948"/>
      <c r="AA111" s="2948"/>
      <c r="AB111" s="2948"/>
      <c r="AC111" s="2948"/>
    </row>
    <row r="112" spans="1:29" ht="15" hidden="1" thickTop="1">
      <c r="A112" s="629"/>
      <c r="B112" s="493">
        <f>B36</f>
        <v>111</v>
      </c>
      <c r="C112" s="478"/>
      <c r="D112" s="478"/>
      <c r="E112" s="478"/>
      <c r="F112" s="478"/>
      <c r="G112" s="538"/>
      <c r="H112" s="538"/>
      <c r="I112" s="538"/>
      <c r="J112" s="538"/>
      <c r="K112" s="539"/>
      <c r="L112" s="540"/>
      <c r="M112" s="541"/>
      <c r="N112" s="2976"/>
      <c r="O112" s="2976"/>
      <c r="P112" s="3001"/>
      <c r="Q112" s="2962"/>
      <c r="R112" s="2948"/>
      <c r="S112" s="2948"/>
      <c r="T112" s="2948"/>
      <c r="U112" s="2948"/>
      <c r="V112" s="2948"/>
      <c r="W112" s="2948"/>
      <c r="X112" s="2948"/>
      <c r="Y112" s="2948"/>
      <c r="Z112" s="2948"/>
      <c r="AA112" s="2948"/>
      <c r="AB112" s="2948"/>
      <c r="AC112" s="2948"/>
    </row>
    <row r="113" spans="1:29" ht="15.75" hidden="1" thickBot="1">
      <c r="A113" s="489"/>
      <c r="B113" s="498"/>
      <c r="C113" s="525"/>
      <c r="D113" s="525"/>
      <c r="E113" s="525"/>
      <c r="F113" s="525"/>
      <c r="G113" s="491"/>
      <c r="H113" s="491"/>
      <c r="I113" s="491"/>
      <c r="J113" s="491"/>
      <c r="K113" s="491"/>
      <c r="L113" s="491"/>
      <c r="M113" s="492"/>
      <c r="N113" s="2977"/>
      <c r="O113" s="2977"/>
      <c r="P113" s="3001"/>
      <c r="Q113" s="2962"/>
      <c r="R113" s="2948"/>
      <c r="S113" s="2948"/>
      <c r="T113" s="2948"/>
      <c r="U113" s="2948"/>
      <c r="V113" s="2948"/>
      <c r="W113" s="2948"/>
      <c r="X113" s="2948"/>
      <c r="Y113" s="2948"/>
      <c r="Z113" s="2948"/>
      <c r="AA113" s="2948"/>
      <c r="AB113" s="2948"/>
      <c r="AC113" s="2948"/>
    </row>
    <row r="114" spans="1:29" s="428" customFormat="1" ht="15" hidden="1" thickTop="1">
      <c r="A114" s="548"/>
      <c r="B114" s="549">
        <f>B37</f>
        <v>111</v>
      </c>
      <c r="C114" s="550"/>
      <c r="D114" s="550"/>
      <c r="E114" s="550"/>
      <c r="F114" s="550"/>
      <c r="G114" s="550"/>
      <c r="H114" s="550"/>
      <c r="I114" s="550"/>
      <c r="J114" s="551"/>
      <c r="K114" s="551"/>
      <c r="L114" s="552"/>
      <c r="M114" s="553"/>
      <c r="N114" s="2978"/>
      <c r="O114" s="2978"/>
      <c r="P114" s="3002"/>
      <c r="Q114" s="2969"/>
      <c r="R114" s="2970"/>
      <c r="S114" s="2970"/>
      <c r="T114" s="2970"/>
      <c r="U114" s="2970"/>
      <c r="V114" s="2970"/>
      <c r="W114" s="2970"/>
      <c r="X114" s="2970"/>
      <c r="Y114" s="2970"/>
      <c r="Z114" s="2970"/>
      <c r="AA114" s="2970"/>
      <c r="AB114" s="2970"/>
      <c r="AC114" s="2970"/>
    </row>
    <row r="115" spans="1:29" s="428" customFormat="1" ht="15.75" hidden="1" thickBot="1">
      <c r="A115" s="508"/>
      <c r="B115" s="501"/>
      <c r="C115" s="467"/>
      <c r="D115" s="631"/>
      <c r="E115" s="631"/>
      <c r="F115" s="631"/>
      <c r="G115" s="631"/>
      <c r="H115" s="631"/>
      <c r="I115" s="631"/>
      <c r="J115" s="631"/>
      <c r="K115" s="631"/>
      <c r="L115" s="631"/>
      <c r="M115" s="653"/>
      <c r="N115" s="2977"/>
      <c r="O115" s="2977"/>
      <c r="P115" s="3002"/>
      <c r="Q115" s="2969"/>
      <c r="R115" s="2970"/>
      <c r="S115" s="2970"/>
      <c r="T115" s="2970"/>
      <c r="U115" s="2970"/>
      <c r="V115" s="2970"/>
      <c r="W115" s="2970"/>
      <c r="X115" s="2970"/>
      <c r="Y115" s="2970"/>
      <c r="Z115" s="2970"/>
      <c r="AA115" s="2970"/>
      <c r="AB115" s="2970"/>
      <c r="AC115" s="2970"/>
    </row>
    <row r="116" spans="1:29" ht="29.25" thickTop="1">
      <c r="A116" s="482" t="s">
        <v>2381</v>
      </c>
      <c r="B116" s="483" t="s">
        <v>2607</v>
      </c>
      <c r="C116" s="484" t="str">
        <f>C117&amp;"(含)"&amp;"-"&amp;D117</f>
        <v>0(含)-10000</v>
      </c>
      <c r="D116" s="484" t="str">
        <f t="shared" ref="D116:M116" si="26">D117&amp;"(含)"&amp;"-"&amp;E117</f>
        <v>10000(含)-20000</v>
      </c>
      <c r="E116" s="484" t="str">
        <f t="shared" si="26"/>
        <v>20000(含)-30000</v>
      </c>
      <c r="F116" s="484" t="str">
        <f t="shared" si="26"/>
        <v>30000(含)-40000</v>
      </c>
      <c r="G116" s="484" t="str">
        <f t="shared" si="26"/>
        <v>40000(含)-50000</v>
      </c>
      <c r="H116" s="484" t="str">
        <f t="shared" si="26"/>
        <v>50000(含)-</v>
      </c>
      <c r="I116" s="484" t="str">
        <f t="shared" si="26"/>
        <v>(含)-</v>
      </c>
      <c r="J116" s="484" t="str">
        <f t="shared" si="26"/>
        <v>(含)-</v>
      </c>
      <c r="K116" s="484" t="str">
        <f t="shared" si="26"/>
        <v>(含)-</v>
      </c>
      <c r="L116" s="484" t="str">
        <f t="shared" si="26"/>
        <v>(含)-</v>
      </c>
      <c r="M116" s="484"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89"/>
      <c r="B117" s="501"/>
      <c r="C117" s="550">
        <v>0</v>
      </c>
      <c r="D117" s="550">
        <v>10000</v>
      </c>
      <c r="E117" s="550">
        <v>20000</v>
      </c>
      <c r="F117" s="550">
        <v>30000</v>
      </c>
      <c r="G117" s="550">
        <v>40000</v>
      </c>
      <c r="H117" s="550">
        <v>50000</v>
      </c>
      <c r="I117" s="550"/>
      <c r="J117" s="551"/>
      <c r="K117" s="551"/>
      <c r="L117" s="552"/>
      <c r="M117" s="553"/>
      <c r="N117" s="2976"/>
      <c r="O117" s="2976"/>
      <c r="P117" s="3001"/>
      <c r="Q117" s="2962"/>
      <c r="R117" s="2948"/>
      <c r="S117" s="2948"/>
      <c r="T117" s="2948"/>
      <c r="U117" s="2948"/>
      <c r="V117" s="2948"/>
      <c r="W117" s="2948"/>
      <c r="X117" s="2948"/>
      <c r="Y117" s="2948"/>
      <c r="Z117" s="2948"/>
      <c r="AA117" s="2948"/>
      <c r="AB117" s="2948"/>
      <c r="AC117" s="2948"/>
    </row>
    <row r="118" spans="1:29" ht="15.75" thickBot="1">
      <c r="A118" s="489"/>
      <c r="B118" s="498"/>
      <c r="C118" s="525">
        <v>100</v>
      </c>
      <c r="D118" s="546">
        <v>101</v>
      </c>
      <c r="E118" s="546">
        <v>102</v>
      </c>
      <c r="F118" s="546">
        <v>103</v>
      </c>
      <c r="G118" s="546">
        <v>104</v>
      </c>
      <c r="H118" s="546">
        <v>105</v>
      </c>
      <c r="I118" s="546"/>
      <c r="J118" s="546"/>
      <c r="K118" s="546"/>
      <c r="L118" s="546"/>
      <c r="M118" s="547"/>
      <c r="N118" s="2977"/>
      <c r="O118" s="2977"/>
      <c r="P118" s="3001"/>
      <c r="Q118" s="2962"/>
      <c r="R118" s="2948"/>
      <c r="S118" s="2948"/>
      <c r="T118" s="2948"/>
      <c r="U118" s="2948"/>
      <c r="V118" s="2948"/>
      <c r="W118" s="2948"/>
      <c r="X118" s="2948"/>
      <c r="Y118" s="2948"/>
      <c r="Z118" s="2948"/>
      <c r="AA118" s="2948"/>
      <c r="AB118" s="2948"/>
      <c r="AC118" s="2948"/>
    </row>
    <row r="119" spans="1:29" ht="15" thickTop="1">
      <c r="A119" s="554"/>
      <c r="B119" s="493" t="s">
        <v>2608</v>
      </c>
      <c r="C119" s="3052" t="s">
        <v>3103</v>
      </c>
      <c r="D119" s="538"/>
      <c r="E119" s="538"/>
      <c r="F119" s="538"/>
      <c r="G119" s="538"/>
      <c r="H119" s="538"/>
      <c r="I119" s="538"/>
      <c r="J119" s="538"/>
      <c r="K119" s="539"/>
      <c r="L119" s="540"/>
      <c r="M119" s="541"/>
      <c r="N119" s="2976"/>
      <c r="O119" s="2976"/>
      <c r="P119" s="3001"/>
      <c r="Q119" s="2962"/>
      <c r="R119" s="2948"/>
      <c r="S119" s="2948"/>
      <c r="T119" s="2948"/>
      <c r="U119" s="2948"/>
      <c r="V119" s="2948"/>
      <c r="W119" s="2948"/>
      <c r="X119" s="2948"/>
      <c r="Y119" s="2948"/>
      <c r="Z119" s="2948"/>
      <c r="AA119" s="2948"/>
      <c r="AB119" s="2948"/>
      <c r="AC119" s="2948"/>
    </row>
    <row r="120" spans="1:29" ht="15.75" thickBot="1">
      <c r="A120" s="489"/>
      <c r="B120" s="498"/>
      <c r="C120" s="499">
        <v>100</v>
      </c>
      <c r="D120" s="499">
        <f t="shared" ref="D120:M120" si="27">C120-$K39</f>
        <v>99</v>
      </c>
      <c r="E120" s="499">
        <f t="shared" si="27"/>
        <v>98</v>
      </c>
      <c r="F120" s="499">
        <f t="shared" si="27"/>
        <v>97</v>
      </c>
      <c r="G120" s="499">
        <f t="shared" si="27"/>
        <v>96</v>
      </c>
      <c r="H120" s="499">
        <f t="shared" si="27"/>
        <v>95</v>
      </c>
      <c r="I120" s="499">
        <f t="shared" si="27"/>
        <v>94</v>
      </c>
      <c r="J120" s="499">
        <f t="shared" si="27"/>
        <v>93</v>
      </c>
      <c r="K120" s="499">
        <f t="shared" si="27"/>
        <v>92</v>
      </c>
      <c r="L120" s="499">
        <f t="shared" si="27"/>
        <v>91</v>
      </c>
      <c r="M120" s="500">
        <f t="shared" si="27"/>
        <v>90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4"/>
      <c r="B121" s="493" t="s">
        <v>2609</v>
      </c>
      <c r="C121" s="3053" t="s">
        <v>3105</v>
      </c>
      <c r="D121" s="509"/>
      <c r="E121" s="509"/>
      <c r="F121" s="538"/>
      <c r="G121" s="538"/>
      <c r="H121" s="538"/>
      <c r="I121" s="538"/>
      <c r="J121" s="538"/>
      <c r="K121" s="539"/>
      <c r="L121" s="540"/>
      <c r="M121" s="541"/>
      <c r="N121" s="2976"/>
      <c r="O121" s="2976"/>
      <c r="P121" s="3001"/>
      <c r="Q121" s="2962"/>
      <c r="R121" s="2948"/>
      <c r="S121" s="2948"/>
      <c r="T121" s="2948"/>
      <c r="U121" s="2948"/>
      <c r="V121" s="2948"/>
      <c r="W121" s="2948"/>
      <c r="X121" s="2948"/>
      <c r="Y121" s="2948"/>
      <c r="Z121" s="2948"/>
      <c r="AA121" s="2948"/>
      <c r="AB121" s="2948"/>
      <c r="AC121" s="2948"/>
    </row>
    <row r="122" spans="1:29" ht="15.75" thickBot="1">
      <c r="A122" s="489"/>
      <c r="B122" s="498"/>
      <c r="C122" s="499">
        <v>100</v>
      </c>
      <c r="D122" s="499">
        <f t="shared" ref="D122:M122" si="28">C122-$K40</f>
        <v>99</v>
      </c>
      <c r="E122" s="499">
        <f t="shared" si="28"/>
        <v>98</v>
      </c>
      <c r="F122" s="499">
        <f t="shared" si="28"/>
        <v>97</v>
      </c>
      <c r="G122" s="499">
        <f t="shared" si="28"/>
        <v>96</v>
      </c>
      <c r="H122" s="499">
        <f t="shared" si="28"/>
        <v>95</v>
      </c>
      <c r="I122" s="499">
        <f t="shared" si="28"/>
        <v>94</v>
      </c>
      <c r="J122" s="499">
        <f t="shared" si="28"/>
        <v>93</v>
      </c>
      <c r="K122" s="499">
        <f t="shared" si="28"/>
        <v>92</v>
      </c>
      <c r="L122" s="499">
        <f t="shared" si="28"/>
        <v>91</v>
      </c>
      <c r="M122" s="500">
        <f t="shared" si="28"/>
        <v>90</v>
      </c>
      <c r="N122" s="2977"/>
      <c r="O122" s="2977"/>
      <c r="P122" s="3001"/>
      <c r="Q122" s="2962"/>
      <c r="R122" s="2948"/>
      <c r="S122" s="2948"/>
      <c r="T122" s="2948"/>
      <c r="U122" s="2948"/>
      <c r="V122" s="2948"/>
      <c r="W122" s="2948"/>
      <c r="X122" s="2948"/>
      <c r="Y122" s="2948"/>
      <c r="Z122" s="2948"/>
      <c r="AA122" s="2948"/>
      <c r="AB122" s="2948"/>
      <c r="AC122" s="2948"/>
    </row>
    <row r="123" spans="1:29" s="428" customFormat="1" ht="15" thickTop="1">
      <c r="A123" s="548"/>
      <c r="B123" s="493" t="s">
        <v>2610</v>
      </c>
      <c r="C123" s="3053" t="s">
        <v>3107</v>
      </c>
      <c r="D123" s="3053" t="s">
        <v>3108</v>
      </c>
      <c r="E123" s="3053" t="s">
        <v>3109</v>
      </c>
      <c r="F123" s="3053" t="s">
        <v>3110</v>
      </c>
      <c r="G123" s="3053" t="s">
        <v>3111</v>
      </c>
      <c r="H123" s="538"/>
      <c r="I123" s="538"/>
      <c r="J123" s="538"/>
      <c r="K123" s="539"/>
      <c r="L123" s="540"/>
      <c r="M123" s="541"/>
      <c r="N123" s="2978"/>
      <c r="O123" s="2978"/>
      <c r="P123" s="3002"/>
      <c r="Q123" s="2969"/>
      <c r="R123" s="2970"/>
      <c r="S123" s="2970"/>
      <c r="T123" s="2970"/>
      <c r="U123" s="2970"/>
      <c r="V123" s="2970"/>
      <c r="W123" s="2970"/>
      <c r="X123" s="2970"/>
      <c r="Y123" s="2970"/>
      <c r="Z123" s="2970"/>
      <c r="AA123" s="2970"/>
      <c r="AB123" s="2970"/>
      <c r="AC123" s="2970"/>
    </row>
    <row r="124" spans="1:29" s="428" customFormat="1" ht="15.75" thickBot="1">
      <c r="A124" s="508"/>
      <c r="B124" s="498"/>
      <c r="C124" s="499">
        <v>100</v>
      </c>
      <c r="D124" s="499">
        <f>C124-$K41</f>
        <v>99</v>
      </c>
      <c r="E124" s="499">
        <f t="shared" ref="E124:M124" si="29">D124-$K41</f>
        <v>98</v>
      </c>
      <c r="F124" s="499">
        <f t="shared" si="29"/>
        <v>97</v>
      </c>
      <c r="G124" s="499">
        <f t="shared" si="29"/>
        <v>96</v>
      </c>
      <c r="H124" s="499">
        <f t="shared" si="29"/>
        <v>95</v>
      </c>
      <c r="I124" s="499">
        <f t="shared" si="29"/>
        <v>94</v>
      </c>
      <c r="J124" s="499">
        <f t="shared" si="29"/>
        <v>93</v>
      </c>
      <c r="K124" s="499">
        <f t="shared" si="29"/>
        <v>92</v>
      </c>
      <c r="L124" s="499">
        <f t="shared" si="29"/>
        <v>91</v>
      </c>
      <c r="M124" s="500">
        <f t="shared" si="29"/>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4"/>
      <c r="B125" s="493" t="s">
        <v>2611</v>
      </c>
      <c r="C125" s="3053" t="s">
        <v>3113</v>
      </c>
      <c r="D125" s="509"/>
      <c r="E125" s="538"/>
      <c r="F125" s="538"/>
      <c r="G125" s="538"/>
      <c r="H125" s="538"/>
      <c r="I125" s="538"/>
      <c r="J125" s="538"/>
      <c r="K125" s="539"/>
      <c r="L125" s="540"/>
      <c r="M125" s="541"/>
      <c r="N125" s="2976"/>
      <c r="O125" s="2976"/>
      <c r="P125" s="3001"/>
      <c r="Q125" s="2962"/>
      <c r="R125" s="2948"/>
      <c r="S125" s="2948"/>
      <c r="T125" s="2948"/>
      <c r="U125" s="2948"/>
      <c r="V125" s="2948"/>
      <c r="W125" s="2948"/>
      <c r="X125" s="2948"/>
      <c r="Y125" s="2948"/>
      <c r="Z125" s="2948"/>
      <c r="AA125" s="2948"/>
      <c r="AB125" s="2948"/>
      <c r="AC125" s="2948"/>
    </row>
    <row r="126" spans="1:29" ht="15.75" thickBot="1">
      <c r="A126" s="489"/>
      <c r="B126" s="498"/>
      <c r="C126" s="499">
        <v>100</v>
      </c>
      <c r="D126" s="499">
        <f t="shared" ref="D126:M126" si="30">C126-$K42</f>
        <v>99</v>
      </c>
      <c r="E126" s="499">
        <f t="shared" si="30"/>
        <v>98</v>
      </c>
      <c r="F126" s="499">
        <f t="shared" si="30"/>
        <v>97</v>
      </c>
      <c r="G126" s="499">
        <f t="shared" si="30"/>
        <v>96</v>
      </c>
      <c r="H126" s="499">
        <f t="shared" si="30"/>
        <v>95</v>
      </c>
      <c r="I126" s="499">
        <f t="shared" si="30"/>
        <v>94</v>
      </c>
      <c r="J126" s="499">
        <f t="shared" si="30"/>
        <v>93</v>
      </c>
      <c r="K126" s="499">
        <f t="shared" si="30"/>
        <v>92</v>
      </c>
      <c r="L126" s="499">
        <f t="shared" si="30"/>
        <v>91</v>
      </c>
      <c r="M126" s="500">
        <f t="shared" si="30"/>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4"/>
      <c r="B127" s="493">
        <f>B43</f>
        <v>111</v>
      </c>
      <c r="C127" s="509"/>
      <c r="D127" s="509"/>
      <c r="E127" s="509"/>
      <c r="F127" s="509"/>
      <c r="G127" s="509"/>
      <c r="H127" s="538"/>
      <c r="I127" s="538"/>
      <c r="J127" s="538"/>
      <c r="K127" s="539"/>
      <c r="L127" s="540"/>
      <c r="M127" s="541"/>
      <c r="N127" s="2976"/>
      <c r="O127" s="2976"/>
      <c r="P127" s="3001"/>
      <c r="Q127" s="2962"/>
      <c r="R127" s="2948"/>
      <c r="S127" s="2948"/>
      <c r="T127" s="2948"/>
      <c r="U127" s="2948"/>
      <c r="V127" s="2948"/>
      <c r="W127" s="2948"/>
      <c r="X127" s="2948"/>
      <c r="Y127" s="2948"/>
      <c r="Z127" s="2948"/>
      <c r="AA127" s="2948"/>
      <c r="AB127" s="2948"/>
      <c r="AC127" s="2948"/>
    </row>
    <row r="128" spans="1:29" ht="15.75" thickBot="1">
      <c r="A128" s="489"/>
      <c r="B128" s="498"/>
      <c r="C128" s="515"/>
      <c r="D128" s="515"/>
      <c r="E128" s="515"/>
      <c r="F128" s="515"/>
      <c r="G128" s="491"/>
      <c r="H128" s="491"/>
      <c r="I128" s="491"/>
      <c r="J128" s="491"/>
      <c r="K128" s="491"/>
      <c r="L128" s="491"/>
      <c r="M128" s="492"/>
      <c r="N128" s="2977"/>
      <c r="O128" s="2977"/>
      <c r="P128" s="3001"/>
      <c r="Q128" s="2962"/>
      <c r="R128" s="2948"/>
      <c r="S128" s="2948"/>
      <c r="T128" s="2948"/>
      <c r="U128" s="2948"/>
      <c r="V128" s="2948"/>
      <c r="W128" s="2948"/>
      <c r="X128" s="2948"/>
      <c r="Y128" s="2948"/>
      <c r="Z128" s="2948"/>
      <c r="AA128" s="2948"/>
      <c r="AB128" s="2948"/>
      <c r="AC128" s="2948"/>
    </row>
    <row r="129" spans="1:29" ht="15" thickTop="1">
      <c r="A129" s="554"/>
      <c r="B129" s="493">
        <f>B44</f>
        <v>111</v>
      </c>
      <c r="C129" s="478"/>
      <c r="D129" s="478"/>
      <c r="E129" s="478"/>
      <c r="F129" s="478"/>
      <c r="G129" s="538"/>
      <c r="H129" s="538"/>
      <c r="I129" s="538"/>
      <c r="J129" s="538"/>
      <c r="K129" s="539"/>
      <c r="L129" s="540"/>
      <c r="M129" s="541"/>
      <c r="N129" s="2976"/>
      <c r="O129" s="2976"/>
      <c r="P129" s="3001"/>
      <c r="Q129" s="2962"/>
      <c r="R129" s="2948"/>
      <c r="S129" s="2948"/>
      <c r="T129" s="2948"/>
      <c r="U129" s="2948"/>
      <c r="V129" s="2948"/>
      <c r="W129" s="2948"/>
      <c r="X129" s="2948"/>
      <c r="Y129" s="2948"/>
      <c r="Z129" s="2948"/>
      <c r="AA129" s="2948"/>
      <c r="AB129" s="2948"/>
      <c r="AC129" s="2948"/>
    </row>
    <row r="130" spans="1:29" ht="15.75" thickBot="1">
      <c r="A130" s="489"/>
      <c r="B130" s="498"/>
      <c r="C130" s="525"/>
      <c r="D130" s="525"/>
      <c r="E130" s="525"/>
      <c r="F130" s="525"/>
      <c r="G130" s="491"/>
      <c r="H130" s="491"/>
      <c r="I130" s="491"/>
      <c r="J130" s="491"/>
      <c r="K130" s="491"/>
      <c r="L130" s="491"/>
      <c r="M130" s="492"/>
      <c r="N130" s="2977"/>
      <c r="O130" s="2977"/>
      <c r="P130" s="3001"/>
      <c r="Q130" s="2962"/>
      <c r="R130" s="2948"/>
      <c r="S130" s="2948"/>
      <c r="T130" s="2948"/>
      <c r="U130" s="2948"/>
      <c r="V130" s="2948"/>
      <c r="W130" s="2948"/>
      <c r="X130" s="2948"/>
      <c r="Y130" s="2948"/>
      <c r="Z130" s="2948"/>
      <c r="AA130" s="2948"/>
      <c r="AB130" s="2948"/>
      <c r="AC130" s="2948"/>
    </row>
    <row r="131" spans="1:29" s="428" customFormat="1" ht="15" thickTop="1">
      <c r="A131" s="548"/>
      <c r="B131" s="493">
        <f>B45</f>
        <v>111</v>
      </c>
      <c r="C131" s="478"/>
      <c r="D131" s="478"/>
      <c r="E131" s="478"/>
      <c r="F131" s="478"/>
      <c r="G131" s="510"/>
      <c r="H131" s="510"/>
      <c r="I131" s="510"/>
      <c r="J131" s="510"/>
      <c r="K131" s="510"/>
      <c r="L131" s="511"/>
      <c r="M131" s="512"/>
      <c r="N131" s="2978"/>
      <c r="O131" s="2978"/>
      <c r="P131" s="3002"/>
      <c r="Q131" s="2969"/>
      <c r="R131" s="2970"/>
      <c r="S131" s="2970"/>
      <c r="T131" s="2970"/>
      <c r="U131" s="2970"/>
      <c r="V131" s="2970"/>
      <c r="W131" s="2970"/>
      <c r="X131" s="2970"/>
      <c r="Y131" s="2970"/>
      <c r="Z131" s="2970"/>
      <c r="AA131" s="2970"/>
      <c r="AB131" s="2970"/>
      <c r="AC131" s="2970"/>
    </row>
    <row r="132" spans="1:29" s="428" customFormat="1" ht="15.75" thickBot="1">
      <c r="A132" s="523"/>
      <c r="B132" s="654"/>
      <c r="C132" s="525"/>
      <c r="D132" s="525"/>
      <c r="E132" s="525"/>
      <c r="F132" s="525"/>
      <c r="G132" s="546"/>
      <c r="H132" s="546"/>
      <c r="I132" s="546"/>
      <c r="J132" s="546"/>
      <c r="K132" s="546"/>
      <c r="L132" s="546"/>
      <c r="M132" s="547"/>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20"/>
  <sheetViews>
    <sheetView workbookViewId="0">
      <pane ySplit="1" topLeftCell="A93" activePane="bottomLeft" state="frozen"/>
      <selection pane="bottomLeft" activeCell="C20" sqref="C20"/>
    </sheetView>
  </sheetViews>
  <sheetFormatPr defaultColWidth="6.75" defaultRowHeight="12.75"/>
  <cols>
    <col min="1" max="1" width="28.625" style="3054" customWidth="1"/>
    <col min="2" max="2" width="6.75" style="3054"/>
    <col min="3" max="3" width="11.375" style="3054" customWidth="1"/>
    <col min="4" max="4" width="0" style="3054" hidden="1" customWidth="1"/>
    <col min="5" max="5" width="18.5" style="3054" customWidth="1"/>
    <col min="6" max="6" width="6.75" style="3054" hidden="1" customWidth="1"/>
    <col min="7" max="7" width="13" style="3054" customWidth="1"/>
    <col min="8" max="8" width="6.75" style="3054"/>
    <col min="9" max="9" width="17" style="3054" customWidth="1"/>
    <col min="10" max="10" width="0" style="3054" hidden="1" customWidth="1"/>
    <col min="11" max="11" width="10.875" style="3054" customWidth="1"/>
    <col min="12" max="12" width="10.375" style="3054" customWidth="1"/>
    <col min="13" max="13" width="11.75" style="3054" customWidth="1"/>
    <col min="14" max="14" width="0" style="3054" hidden="1" customWidth="1"/>
    <col min="15" max="16" width="8.75" style="3054" customWidth="1"/>
    <col min="17" max="17" width="11.125" style="3054" customWidth="1"/>
    <col min="18" max="18" width="6.75" style="3054"/>
    <col min="19" max="20" width="0" style="3054" hidden="1" customWidth="1"/>
    <col min="21" max="16384" width="6.75" style="3054"/>
  </cols>
  <sheetData>
    <row r="1" spans="1:21">
      <c r="A1" s="3054" t="s">
        <v>3124</v>
      </c>
      <c r="B1" s="3054" t="s">
        <v>3125</v>
      </c>
      <c r="C1" s="3054" t="s">
        <v>3126</v>
      </c>
      <c r="D1" s="3054" t="s">
        <v>3127</v>
      </c>
      <c r="E1" s="3054" t="s">
        <v>3128</v>
      </c>
      <c r="F1" s="3054" t="s">
        <v>3129</v>
      </c>
      <c r="G1" s="3054" t="s">
        <v>3130</v>
      </c>
      <c r="H1" s="3054" t="s">
        <v>3131</v>
      </c>
      <c r="I1" s="3054" t="s">
        <v>3132</v>
      </c>
      <c r="J1" s="3054" t="s">
        <v>3133</v>
      </c>
      <c r="K1" s="3054" t="s">
        <v>3134</v>
      </c>
      <c r="L1" s="3054" t="s">
        <v>3135</v>
      </c>
      <c r="M1" s="3054" t="s">
        <v>3136</v>
      </c>
      <c r="N1" s="3054" t="s">
        <v>3137</v>
      </c>
      <c r="O1" s="3054" t="s">
        <v>3138</v>
      </c>
      <c r="P1" s="3054" t="s">
        <v>3139</v>
      </c>
      <c r="Q1" s="3054" t="s">
        <v>3140</v>
      </c>
      <c r="R1" s="3054" t="s">
        <v>3141</v>
      </c>
      <c r="S1" s="3054" t="s">
        <v>3142</v>
      </c>
      <c r="T1" s="3054" t="s">
        <v>3143</v>
      </c>
      <c r="U1" s="3054" t="s">
        <v>3144</v>
      </c>
    </row>
    <row r="2" spans="1:21" hidden="1">
      <c r="A2" s="3054" t="s">
        <v>3145</v>
      </c>
      <c r="B2" s="3054" t="s">
        <v>3062</v>
      </c>
      <c r="C2" s="3054" t="s">
        <v>3146</v>
      </c>
      <c r="D2" s="3054" t="s">
        <v>3147</v>
      </c>
      <c r="E2" s="3054" t="s">
        <v>3148</v>
      </c>
      <c r="F2" s="3054" t="s">
        <v>3149</v>
      </c>
      <c r="G2" s="3054">
        <v>265269.8</v>
      </c>
      <c r="H2" s="3054">
        <v>665975.69999999995</v>
      </c>
      <c r="I2" s="3054" t="s">
        <v>3150</v>
      </c>
      <c r="J2" s="3054" t="s">
        <v>1298</v>
      </c>
      <c r="K2" s="3054" t="s">
        <v>1298</v>
      </c>
      <c r="L2" s="3054" t="s">
        <v>3151</v>
      </c>
      <c r="M2" s="3054" t="s">
        <v>3152</v>
      </c>
      <c r="N2" s="3054">
        <v>699300</v>
      </c>
      <c r="O2" s="3054">
        <v>699300</v>
      </c>
      <c r="P2" s="3054">
        <v>1757.46</v>
      </c>
      <c r="Q2" s="3054">
        <v>10500.37</v>
      </c>
      <c r="R2" s="3054">
        <v>0</v>
      </c>
      <c r="S2" s="3054" t="s">
        <v>1298</v>
      </c>
      <c r="T2" s="3054" t="s">
        <v>1298</v>
      </c>
      <c r="U2" s="3054" t="s">
        <v>3153</v>
      </c>
    </row>
    <row r="3" spans="1:21" s="3061" customFormat="1" hidden="1">
      <c r="A3" s="3061" t="s">
        <v>3154</v>
      </c>
      <c r="B3" s="3061" t="s">
        <v>3062</v>
      </c>
      <c r="C3" s="3061" t="s">
        <v>3146</v>
      </c>
      <c r="D3" s="3061" t="s">
        <v>3147</v>
      </c>
      <c r="E3" s="3061" t="s">
        <v>3155</v>
      </c>
      <c r="F3" s="3061" t="s">
        <v>3156</v>
      </c>
      <c r="G3" s="3061">
        <v>42276.47</v>
      </c>
      <c r="H3" s="3061">
        <v>84552.93</v>
      </c>
      <c r="I3" s="3061" t="s">
        <v>3157</v>
      </c>
      <c r="J3" s="3061" t="s">
        <v>1298</v>
      </c>
      <c r="K3" s="3061" t="s">
        <v>1298</v>
      </c>
      <c r="L3" s="3061" t="s">
        <v>3158</v>
      </c>
      <c r="M3" s="3061" t="s">
        <v>3159</v>
      </c>
      <c r="N3" s="3061">
        <v>95000</v>
      </c>
      <c r="O3" s="3061">
        <v>96500</v>
      </c>
      <c r="P3" s="3061">
        <v>1521.73</v>
      </c>
      <c r="Q3" s="3061">
        <v>11412.96</v>
      </c>
      <c r="R3" s="3061">
        <v>1.58</v>
      </c>
      <c r="S3" s="3061" t="s">
        <v>1298</v>
      </c>
      <c r="T3" s="3061" t="s">
        <v>1298</v>
      </c>
      <c r="U3" s="3061" t="s">
        <v>3153</v>
      </c>
    </row>
    <row r="4" spans="1:21" s="3062" customFormat="1" ht="13.5">
      <c r="A4" s="3055" t="s">
        <v>3227</v>
      </c>
      <c r="B4" s="3055" t="s">
        <v>3062</v>
      </c>
      <c r="C4" s="3055" t="s">
        <v>3215</v>
      </c>
      <c r="D4" s="3055" t="s">
        <v>3147</v>
      </c>
      <c r="E4" s="3055" t="s">
        <v>3221</v>
      </c>
      <c r="F4" s="3055" t="s">
        <v>3217</v>
      </c>
      <c r="G4" s="3055">
        <v>40285.32</v>
      </c>
      <c r="H4" s="3055">
        <v>80571</v>
      </c>
      <c r="I4" s="3055" t="s">
        <v>3216</v>
      </c>
      <c r="J4" s="3055" t="s">
        <v>1298</v>
      </c>
      <c r="K4" s="3055" t="s">
        <v>1298</v>
      </c>
      <c r="L4" s="3055" t="s">
        <v>3218</v>
      </c>
      <c r="M4" s="3055" t="s">
        <v>3219</v>
      </c>
      <c r="N4" s="3055">
        <v>127302.19</v>
      </c>
      <c r="O4" s="3055">
        <v>127302.19</v>
      </c>
      <c r="P4" s="3055">
        <v>2106.6799999999998</v>
      </c>
      <c r="Q4" s="3055">
        <v>15800</v>
      </c>
      <c r="R4" s="3055">
        <v>0</v>
      </c>
      <c r="S4" s="3055" t="s">
        <v>1298</v>
      </c>
      <c r="T4" s="3055" t="s">
        <v>1298</v>
      </c>
      <c r="U4" s="3055" t="s">
        <v>3153</v>
      </c>
    </row>
    <row r="5" spans="1:21" s="3055" customFormat="1">
      <c r="A5" s="3055" t="s">
        <v>3160</v>
      </c>
      <c r="B5" s="3055" t="s">
        <v>3062</v>
      </c>
      <c r="C5" s="3055" t="s">
        <v>3146</v>
      </c>
      <c r="D5" s="3055" t="s">
        <v>3147</v>
      </c>
      <c r="E5" s="3055" t="s">
        <v>3161</v>
      </c>
      <c r="F5" s="3055" t="s">
        <v>3149</v>
      </c>
      <c r="G5" s="3055">
        <v>51736.9</v>
      </c>
      <c r="H5" s="3055">
        <v>81600.05</v>
      </c>
      <c r="I5" s="3055" t="s">
        <v>3162</v>
      </c>
      <c r="J5" s="3055" t="s">
        <v>1298</v>
      </c>
      <c r="K5" s="3055" t="s">
        <v>1298</v>
      </c>
      <c r="L5" s="3055" t="s">
        <v>3163</v>
      </c>
      <c r="M5" s="3055" t="s">
        <v>3164</v>
      </c>
      <c r="N5" s="3055">
        <v>150000</v>
      </c>
      <c r="O5" s="3055">
        <v>150000</v>
      </c>
      <c r="P5" s="3055">
        <v>1932.86</v>
      </c>
      <c r="Q5" s="3055">
        <v>18382.34</v>
      </c>
      <c r="R5" s="3055">
        <v>0</v>
      </c>
      <c r="S5" s="3055" t="s">
        <v>1298</v>
      </c>
      <c r="T5" s="3055" t="s">
        <v>1298</v>
      </c>
      <c r="U5" s="3055" t="s">
        <v>3153</v>
      </c>
    </row>
    <row r="6" spans="1:21" s="3055" customFormat="1">
      <c r="A6" s="3055" t="s">
        <v>3165</v>
      </c>
      <c r="B6" s="3055" t="s">
        <v>3062</v>
      </c>
      <c r="C6" s="3055" t="s">
        <v>3146</v>
      </c>
      <c r="D6" s="3055" t="s">
        <v>3147</v>
      </c>
      <c r="E6" s="3055" t="s">
        <v>3166</v>
      </c>
      <c r="F6" s="3055" t="s">
        <v>3167</v>
      </c>
      <c r="G6" s="3055">
        <v>33071.620000000003</v>
      </c>
      <c r="H6" s="3055">
        <v>122423.9</v>
      </c>
      <c r="I6" s="3055">
        <v>3.7</v>
      </c>
      <c r="J6" s="3055" t="s">
        <v>1298</v>
      </c>
      <c r="K6" s="3055" t="s">
        <v>3168</v>
      </c>
      <c r="L6" s="3055" t="s">
        <v>3169</v>
      </c>
      <c r="M6" s="3055" t="s">
        <v>3170</v>
      </c>
      <c r="N6" s="3055">
        <v>183000</v>
      </c>
      <c r="O6" s="3055">
        <v>183000</v>
      </c>
      <c r="P6" s="3055">
        <v>3688.96</v>
      </c>
      <c r="Q6" s="3055">
        <v>14948.05</v>
      </c>
      <c r="R6" s="3055">
        <v>0</v>
      </c>
      <c r="S6" s="3055" t="s">
        <v>1298</v>
      </c>
      <c r="T6" s="3055" t="s">
        <v>1298</v>
      </c>
      <c r="U6" s="3055" t="s">
        <v>3153</v>
      </c>
    </row>
    <row r="7" spans="1:21" hidden="1">
      <c r="A7" s="3054" t="s">
        <v>3171</v>
      </c>
      <c r="B7" s="3054" t="s">
        <v>3062</v>
      </c>
      <c r="C7" s="3054" t="s">
        <v>3146</v>
      </c>
      <c r="D7" s="3054" t="s">
        <v>3147</v>
      </c>
      <c r="E7" s="3054" t="s">
        <v>3172</v>
      </c>
      <c r="F7" s="3054" t="s">
        <v>3167</v>
      </c>
      <c r="G7" s="3054">
        <v>66237.2</v>
      </c>
      <c r="H7" s="3054">
        <v>264058.7</v>
      </c>
      <c r="I7" s="3054">
        <v>3.99</v>
      </c>
      <c r="J7" s="3054" t="s">
        <v>1298</v>
      </c>
      <c r="K7" s="3054" t="s">
        <v>3168</v>
      </c>
      <c r="L7" s="3054" t="s">
        <v>3173</v>
      </c>
      <c r="M7" s="3054" t="s">
        <v>3174</v>
      </c>
      <c r="N7" s="3054">
        <v>385000</v>
      </c>
      <c r="O7" s="3054">
        <v>385000</v>
      </c>
      <c r="P7" s="3054">
        <v>3874.96</v>
      </c>
      <c r="Q7" s="3054">
        <v>14580.09</v>
      </c>
      <c r="R7" s="3054">
        <v>0</v>
      </c>
      <c r="S7" s="3054" t="s">
        <v>1298</v>
      </c>
      <c r="T7" s="3054" t="s">
        <v>1298</v>
      </c>
      <c r="U7" s="3054" t="s">
        <v>3153</v>
      </c>
    </row>
    <row r="8" spans="1:21" hidden="1">
      <c r="A8" s="3054" t="s">
        <v>3175</v>
      </c>
      <c r="B8" s="3054" t="s">
        <v>3062</v>
      </c>
      <c r="C8" s="3054" t="s">
        <v>3146</v>
      </c>
      <c r="D8" s="3054" t="s">
        <v>3147</v>
      </c>
      <c r="E8" s="3054" t="s">
        <v>3176</v>
      </c>
      <c r="F8" s="3054" t="s">
        <v>3149</v>
      </c>
      <c r="G8" s="3054">
        <v>18303.330000000002</v>
      </c>
      <c r="H8" s="3054">
        <v>58571</v>
      </c>
      <c r="I8" s="3054">
        <v>3.2</v>
      </c>
      <c r="J8" s="3054" t="s">
        <v>1298</v>
      </c>
      <c r="K8" s="3054" t="s">
        <v>1298</v>
      </c>
      <c r="L8" s="3054" t="s">
        <v>3177</v>
      </c>
      <c r="M8" s="3054" t="s">
        <v>3178</v>
      </c>
      <c r="N8" s="3054">
        <v>79600</v>
      </c>
      <c r="O8" s="3054">
        <v>129000</v>
      </c>
      <c r="P8" s="3054">
        <v>4698.6000000000004</v>
      </c>
      <c r="Q8" s="3054">
        <v>22024.54</v>
      </c>
      <c r="R8" s="3054">
        <v>62.06</v>
      </c>
      <c r="S8" s="3054" t="s">
        <v>1298</v>
      </c>
      <c r="T8" s="3054" t="s">
        <v>1298</v>
      </c>
      <c r="U8" s="3054" t="s">
        <v>3179</v>
      </c>
    </row>
    <row r="9" spans="1:21" hidden="1">
      <c r="A9" s="3054" t="s">
        <v>3180</v>
      </c>
      <c r="B9" s="3054" t="s">
        <v>3062</v>
      </c>
      <c r="C9" s="3054" t="s">
        <v>3146</v>
      </c>
      <c r="D9" s="3054" t="s">
        <v>3147</v>
      </c>
      <c r="E9" s="3054" t="s">
        <v>3181</v>
      </c>
      <c r="F9" s="3054" t="s">
        <v>3149</v>
      </c>
      <c r="G9" s="3054">
        <v>29183.54</v>
      </c>
      <c r="H9" s="3054">
        <v>72959</v>
      </c>
      <c r="I9" s="3054">
        <v>2.5</v>
      </c>
      <c r="J9" s="3054" t="s">
        <v>1298</v>
      </c>
      <c r="K9" s="3054" t="s">
        <v>1298</v>
      </c>
      <c r="L9" s="3054" t="s">
        <v>3182</v>
      </c>
      <c r="M9" s="3054" t="s">
        <v>3183</v>
      </c>
      <c r="N9" s="3054">
        <v>83000</v>
      </c>
      <c r="O9" s="3054">
        <v>106000</v>
      </c>
      <c r="P9" s="3054">
        <v>2421.46</v>
      </c>
      <c r="Q9" s="3054">
        <v>14528.7</v>
      </c>
      <c r="R9" s="3054">
        <v>27.71</v>
      </c>
      <c r="S9" s="3054" t="s">
        <v>1298</v>
      </c>
      <c r="T9" s="3054" t="s">
        <v>1298</v>
      </c>
      <c r="U9" s="3054" t="s">
        <v>3179</v>
      </c>
    </row>
    <row r="10" spans="1:21" hidden="1">
      <c r="A10" s="3054" t="s">
        <v>3184</v>
      </c>
      <c r="B10" s="3054" t="s">
        <v>3062</v>
      </c>
      <c r="C10" s="3054" t="s">
        <v>3146</v>
      </c>
      <c r="D10" s="3054" t="s">
        <v>3147</v>
      </c>
      <c r="E10" s="3054" t="s">
        <v>3185</v>
      </c>
      <c r="F10" s="3054" t="s">
        <v>3149</v>
      </c>
      <c r="G10" s="3054">
        <v>23639.39</v>
      </c>
      <c r="H10" s="3054">
        <v>75646</v>
      </c>
      <c r="I10" s="3054">
        <v>3.2</v>
      </c>
      <c r="J10" s="3054" t="s">
        <v>1298</v>
      </c>
      <c r="K10" s="3054" t="s">
        <v>1298</v>
      </c>
      <c r="L10" s="3054" t="s">
        <v>3186</v>
      </c>
      <c r="M10" s="3054" t="s">
        <v>3187</v>
      </c>
      <c r="N10" s="3054">
        <v>102000</v>
      </c>
      <c r="O10" s="3054">
        <v>103020</v>
      </c>
      <c r="P10" s="3054">
        <v>2905.32</v>
      </c>
      <c r="Q10" s="3054">
        <v>13618.7</v>
      </c>
      <c r="R10" s="3054">
        <v>1</v>
      </c>
      <c r="S10" s="3054" t="s">
        <v>1298</v>
      </c>
      <c r="T10" s="3054" t="s">
        <v>1298</v>
      </c>
      <c r="U10" s="3054" t="s">
        <v>3179</v>
      </c>
    </row>
    <row r="11" spans="1:21" hidden="1">
      <c r="A11" s="3054" t="s">
        <v>3188</v>
      </c>
      <c r="B11" s="3054" t="s">
        <v>3062</v>
      </c>
      <c r="C11" s="3054" t="s">
        <v>3146</v>
      </c>
      <c r="D11" s="3054" t="s">
        <v>3147</v>
      </c>
      <c r="E11" s="3054" t="s">
        <v>3189</v>
      </c>
      <c r="F11" s="3054" t="s">
        <v>3156</v>
      </c>
      <c r="G11" s="3054">
        <v>33619.79</v>
      </c>
      <c r="H11" s="3054">
        <v>134479</v>
      </c>
      <c r="I11" s="3054">
        <v>4</v>
      </c>
      <c r="J11" s="3054" t="s">
        <v>1298</v>
      </c>
      <c r="K11" s="3054" t="s">
        <v>1298</v>
      </c>
      <c r="L11" s="3054" t="s">
        <v>3190</v>
      </c>
      <c r="M11" s="3054" t="s">
        <v>3191</v>
      </c>
      <c r="N11" s="3054">
        <v>153000</v>
      </c>
      <c r="O11" s="3054">
        <v>334000</v>
      </c>
      <c r="P11" s="3054">
        <v>6623.08</v>
      </c>
      <c r="Q11" s="3054">
        <v>24836.59</v>
      </c>
      <c r="R11" s="3054">
        <v>118.3</v>
      </c>
      <c r="S11" s="3054" t="s">
        <v>1298</v>
      </c>
      <c r="T11" s="3054" t="s">
        <v>1298</v>
      </c>
      <c r="U11" s="3054" t="s">
        <v>3179</v>
      </c>
    </row>
    <row r="12" spans="1:21" hidden="1">
      <c r="A12" s="3054" t="s">
        <v>3192</v>
      </c>
      <c r="B12" s="3054" t="s">
        <v>3062</v>
      </c>
      <c r="C12" s="3054" t="s">
        <v>3146</v>
      </c>
      <c r="D12" s="3054" t="s">
        <v>3147</v>
      </c>
      <c r="E12" s="3054" t="s">
        <v>3193</v>
      </c>
      <c r="F12" s="3054" t="s">
        <v>3149</v>
      </c>
      <c r="G12" s="3054">
        <v>71916.58</v>
      </c>
      <c r="H12" s="3054">
        <v>107875</v>
      </c>
      <c r="I12" s="3054">
        <v>1.5</v>
      </c>
      <c r="J12" s="3054" t="s">
        <v>1298</v>
      </c>
      <c r="K12" s="3054" t="s">
        <v>1298</v>
      </c>
      <c r="L12" s="3054" t="s">
        <v>3194</v>
      </c>
      <c r="M12" s="3054" t="s">
        <v>3195</v>
      </c>
      <c r="N12" s="3054">
        <v>90000</v>
      </c>
      <c r="O12" s="3054">
        <v>181000</v>
      </c>
      <c r="P12" s="3054">
        <v>1677.87</v>
      </c>
      <c r="Q12" s="3054">
        <v>16778.68</v>
      </c>
      <c r="R12" s="3054">
        <v>101.11</v>
      </c>
      <c r="S12" s="3054" t="s">
        <v>1298</v>
      </c>
      <c r="T12" s="3054" t="s">
        <v>1298</v>
      </c>
      <c r="U12" s="3054" t="s">
        <v>3153</v>
      </c>
    </row>
    <row r="13" spans="1:21" hidden="1">
      <c r="A13" s="3054" t="s">
        <v>3196</v>
      </c>
      <c r="B13" s="3054" t="s">
        <v>3062</v>
      </c>
      <c r="C13" s="3054" t="s">
        <v>3146</v>
      </c>
      <c r="D13" s="3054" t="s">
        <v>3147</v>
      </c>
      <c r="E13" s="3054" t="s">
        <v>3197</v>
      </c>
      <c r="F13" s="3054" t="s">
        <v>3149</v>
      </c>
      <c r="G13" s="3054">
        <v>47919.26</v>
      </c>
      <c r="H13" s="3054">
        <v>143758</v>
      </c>
      <c r="I13" s="3054">
        <v>3</v>
      </c>
      <c r="J13" s="3054" t="s">
        <v>1298</v>
      </c>
      <c r="K13" s="3054" t="s">
        <v>1298</v>
      </c>
      <c r="L13" s="3054" t="s">
        <v>3198</v>
      </c>
      <c r="M13" s="3054" t="s">
        <v>3195</v>
      </c>
      <c r="N13" s="3054">
        <v>120000</v>
      </c>
      <c r="O13" s="3054">
        <v>130000</v>
      </c>
      <c r="P13" s="3054">
        <v>1808.6</v>
      </c>
      <c r="Q13" s="3054">
        <v>9042.9599999999991</v>
      </c>
      <c r="R13" s="3054">
        <v>8.33</v>
      </c>
      <c r="S13" s="3054" t="s">
        <v>1298</v>
      </c>
      <c r="T13" s="3054" t="s">
        <v>1298</v>
      </c>
      <c r="U13" s="3054" t="s">
        <v>3153</v>
      </c>
    </row>
    <row r="14" spans="1:21" hidden="1">
      <c r="A14" s="3054" t="s">
        <v>3199</v>
      </c>
      <c r="B14" s="3054" t="s">
        <v>3062</v>
      </c>
      <c r="C14" s="3054" t="s">
        <v>3146</v>
      </c>
      <c r="D14" s="3054" t="s">
        <v>3147</v>
      </c>
      <c r="E14" s="3054" t="s">
        <v>3200</v>
      </c>
      <c r="F14" s="3054" t="s">
        <v>3149</v>
      </c>
      <c r="G14" s="3054">
        <v>61900.3</v>
      </c>
      <c r="H14" s="3054">
        <v>111421</v>
      </c>
      <c r="I14" s="3054">
        <v>1.8</v>
      </c>
      <c r="J14" s="3054" t="s">
        <v>1298</v>
      </c>
      <c r="K14" s="3054" t="s">
        <v>1298</v>
      </c>
      <c r="L14" s="3054" t="s">
        <v>3201</v>
      </c>
      <c r="M14" s="3054" t="s">
        <v>3195</v>
      </c>
      <c r="N14" s="3054">
        <v>89500</v>
      </c>
      <c r="O14" s="3054">
        <v>197000</v>
      </c>
      <c r="P14" s="3054">
        <v>2121.69</v>
      </c>
      <c r="Q14" s="3054">
        <v>17680.68</v>
      </c>
      <c r="R14" s="3054">
        <v>120.11</v>
      </c>
      <c r="S14" s="3054" t="s">
        <v>1298</v>
      </c>
      <c r="T14" s="3054" t="s">
        <v>1298</v>
      </c>
      <c r="U14" s="3054" t="s">
        <v>3153</v>
      </c>
    </row>
    <row r="15" spans="1:21" hidden="1">
      <c r="A15" s="3054" t="s">
        <v>3202</v>
      </c>
      <c r="B15" s="3054" t="s">
        <v>3062</v>
      </c>
      <c r="C15" s="3054" t="s">
        <v>3146</v>
      </c>
      <c r="D15" s="3054" t="s">
        <v>3147</v>
      </c>
      <c r="E15" s="3054" t="s">
        <v>3203</v>
      </c>
      <c r="F15" s="3054" t="s">
        <v>3149</v>
      </c>
      <c r="G15" s="3054">
        <v>66594.820000000007</v>
      </c>
      <c r="H15" s="3054">
        <v>119871</v>
      </c>
      <c r="I15" s="3054">
        <v>1.8</v>
      </c>
      <c r="J15" s="3054" t="s">
        <v>1298</v>
      </c>
      <c r="K15" s="3054" t="s">
        <v>1298</v>
      </c>
      <c r="L15" s="3054" t="s">
        <v>3201</v>
      </c>
      <c r="M15" s="3054" t="s">
        <v>3195</v>
      </c>
      <c r="N15" s="3054">
        <v>96000</v>
      </c>
      <c r="O15" s="3054">
        <v>196000</v>
      </c>
      <c r="P15" s="3054">
        <v>1962.11</v>
      </c>
      <c r="Q15" s="3054">
        <v>16350.9</v>
      </c>
      <c r="R15" s="3054">
        <v>104.17</v>
      </c>
      <c r="S15" s="3054" t="s">
        <v>1298</v>
      </c>
      <c r="T15" s="3054" t="s">
        <v>1298</v>
      </c>
      <c r="U15" s="3054" t="s">
        <v>3153</v>
      </c>
    </row>
    <row r="16" spans="1:21" hidden="1">
      <c r="A16" s="3054" t="s">
        <v>3204</v>
      </c>
      <c r="B16" s="3054" t="s">
        <v>3062</v>
      </c>
      <c r="C16" s="3054" t="s">
        <v>3146</v>
      </c>
      <c r="D16" s="3054" t="s">
        <v>3147</v>
      </c>
      <c r="E16" s="3054" t="s">
        <v>3205</v>
      </c>
      <c r="F16" s="3054" t="s">
        <v>3156</v>
      </c>
      <c r="G16" s="3054">
        <v>24464</v>
      </c>
      <c r="H16" s="3054">
        <v>48928</v>
      </c>
      <c r="I16" s="3054">
        <v>2</v>
      </c>
      <c r="J16" s="3054" t="s">
        <v>1298</v>
      </c>
      <c r="K16" s="3054" t="s">
        <v>1298</v>
      </c>
      <c r="L16" s="3054" t="s">
        <v>3206</v>
      </c>
      <c r="M16" s="3054" t="s">
        <v>3207</v>
      </c>
      <c r="N16" s="3054">
        <v>28200</v>
      </c>
      <c r="O16" s="3054">
        <v>46800</v>
      </c>
      <c r="P16" s="3054">
        <v>1275.3399999999999</v>
      </c>
      <c r="Q16" s="3054">
        <v>9565.07</v>
      </c>
      <c r="R16" s="3054">
        <v>65.959999999999994</v>
      </c>
      <c r="S16" s="3054" t="s">
        <v>1298</v>
      </c>
      <c r="T16" s="3054" t="s">
        <v>1298</v>
      </c>
      <c r="U16" s="3054" t="s">
        <v>3153</v>
      </c>
    </row>
    <row r="17" spans="1:21" hidden="1">
      <c r="A17" s="3054" t="s">
        <v>3208</v>
      </c>
      <c r="B17" s="3054" t="s">
        <v>3062</v>
      </c>
      <c r="C17" s="3054" t="s">
        <v>3146</v>
      </c>
      <c r="D17" s="3054" t="s">
        <v>3147</v>
      </c>
      <c r="E17" s="3054" t="s">
        <v>3209</v>
      </c>
      <c r="F17" s="3054" t="s">
        <v>3210</v>
      </c>
      <c r="G17" s="3054">
        <v>38024.39</v>
      </c>
      <c r="H17" s="3054">
        <v>106468</v>
      </c>
      <c r="I17" s="3054">
        <v>2.8</v>
      </c>
      <c r="J17" s="3054" t="s">
        <v>1298</v>
      </c>
      <c r="K17" s="3054" t="s">
        <v>1298</v>
      </c>
      <c r="L17" s="3054" t="s">
        <v>3211</v>
      </c>
      <c r="M17" s="3054" t="s">
        <v>3212</v>
      </c>
      <c r="N17" s="3054">
        <v>87000</v>
      </c>
      <c r="O17" s="3054">
        <v>97000</v>
      </c>
      <c r="P17" s="3054">
        <v>1700.66</v>
      </c>
      <c r="Q17" s="3054">
        <v>9110.7099999999991</v>
      </c>
      <c r="R17" s="3054">
        <v>11.49</v>
      </c>
      <c r="S17" s="3054" t="s">
        <v>1298</v>
      </c>
      <c r="T17" s="3054" t="s">
        <v>1298</v>
      </c>
      <c r="U17" s="3054" t="s">
        <v>3179</v>
      </c>
    </row>
    <row r="20" spans="1:21" ht="13.5">
      <c r="A20" s="3056" t="s">
        <v>3213</v>
      </c>
      <c r="C20" s="3056" t="s">
        <v>3220</v>
      </c>
    </row>
  </sheetData>
  <phoneticPr fontId="140" type="noConversion"/>
  <hyperlinks>
    <hyperlink ref="A20" r:id="rId1"/>
    <hyperlink ref="C20" r:id="rId2"/>
  </hyperlinks>
  <pageMargins left="0.75" right="0.75" top="1" bottom="1" header="0.5" footer="0.5"/>
  <pageSetup orientation="portrait" horizontalDpi="300" verticalDpi="300"/>
  <headerFooter alignWithMargins="0"/>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40" sqref="C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27</v>
      </c>
      <c r="D1" s="1544" t="s">
        <v>70</v>
      </c>
      <c r="E1" s="1545" t="s">
        <v>1352</v>
      </c>
      <c r="F1" s="1191">
        <f ca="1">J53</f>
        <v>36.9</v>
      </c>
      <c r="G1" s="1560">
        <f>MATCH(C1,'数据-取费表'!A6:A16,0)+5</f>
        <v>6</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23649</v>
      </c>
      <c r="C2" s="1569" t="s">
        <v>1481</v>
      </c>
      <c r="D2" s="1569"/>
      <c r="E2" s="1570"/>
      <c r="F2" s="1571"/>
      <c r="G2" s="2929"/>
      <c r="H2" s="2918"/>
      <c r="I2" s="2918"/>
      <c r="J2" s="2918"/>
      <c r="K2" s="2919"/>
      <c r="L2" s="2918"/>
      <c r="M2" s="2918"/>
    </row>
    <row r="3" spans="1:37" ht="18" customHeight="1" thickBot="1">
      <c r="A3" s="1572" t="s">
        <v>1482</v>
      </c>
      <c r="B3" s="1573">
        <f ca="1">IF(ISERROR(B2*10000/F43),0,ROUND(B2*10000/F43,0))</f>
        <v>20385</v>
      </c>
      <c r="C3" s="1569" t="s">
        <v>1483</v>
      </c>
      <c r="D3" s="1569"/>
      <c r="E3" s="1570"/>
      <c r="F3" s="1571"/>
      <c r="G3" s="2929"/>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1412</v>
      </c>
      <c r="D5" s="1546" t="s">
        <v>1367</v>
      </c>
      <c r="E5" s="1201"/>
      <c r="F5" s="1202"/>
      <c r="G5" s="1566"/>
      <c r="H5" s="303">
        <v>1</v>
      </c>
      <c r="I5" s="304" t="s">
        <v>1366</v>
      </c>
      <c r="J5" s="1200">
        <f ca="1">J6+J10+J12</f>
        <v>0</v>
      </c>
      <c r="K5" s="1546" t="s">
        <v>1367</v>
      </c>
      <c r="L5" s="1201"/>
      <c r="M5" s="1202"/>
    </row>
    <row r="6" spans="1:37" ht="18" customHeight="1">
      <c r="A6" s="1199" t="s">
        <v>1003</v>
      </c>
      <c r="B6" s="3307" t="s">
        <v>1368</v>
      </c>
      <c r="C6" s="1204">
        <f ca="1">ROUND(F6*F8*F7*(1-F9)/10000,0)</f>
        <v>1410</v>
      </c>
      <c r="D6" s="158" t="s">
        <v>2846</v>
      </c>
      <c r="E6" s="306" t="s">
        <v>1370</v>
      </c>
      <c r="F6" s="307">
        <f ca="1">INDIRECT("'数据-取费表'!u"&amp;$G$1)</f>
        <v>3.7</v>
      </c>
      <c r="G6" s="1566"/>
      <c r="H6" s="1199" t="s">
        <v>1003</v>
      </c>
      <c r="I6" s="3307" t="s">
        <v>1368</v>
      </c>
      <c r="J6" s="305">
        <f ca="1">ROUND(M6*M8*M7*(1-M9)/10000,0)</f>
        <v>0</v>
      </c>
      <c r="K6" s="158" t="s">
        <v>2845</v>
      </c>
      <c r="L6" s="306" t="s">
        <v>1370</v>
      </c>
      <c r="M6" s="307">
        <f ca="1">INDIRECT("'数据-取费表'!z"&amp;$G$1)</f>
        <v>0</v>
      </c>
    </row>
    <row r="7" spans="1:37" ht="18" customHeight="1">
      <c r="A7" s="1203"/>
      <c r="B7" s="3308"/>
      <c r="C7" s="1205"/>
      <c r="D7" s="311"/>
      <c r="E7" s="1206" t="s">
        <v>1371</v>
      </c>
      <c r="F7" s="307">
        <f ca="1">IF(INDIRECT("'数据-取费表'!ah"&amp;$G$1)="",INDIRECT("'数据-取费表'!k"&amp;$G$1),INDIRECT("'数据-取费表'!ah"&amp;$G$1))</f>
        <v>11601.220000000001</v>
      </c>
      <c r="G7" s="1566"/>
      <c r="H7" s="308"/>
      <c r="I7" s="3308"/>
      <c r="J7" s="310"/>
      <c r="K7" s="311"/>
      <c r="L7" s="306" t="s">
        <v>1371</v>
      </c>
      <c r="M7" s="307">
        <f ca="1">F7</f>
        <v>11601.220000000001</v>
      </c>
    </row>
    <row r="8" spans="1:37" ht="18" customHeight="1">
      <c r="A8" s="308"/>
      <c r="B8" s="3308"/>
      <c r="C8" s="310"/>
      <c r="D8" s="311"/>
      <c r="E8" s="306" t="s">
        <v>1372</v>
      </c>
      <c r="F8" s="307">
        <f ca="1">INDIRECT("'数据-取费表'!ai"&amp;$G$1)</f>
        <v>365</v>
      </c>
      <c r="G8" s="1566"/>
      <c r="H8" s="308"/>
      <c r="I8" s="3308"/>
      <c r="J8" s="310"/>
      <c r="K8" s="311"/>
      <c r="L8" s="306" t="s">
        <v>1372</v>
      </c>
      <c r="M8" s="307">
        <f ca="1">INDIRECT("'数据-取费表'!ai"&amp;$G$1)</f>
        <v>365</v>
      </c>
    </row>
    <row r="9" spans="1:37" ht="18" customHeight="1">
      <c r="A9" s="308"/>
      <c r="B9" s="3309"/>
      <c r="C9" s="310"/>
      <c r="D9" s="311"/>
      <c r="E9" s="306" t="s">
        <v>1373</v>
      </c>
      <c r="F9" s="316">
        <f ca="1">INDIRECT("'数据-取费表'!w"&amp;$G$1)</f>
        <v>0.1</v>
      </c>
      <c r="G9" s="1566"/>
      <c r="H9" s="308"/>
      <c r="I9" s="3309"/>
      <c r="J9" s="310"/>
      <c r="K9" s="311"/>
      <c r="L9" s="317" t="s">
        <v>1373</v>
      </c>
      <c r="M9" s="318">
        <f ca="1">INDIRECT("'数据-取费表'!ab"&amp;$G$1)</f>
        <v>0</v>
      </c>
    </row>
    <row r="10" spans="1:37" ht="18" customHeight="1">
      <c r="A10" s="1199" t="s">
        <v>1007</v>
      </c>
      <c r="B10" s="1547" t="s">
        <v>1374</v>
      </c>
      <c r="C10" s="320">
        <f ca="1">ROUND(IF(F10="押一",C6/12*F11,IF(F10="押二",C6/12*2*F11,IF(F10="押三",C6/12*3*F11,C11*F11))),0)</f>
        <v>2</v>
      </c>
      <c r="D10" s="1548" t="s">
        <v>2854</v>
      </c>
      <c r="E10" s="317" t="s">
        <v>1375</v>
      </c>
      <c r="F10" s="1274" t="s">
        <v>3094</v>
      </c>
      <c r="G10" s="1566"/>
      <c r="H10" s="1199" t="s">
        <v>1007</v>
      </c>
      <c r="I10" s="1547" t="s">
        <v>1374</v>
      </c>
      <c r="J10" s="305">
        <f ca="1">ROUND(IF(M10="押一",J6/12*M11,IF(M10="押二",J6/12*2*M11,IF(M10="押三",J6/12*3*M11,J11*M11))),0)</f>
        <v>0</v>
      </c>
      <c r="K10" s="1548" t="s">
        <v>2853</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4718</v>
      </c>
      <c r="D13" s="1239" t="s">
        <v>1380</v>
      </c>
      <c r="E13" s="1239" t="s">
        <v>1381</v>
      </c>
      <c r="F13" s="1240">
        <f ca="1">INDIRECT("'数据-取费表'!y"&amp;$G$1)</f>
        <v>0.98</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3480</v>
      </c>
      <c r="D14" s="1527" t="s">
        <v>1383</v>
      </c>
      <c r="E14" s="1524"/>
      <c r="F14" s="323"/>
      <c r="G14" s="1566"/>
      <c r="H14" s="1111" t="s">
        <v>1003</v>
      </c>
      <c r="I14" s="306" t="s">
        <v>1384</v>
      </c>
      <c r="J14" s="23">
        <f ca="1">C29</f>
        <v>4814</v>
      </c>
      <c r="K14" s="14"/>
      <c r="L14" s="914"/>
      <c r="M14" s="915"/>
    </row>
    <row r="15" spans="1:37" s="1579" customFormat="1" ht="18" customHeight="1" thickBot="1">
      <c r="A15" s="1111" t="s">
        <v>1004</v>
      </c>
      <c r="B15" s="306" t="s">
        <v>1385</v>
      </c>
      <c r="C15" s="23">
        <f ca="1">ROUND(C14*F15,0)</f>
        <v>104</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3">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114</v>
      </c>
      <c r="K16" s="1245" t="s">
        <v>1390</v>
      </c>
      <c r="L16" s="1246"/>
      <c r="M16" s="1202"/>
    </row>
    <row r="17" spans="1:37" s="1579" customFormat="1" ht="18" customHeight="1">
      <c r="A17" s="1111" t="s">
        <v>1355</v>
      </c>
      <c r="B17" s="306" t="s">
        <v>1391</v>
      </c>
      <c r="C17" s="23">
        <f ca="1">ROUND(F17*(F43+INDIRECT("'数据-取费表'!S"&amp;$G$1))/10000,0)</f>
        <v>232</v>
      </c>
      <c r="D17" s="306" t="s">
        <v>1392</v>
      </c>
      <c r="E17" s="306" t="s">
        <v>1393</v>
      </c>
      <c r="F17" s="25">
        <f>'数据-取费表'!B35</f>
        <v>200</v>
      </c>
      <c r="G17" s="1578"/>
      <c r="H17" s="1111" t="s">
        <v>1003</v>
      </c>
      <c r="I17" s="306" t="s">
        <v>1394</v>
      </c>
      <c r="J17" s="2531">
        <f ca="1">ROUND(IF(AND(项目基本情况!B11="自然人",项目基本情况!B10="北京市"),J6*M17/(1+'数据-取费表'!C42),J18+J19+J20),0)</f>
        <v>42</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3">
        <f ca="1">ROUND(C14*F18,0)</f>
        <v>52</v>
      </c>
      <c r="D18" s="306" t="s">
        <v>1386</v>
      </c>
      <c r="E18" s="306" t="s">
        <v>1387</v>
      </c>
      <c r="F18" s="326">
        <f>'数据-取费表'!B36</f>
        <v>1.4999999999999999E-2</v>
      </c>
      <c r="G18" s="1578"/>
      <c r="H18" s="1111" t="s">
        <v>1002</v>
      </c>
      <c r="I18" s="306" t="s">
        <v>1398</v>
      </c>
      <c r="J18" s="23">
        <f ca="1">ROUND(J6*M18/(1+'数据-取费表'!C42),2)</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3">
        <f ca="1">SUM(C14:C18)</f>
        <v>3868</v>
      </c>
      <c r="D19" s="134" t="s">
        <v>1401</v>
      </c>
      <c r="E19" s="1542"/>
      <c r="F19" s="25"/>
      <c r="G19" s="1566"/>
      <c r="H19" s="1111" t="s">
        <v>1004</v>
      </c>
      <c r="I19" s="306" t="s">
        <v>1402</v>
      </c>
      <c r="J19" s="23">
        <f ca="1">IF(K19="按租金收入计税",ROUND(J6*M19/(1+'数据-取费表'!C42),2),ROUND(C29*M19*0.7,2))</f>
        <v>40.44</v>
      </c>
      <c r="K19" s="1552" t="s">
        <v>1403</v>
      </c>
      <c r="L19" s="306" t="s">
        <v>1387</v>
      </c>
      <c r="M19" s="326">
        <f>IF(K19="按租金收入计税",'数据-取费表'!B51,'数据-取费表'!B50)</f>
        <v>1.2E-2</v>
      </c>
    </row>
    <row r="20" spans="1:37" s="1579" customFormat="1" ht="18" customHeight="1">
      <c r="A20" s="1111" t="s">
        <v>1007</v>
      </c>
      <c r="B20" s="306" t="s">
        <v>1404</v>
      </c>
      <c r="C20" s="23">
        <f ca="1">ROUND(C19*F20,0)</f>
        <v>77</v>
      </c>
      <c r="D20" s="327" t="s">
        <v>1405</v>
      </c>
      <c r="E20" s="306" t="s">
        <v>1387</v>
      </c>
      <c r="F20" s="326">
        <f>'数据-取费表'!B37</f>
        <v>0.02</v>
      </c>
      <c r="G20" s="1578"/>
      <c r="H20" s="1111" t="s">
        <v>1354</v>
      </c>
      <c r="I20" s="158" t="s">
        <v>1406</v>
      </c>
      <c r="J20" s="24">
        <f ca="1">ROUND(M20*M21/10000,2)</f>
        <v>1.32</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3" t="s">
        <v>18</v>
      </c>
      <c r="D21" s="327" t="s">
        <v>1410</v>
      </c>
      <c r="E21" s="306" t="s">
        <v>1411</v>
      </c>
      <c r="F21" s="326">
        <f>'数据-取费表'!B38</f>
        <v>0.02</v>
      </c>
      <c r="G21" s="1578"/>
      <c r="H21" s="330"/>
      <c r="I21" s="315"/>
      <c r="J21" s="28"/>
      <c r="K21" s="331"/>
      <c r="L21" s="306" t="s">
        <v>1412</v>
      </c>
      <c r="M21" s="307">
        <f ca="1">INDIRECT("'数据-取费表'!r"&amp;$G$1)</f>
        <v>8832.7999999999993</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3"/>
      <c r="D22" s="134" t="str">
        <f>IF(F23&lt;=1,"单利计息。","复利计息。")&amp;"建造成本、管理费用、销售费用产生的利息。"</f>
        <v>复利计息。建造成本、管理费用、销售费用产生的利息。</v>
      </c>
      <c r="E22" s="1542"/>
      <c r="F22" s="25"/>
      <c r="G22" s="1566"/>
      <c r="H22" s="1111" t="s">
        <v>1007</v>
      </c>
      <c r="I22" s="306" t="s">
        <v>1414</v>
      </c>
      <c r="J22" s="23">
        <f ca="1">ROUND(J14*M22,1)</f>
        <v>72.2</v>
      </c>
      <c r="K22" s="1526" t="s">
        <v>1415</v>
      </c>
      <c r="L22" s="306" t="s">
        <v>1387</v>
      </c>
      <c r="M22" s="332">
        <f ca="1">INDIRECT("'数据-取费表'!Ak"&amp;$G$1)</f>
        <v>1.4999999999999999E-2</v>
      </c>
    </row>
    <row r="23" spans="1:37" s="1579" customFormat="1" ht="18" customHeight="1">
      <c r="A23" s="1111" t="s">
        <v>1002</v>
      </c>
      <c r="B23" s="306" t="s">
        <v>1416</v>
      </c>
      <c r="C23" s="23">
        <f ca="1">IF('数据-取费表'!B22&lt;=1,ROUND(C19*F24*F23/2,0)+ROUND(C20*F24*F23/2,0),ROUND(C19*(POWER((1+F24),F23/2)-1),0)+ROUND(C20*(POWER((1+F24),F23/2)-1),0))</f>
        <v>113</v>
      </c>
      <c r="D23" s="333" t="str">
        <f>IF(F23&lt;=1,"(建造成本+管理费用)×利率×(建设周期÷2)","(建造成本+管理费用)×((1+利率)^(建设周期÷2)-1)")</f>
        <v>(建造成本+管理费用)×((1+利率)^(建设周期÷2)-1)</v>
      </c>
      <c r="E23" s="306" t="s">
        <v>1417</v>
      </c>
      <c r="F23" s="329">
        <f>'数据-取费表'!B20</f>
        <v>1.5</v>
      </c>
      <c r="G23" s="1578"/>
      <c r="H23" s="1111" t="s">
        <v>1043</v>
      </c>
      <c r="I23" s="306" t="s">
        <v>1418</v>
      </c>
      <c r="J23" s="23">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3">
        <f ca="1">ROUND(IF('数据-取费表'!B22&lt;=1,F21*F24*F23/2,F21*(POWER((1+F24),F23/2)-1)),4)</f>
        <v>5.9999999999999995E-4</v>
      </c>
      <c r="D24" s="333" t="str">
        <f>IF(F23&lt;=1,"销售费用×利率×(建设周期÷2)","销售费用×((1+利率)^(建设周期÷2)-1)")</f>
        <v>销售费用×((1+利率)^(建设周期÷2)-1)</v>
      </c>
      <c r="E24" s="306" t="s">
        <v>1423</v>
      </c>
      <c r="F24" s="335">
        <f ca="1">'数据-取费表'!B40</f>
        <v>3.85E-2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3"/>
      <c r="D25" s="134" t="s">
        <v>1427</v>
      </c>
      <c r="E25" s="1542"/>
      <c r="F25" s="25"/>
      <c r="G25" s="1566"/>
      <c r="H25" s="1237" t="s">
        <v>999</v>
      </c>
      <c r="I25" s="1252" t="s">
        <v>1428</v>
      </c>
      <c r="J25" s="314">
        <f ca="1">J5-J16</f>
        <v>-114</v>
      </c>
      <c r="K25" s="1253" t="s">
        <v>1429</v>
      </c>
      <c r="L25" s="1254"/>
      <c r="M25" s="1255"/>
    </row>
    <row r="26" spans="1:37">
      <c r="A26" s="1111" t="s">
        <v>1002</v>
      </c>
      <c r="B26" s="306" t="s">
        <v>1430</v>
      </c>
      <c r="C26" s="23">
        <f ca="1">ROUND((C19+C20)*F26,0)</f>
        <v>395</v>
      </c>
      <c r="D26" s="327" t="s">
        <v>1431</v>
      </c>
      <c r="E26" s="317" t="s">
        <v>1432</v>
      </c>
      <c r="F26" s="316">
        <f ca="1">INDIRECT("'数据-取费表'!q"&amp;$G$1)</f>
        <v>0.1</v>
      </c>
      <c r="G26" s="1566"/>
      <c r="H26" s="303" t="s">
        <v>1000</v>
      </c>
      <c r="I26" s="304" t="s">
        <v>1433</v>
      </c>
      <c r="J26" s="305">
        <f ca="1">IF(J5&lt;&gt;0,ROUND(J25*(1-((1+M28)/(1+M26))^M27)/(M26-M28),0),0)</f>
        <v>0</v>
      </c>
      <c r="K26" s="328" t="s">
        <v>1434</v>
      </c>
      <c r="L26" s="306" t="s">
        <v>1435</v>
      </c>
      <c r="M26" s="316">
        <f ca="1">INDIRECT("'数据-取费表'!I"&amp;$G$1)</f>
        <v>5.5E-2</v>
      </c>
    </row>
    <row r="27" spans="1:37" ht="18" customHeight="1">
      <c r="A27" s="1111" t="s">
        <v>1004</v>
      </c>
      <c r="B27" s="306" t="s">
        <v>1436</v>
      </c>
      <c r="C27" s="23">
        <f ca="1">ROUND(F21*F26,4)</f>
        <v>2E-3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3">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4814</v>
      </c>
      <c r="D29" s="1250"/>
      <c r="E29" s="1248"/>
      <c r="F29" s="1251"/>
      <c r="G29" s="1578"/>
      <c r="H29" s="338" t="s">
        <v>1001</v>
      </c>
      <c r="I29" s="339" t="s">
        <v>1444</v>
      </c>
      <c r="J29" s="340">
        <f ca="1">ROUND(J26/(1+F40)^F41,0)</f>
        <v>0</v>
      </c>
      <c r="K29" s="341" t="s">
        <v>1445</v>
      </c>
      <c r="L29" s="342"/>
      <c r="M29" s="343">
        <f ca="1">INDIRECT("'数据-取费表'!k"&amp;$G$1)</f>
        <v>11601.220000000001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329</v>
      </c>
      <c r="D30" s="1245" t="s">
        <v>1390</v>
      </c>
      <c r="E30" s="1246"/>
      <c r="F30" s="1202"/>
      <c r="G30" s="1566"/>
      <c r="H30" s="2920"/>
      <c r="I30" s="1580"/>
      <c r="J30" s="1581"/>
      <c r="K30" s="2695"/>
      <c r="L30" s="2921"/>
      <c r="M30" s="2922"/>
    </row>
    <row r="31" spans="1:37" ht="18" customHeight="1">
      <c r="A31" s="1111" t="s">
        <v>1003</v>
      </c>
      <c r="B31" s="306" t="s">
        <v>1394</v>
      </c>
      <c r="C31" s="2531">
        <f ca="1">ROUND(IF(AND(项目基本情况!B11="自然人",项目基本情况!B10="北京市"),C6*F31/(1+'数据-取费表'!C42),C32+C33+C34),0)</f>
        <v>236</v>
      </c>
      <c r="D31" s="1527" t="s">
        <v>1395</v>
      </c>
      <c r="E31" s="1526" t="s">
        <v>1446</v>
      </c>
      <c r="F31" s="2530" t="str">
        <f>IF(项目基本情况!B11="企业","——",IF('数据-取费表'!B10="住宅",IF(F6*F7*F8/12/(1+'数据-取费表'!F30)&gt;100000,4%,2.5%),IF(F6*F7*F8/12/(1+'数据-取费表'!F30)&gt;100000,12%,7%)))</f>
        <v>——</v>
      </c>
      <c r="G31" s="1566"/>
      <c r="H31" s="3033" t="s">
        <v>3053</v>
      </c>
      <c r="I31" s="1580"/>
      <c r="J31" s="1581"/>
      <c r="K31" s="2695"/>
      <c r="L31" s="2921"/>
      <c r="M31" s="2922"/>
    </row>
    <row r="32" spans="1:37" ht="18" customHeight="1">
      <c r="A32" s="1111" t="s">
        <v>1002</v>
      </c>
      <c r="B32" s="306" t="s">
        <v>1398</v>
      </c>
      <c r="C32" s="23">
        <f ca="1">IF(项目基本情况!B11="自然人","——",ROUND(C6*F32/(1+'数据-取费表'!C42),2))</f>
        <v>73.86</v>
      </c>
      <c r="D32" s="1526" t="s">
        <v>1399</v>
      </c>
      <c r="E32" s="306" t="s">
        <v>1387</v>
      </c>
      <c r="F32" s="335">
        <f>'数据-取费表'!B41</f>
        <v>5.5000000000000007E-2</v>
      </c>
      <c r="G32" s="1566"/>
      <c r="H32" s="2920"/>
      <c r="I32" s="1580"/>
      <c r="J32" s="1581"/>
      <c r="K32" s="2695"/>
      <c r="L32" s="2921"/>
      <c r="M32" s="2922"/>
    </row>
    <row r="33" spans="1:18" ht="18" customHeight="1">
      <c r="A33" s="1111" t="s">
        <v>1004</v>
      </c>
      <c r="B33" s="306" t="s">
        <v>1402</v>
      </c>
      <c r="C33" s="23">
        <f ca="1">IF(项目基本情况!B11="自然人","——",IF(D33="按租金收入计税",ROUND(C6*F33/(1+'数据-取费表'!C42),2),IF(D33="按房产原值计税",ROUND(C29*F33*0.7,2),INDIRECT("'数据-取费表'!Aj"&amp;$G$1))))</f>
        <v>161.13999999999999</v>
      </c>
      <c r="D33" s="1552" t="s">
        <v>3095</v>
      </c>
      <c r="E33" s="306" t="s">
        <v>1387</v>
      </c>
      <c r="F33" s="326">
        <f>IF(D33="按票据","——",IF(D33="按租金收入计税",'数据-取费表'!B51,'数据-取费表'!B50))</f>
        <v>0.12</v>
      </c>
      <c r="G33" s="1566"/>
      <c r="H33" s="2923"/>
      <c r="I33" s="1580"/>
      <c r="J33" s="1581"/>
      <c r="K33" s="2924"/>
      <c r="L33" s="2923"/>
      <c r="M33" s="2923"/>
    </row>
    <row r="34" spans="1:18" ht="18" customHeight="1">
      <c r="A34" s="1199" t="s">
        <v>1354</v>
      </c>
      <c r="B34" s="158" t="s">
        <v>1406</v>
      </c>
      <c r="C34" s="24">
        <f ca="1">IF(项目基本情况!B11="自然人","——",ROUND(F34*F35/10000,2))</f>
        <v>1.32</v>
      </c>
      <c r="D34" s="328" t="s">
        <v>1407</v>
      </c>
      <c r="E34" s="306" t="s">
        <v>1408</v>
      </c>
      <c r="F34" s="329">
        <f>'数据-取费表'!B52</f>
        <v>1.5</v>
      </c>
      <c r="G34" s="1566"/>
      <c r="H34" s="2920"/>
      <c r="I34" s="1580"/>
      <c r="J34" s="1581"/>
      <c r="K34" s="2925"/>
      <c r="L34" s="2926"/>
      <c r="M34" s="2926"/>
    </row>
    <row r="35" spans="1:18" ht="18" customHeight="1">
      <c r="A35" s="1261"/>
      <c r="B35" s="1259"/>
      <c r="C35" s="28"/>
      <c r="D35" s="331"/>
      <c r="E35" s="306" t="s">
        <v>1412</v>
      </c>
      <c r="F35" s="307">
        <f ca="1">INDIRECT("'数据-取费表'!r"&amp;$G$1)</f>
        <v>8832.7999999999993</v>
      </c>
      <c r="G35" s="1566"/>
      <c r="H35" s="2920"/>
      <c r="I35" s="1580"/>
      <c r="J35" s="1581"/>
      <c r="K35" s="2924"/>
      <c r="L35" s="2923"/>
      <c r="M35" s="2923"/>
    </row>
    <row r="36" spans="1:18" ht="18" customHeight="1">
      <c r="A36" s="1260" t="s">
        <v>1007</v>
      </c>
      <c r="B36" s="306" t="s">
        <v>1414</v>
      </c>
      <c r="C36" s="23">
        <f ca="1">ROUND(C29*F36,1)</f>
        <v>72.2</v>
      </c>
      <c r="D36" s="1526" t="s">
        <v>1447</v>
      </c>
      <c r="E36" s="306" t="s">
        <v>1387</v>
      </c>
      <c r="F36" s="332">
        <f ca="1">INDIRECT("'数据-取费表'!Ak"&amp;$G$1)</f>
        <v>1.4999999999999999E-2</v>
      </c>
      <c r="G36" s="1566"/>
      <c r="H36" s="2923"/>
      <c r="I36" s="1580"/>
      <c r="J36" s="1581"/>
      <c r="K36" s="2764"/>
      <c r="L36" s="2923"/>
      <c r="M36" s="2923"/>
    </row>
    <row r="37" spans="1:18" ht="18" customHeight="1">
      <c r="A37" s="1111" t="s">
        <v>1043</v>
      </c>
      <c r="B37" s="306" t="s">
        <v>1418</v>
      </c>
      <c r="C37" s="23">
        <f ca="1">ROUND(C13*F37,1)</f>
        <v>7.1</v>
      </c>
      <c r="D37" s="1526" t="s">
        <v>1419</v>
      </c>
      <c r="E37" s="306" t="s">
        <v>1420</v>
      </c>
      <c r="F37" s="334">
        <f ca="1">INDIRECT("'数据-取费表'!Al"&amp;$G$1)</f>
        <v>1.5E-3</v>
      </c>
      <c r="G37" s="1566"/>
      <c r="H37" s="2923"/>
      <c r="I37" s="1580"/>
      <c r="J37" s="1581"/>
      <c r="K37" s="2764"/>
      <c r="L37" s="2923"/>
      <c r="M37" s="2923"/>
    </row>
    <row r="38" spans="1:18" ht="18" customHeight="1" thickBot="1">
      <c r="A38" s="1247" t="s">
        <v>1358</v>
      </c>
      <c r="B38" s="1248" t="s">
        <v>1404</v>
      </c>
      <c r="C38" s="1249">
        <f ca="1">ROUND(C5*F38,1)</f>
        <v>14.1</v>
      </c>
      <c r="D38" s="1250" t="s">
        <v>1424</v>
      </c>
      <c r="E38" s="1248" t="s">
        <v>1420</v>
      </c>
      <c r="F38" s="1244">
        <f ca="1">INDIRECT("'数据-取费表'!Am"&amp;$G$1)</f>
        <v>0.01</v>
      </c>
      <c r="G38" s="1566"/>
      <c r="H38" s="2923"/>
      <c r="I38" s="1580"/>
      <c r="J38" s="1581"/>
      <c r="K38" s="2927"/>
      <c r="L38" s="2923"/>
      <c r="M38" s="2923"/>
    </row>
    <row r="39" spans="1:18" ht="24.6" customHeight="1" thickTop="1">
      <c r="A39" s="1237" t="s">
        <v>999</v>
      </c>
      <c r="B39" s="1252" t="s">
        <v>1448</v>
      </c>
      <c r="C39" s="314">
        <f ca="1">C5-C30</f>
        <v>1083</v>
      </c>
      <c r="D39" s="1253" t="s">
        <v>1449</v>
      </c>
      <c r="E39" s="1254"/>
      <c r="F39" s="1255"/>
      <c r="G39" s="1566"/>
      <c r="H39" s="2923"/>
      <c r="I39" s="1580"/>
      <c r="J39" s="1581"/>
      <c r="K39" s="2927"/>
      <c r="L39" s="2923"/>
      <c r="M39" s="2923"/>
    </row>
    <row r="40" spans="1:18" ht="18" customHeight="1">
      <c r="A40" s="303" t="s">
        <v>1000</v>
      </c>
      <c r="B40" s="304" t="s">
        <v>1450</v>
      </c>
      <c r="C40" s="305">
        <f ca="1">ROUND(C39*(1-((1+F42)/(1+F40))^F41)/(F40-F42),0)</f>
        <v>23649</v>
      </c>
      <c r="D40" s="328" t="s">
        <v>1434</v>
      </c>
      <c r="E40" s="306" t="s">
        <v>1435</v>
      </c>
      <c r="F40" s="316">
        <f ca="1">INDIRECT("'数据-取费表'!I"&amp;$G$1)</f>
        <v>5.5E-2</v>
      </c>
      <c r="G40" s="1566"/>
      <c r="H40" s="1643"/>
      <c r="I40" s="1580"/>
      <c r="J40" s="1581"/>
      <c r="K40" s="2927"/>
      <c r="L40" s="1643"/>
      <c r="M40" s="1643"/>
    </row>
    <row r="41" spans="1:18" ht="18" customHeight="1">
      <c r="A41" s="308"/>
      <c r="B41" s="309"/>
      <c r="C41" s="310"/>
      <c r="D41" s="336" t="s">
        <v>1451</v>
      </c>
      <c r="E41" s="306" t="s">
        <v>1439</v>
      </c>
      <c r="F41" s="337">
        <f ca="1">IF(INDIRECT("'数据-取费表'!af"&amp;$G$1)=0,INDIRECT("'数据-取费表'!ae"&amp;$G$1),INDIRECT("'数据-取费表'!af"&amp;$G$1))</f>
        <v>36.9</v>
      </c>
      <c r="G41" s="1566"/>
      <c r="H41" s="1350"/>
      <c r="I41" s="1580"/>
      <c r="J41" s="1581"/>
      <c r="K41" s="2764"/>
      <c r="L41" s="1350"/>
      <c r="M41" s="1350"/>
    </row>
    <row r="42" spans="1:18" ht="18" customHeight="1">
      <c r="A42" s="312"/>
      <c r="B42" s="313"/>
      <c r="C42" s="314"/>
      <c r="D42" s="331"/>
      <c r="E42" s="306" t="s">
        <v>1442</v>
      </c>
      <c r="F42" s="316">
        <f ca="1">INDIRECT("'数据-取费表'!v"&amp;$G$1)</f>
        <v>2.5000000000000001E-2</v>
      </c>
      <c r="G42" s="1566"/>
      <c r="H42" s="1350"/>
      <c r="I42" s="1580"/>
      <c r="J42" s="1581"/>
      <c r="K42" s="2764"/>
      <c r="L42" s="1350"/>
      <c r="M42" s="1350"/>
    </row>
    <row r="43" spans="1:18" ht="18" customHeight="1" thickBot="1">
      <c r="A43" s="338" t="s">
        <v>1001</v>
      </c>
      <c r="B43" s="339" t="s">
        <v>1452</v>
      </c>
      <c r="C43" s="340">
        <f ca="1">ROUND(C40*10000/F43,0)</f>
        <v>20385</v>
      </c>
      <c r="D43" s="341" t="s">
        <v>1453</v>
      </c>
      <c r="E43" s="342" t="s">
        <v>1454</v>
      </c>
      <c r="F43" s="343">
        <f ca="1">INDIRECT("'数据-取费表'!k"&amp;$G$1)</f>
        <v>11601.220000000001</v>
      </c>
      <c r="G43" s="1566"/>
      <c r="H43" s="1350"/>
      <c r="I43" s="1350"/>
      <c r="J43" s="1350"/>
      <c r="K43" s="2764"/>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8" t="s">
        <v>1484</v>
      </c>
      <c r="P45" s="1643"/>
      <c r="Q45" s="1643"/>
      <c r="R45" s="1643"/>
    </row>
    <row r="46" spans="1:18" s="1566" customFormat="1" ht="13.5" thickBot="1">
      <c r="A46" s="1586" t="s">
        <v>1485</v>
      </c>
      <c r="C46" s="1587">
        <f ca="1">C68-C40</f>
        <v>-31244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3096</v>
      </c>
      <c r="K47" s="1598" t="s">
        <v>1492</v>
      </c>
      <c r="L47" s="1599">
        <f ca="1">INDIRECT("'数据-取费表'!d"&amp;$G$1)</f>
        <v>40</v>
      </c>
      <c r="M47" s="1562" t="str">
        <f>IF(ISNUMBER(FIND("住宅",C1)),"住宅","非住宅")</f>
        <v>非住宅</v>
      </c>
      <c r="O47" s="1600" t="s">
        <v>1008</v>
      </c>
      <c r="P47" s="1601" t="s">
        <v>1493</v>
      </c>
      <c r="Q47" s="1602">
        <f ca="1">C40+J29</f>
        <v>23649</v>
      </c>
      <c r="R47" s="1602" t="s">
        <v>1494</v>
      </c>
    </row>
    <row r="48" spans="1:18" s="1566" customFormat="1" ht="28.5" thickBot="1">
      <c r="A48" s="1268" t="s">
        <v>1103</v>
      </c>
      <c r="B48" s="304" t="s">
        <v>1366</v>
      </c>
      <c r="C48" s="1541">
        <f ca="1">C49+C53+C55</f>
        <v>0</v>
      </c>
      <c r="D48" s="1270"/>
      <c r="E48" s="1271"/>
      <c r="F48" s="1091"/>
      <c r="G48" s="729"/>
      <c r="H48" s="730"/>
      <c r="I48" s="1603" t="s">
        <v>1495</v>
      </c>
      <c r="J48" s="1604" t="s">
        <v>3097</v>
      </c>
      <c r="K48" s="1605" t="s">
        <v>1496</v>
      </c>
      <c r="L48" s="1606">
        <f ca="1">INDIRECT("'数据-取费表'!f"&amp;$G$1)</f>
        <v>36.9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2847</v>
      </c>
      <c r="E49" s="1554" t="s">
        <v>1456</v>
      </c>
      <c r="F49" s="1189"/>
      <c r="G49" s="1607"/>
      <c r="H49" s="730"/>
      <c r="I49" s="1603" t="s">
        <v>1499</v>
      </c>
      <c r="J49" s="1608">
        <v>2020</v>
      </c>
      <c r="K49" s="1605" t="s">
        <v>1500</v>
      </c>
      <c r="L49" s="1609"/>
      <c r="O49" s="1610" t="s">
        <v>1010</v>
      </c>
      <c r="P49" s="1601" t="s">
        <v>1501</v>
      </c>
      <c r="Q49" s="1602">
        <f ca="1">C29</f>
        <v>4814</v>
      </c>
      <c r="R49" s="1602" t="s">
        <v>1494</v>
      </c>
    </row>
    <row r="50" spans="1:18" s="1566" customFormat="1" ht="13.5" thickBot="1">
      <c r="A50" s="1105"/>
      <c r="B50" s="1108"/>
      <c r="C50" s="1276"/>
      <c r="D50" s="1082"/>
      <c r="E50" s="1185" t="s">
        <v>1371</v>
      </c>
      <c r="F50" s="1186">
        <f ca="1">F7</f>
        <v>11601.220000000001</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59</v>
      </c>
      <c r="K51" s="1616" t="s">
        <v>1506</v>
      </c>
      <c r="L51" s="1617">
        <f ca="1">ROUND(-PV(INDIRECT("'数据-取费表'!h"&amp;$G$1),J51,(C39-C13*C76),0),0)</f>
        <v>12873</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36.9</v>
      </c>
      <c r="R52" s="1602" t="s">
        <v>1511</v>
      </c>
    </row>
    <row r="53" spans="1:18" s="1566" customFormat="1" ht="24.75" thickBot="1">
      <c r="A53" s="1312" t="s">
        <v>1105</v>
      </c>
      <c r="B53" s="1555" t="s">
        <v>1374</v>
      </c>
      <c r="C53" s="320">
        <f ca="1">ROUND(IF(F53="押一",C49/12*F11,IF(F53="押二",C49/12*2*F11,IF(F53="押三",C49/12*3*F11,C54*F11))),0)</f>
        <v>0</v>
      </c>
      <c r="D53" s="1548" t="s">
        <v>2853</v>
      </c>
      <c r="E53" s="317" t="s">
        <v>1375</v>
      </c>
      <c r="F53" s="1274"/>
      <c r="I53" s="1621" t="s">
        <v>1512</v>
      </c>
      <c r="J53" s="2383">
        <f ca="1">IF(M47="住宅",IF(D1="——",MAX(J51,L48),MAX(J51,L48-'数据-取费表'!B24)),IF(D1="——",MIN(J51,L48),MIN(J51,L48-'数据-取费表'!B24)))</f>
        <v>36.9</v>
      </c>
      <c r="K53" s="3305" t="s">
        <v>1513</v>
      </c>
      <c r="L53" s="3306"/>
      <c r="O53" s="1600" t="s">
        <v>1014</v>
      </c>
      <c r="P53" s="1601" t="s">
        <v>1514</v>
      </c>
      <c r="Q53" s="1602">
        <f ca="1">Q47+Q48</f>
        <v>23649</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4718</v>
      </c>
      <c r="D56" s="1629"/>
      <c r="E56" s="1630"/>
      <c r="F56" s="1622"/>
      <c r="I56" s="1631" t="s">
        <v>1519</v>
      </c>
      <c r="J56" s="1632" t="s">
        <v>3078</v>
      </c>
      <c r="K56" s="1603" t="s">
        <v>1520</v>
      </c>
      <c r="L56" s="1606" t="str">
        <f ca="1">IF(L48&lt;J51,"——",L48-J53)</f>
        <v>——</v>
      </c>
      <c r="O56" s="1600" t="s">
        <v>1008</v>
      </c>
      <c r="P56" s="1601" t="s">
        <v>1493</v>
      </c>
      <c r="Q56" s="1602">
        <f ca="1">C40+J29</f>
        <v>23649</v>
      </c>
      <c r="R56" s="1602" t="s">
        <v>1494</v>
      </c>
    </row>
    <row r="57" spans="1:18" s="1566" customFormat="1" ht="24.75" thickBot="1">
      <c r="A57" s="1633"/>
      <c r="B57" s="1079" t="s">
        <v>1443</v>
      </c>
      <c r="C57" s="242">
        <f ca="1">C29</f>
        <v>4814</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485</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1">
        <f ca="1">ROUND(IF(AND(项目基本情况!B11="自然人",项目基本情况!B10="北京市"),C49*F59/(1+'数据-取费表'!C42),C60+C61+C62),0)</f>
        <v>406</v>
      </c>
      <c r="D59" s="1092" t="s">
        <v>1395</v>
      </c>
      <c r="E59" s="1093"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3">
        <f ca="1">IF(项目基本情况!B11="自然人","——",ROUND(C48*F60/(1+'数据-取费表'!C42),2))</f>
        <v>0</v>
      </c>
      <c r="D60" s="1093" t="s">
        <v>1399</v>
      </c>
      <c r="E60" s="1079" t="s">
        <v>1387</v>
      </c>
      <c r="F60" s="335">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3">
        <f ca="1">IF(项目基本情况!B11="自然人","——",IF(D61="按租金收入计税",ROUND(C48*F61,2),IF(D61="按房产原值计税",ROUND(C57*F61*0.7,2),INDIRECT("'数据-取费表'!Aj"&amp;$G$1))))</f>
        <v>404.38</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4">
        <f ca="1">IF(项目基本情况!B11="自然人","——",ROUND(F62*F63/10000,2))</f>
        <v>1.32</v>
      </c>
      <c r="D62" s="1094" t="s">
        <v>1462</v>
      </c>
      <c r="E62" s="1079" t="s">
        <v>1463</v>
      </c>
      <c r="F62" s="329">
        <f t="shared" si="0"/>
        <v>1.5</v>
      </c>
      <c r="I62" s="1644" t="s">
        <v>1535</v>
      </c>
      <c r="J62" s="1645" t="s">
        <v>1536</v>
      </c>
      <c r="K62" s="1645" t="s">
        <v>1537</v>
      </c>
      <c r="L62" s="1645" t="s">
        <v>1538</v>
      </c>
      <c r="M62" s="1646" t="s">
        <v>1539</v>
      </c>
      <c r="O62" s="1600" t="s">
        <v>1014</v>
      </c>
      <c r="P62" s="1601" t="s">
        <v>1540</v>
      </c>
      <c r="Q62" s="1602">
        <f ca="1">Q56+Q57</f>
        <v>23649</v>
      </c>
      <c r="R62" s="1602" t="s">
        <v>1015</v>
      </c>
    </row>
    <row r="63" spans="1:18" s="1566" customFormat="1" ht="13.5" thickBot="1">
      <c r="A63" s="330"/>
      <c r="B63" s="1085"/>
      <c r="C63" s="28"/>
      <c r="D63" s="1095"/>
      <c r="E63" s="1079" t="s">
        <v>1464</v>
      </c>
      <c r="F63" s="307">
        <f t="shared" ca="1" si="0"/>
        <v>8832.7999999999993</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3">
        <f ca="1">ROUND(C57*F64,1)</f>
        <v>72.2</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3">
        <f ca="1">ROUND(C56*F65,1)</f>
        <v>7.1</v>
      </c>
      <c r="D65" s="1093" t="s">
        <v>1419</v>
      </c>
      <c r="E65" s="1079" t="s">
        <v>1420</v>
      </c>
      <c r="F65" s="334">
        <f t="shared" ca="1" si="0"/>
        <v>1.5E-3</v>
      </c>
      <c r="I65" s="1644" t="s">
        <v>1544</v>
      </c>
      <c r="J65" s="1645">
        <v>40</v>
      </c>
      <c r="K65" s="1645">
        <v>30</v>
      </c>
      <c r="L65" s="1645">
        <v>50</v>
      </c>
      <c r="M65" s="1647">
        <v>0.02</v>
      </c>
      <c r="O65" s="1600" t="s">
        <v>1008</v>
      </c>
      <c r="P65" s="1601" t="s">
        <v>1545</v>
      </c>
      <c r="Q65" s="1602">
        <f ca="1">C40+J29</f>
        <v>23649</v>
      </c>
      <c r="R65" s="1602" t="s">
        <v>1494</v>
      </c>
    </row>
    <row r="66" spans="1:18" s="1566" customFormat="1" ht="16.5" thickBot="1">
      <c r="A66" s="1111" t="s">
        <v>1469</v>
      </c>
      <c r="B66" s="1079" t="s">
        <v>1404</v>
      </c>
      <c r="C66" s="23">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-485</v>
      </c>
      <c r="D67" s="1092" t="s">
        <v>1429</v>
      </c>
      <c r="E67" s="1097"/>
      <c r="F67" s="1098"/>
      <c r="O67" s="1610" t="s">
        <v>1010</v>
      </c>
      <c r="P67" s="1601" t="s">
        <v>1527</v>
      </c>
      <c r="Q67" s="1648">
        <f ca="1">L51</f>
        <v>12873</v>
      </c>
      <c r="R67" s="1602" t="s">
        <v>1547</v>
      </c>
    </row>
    <row r="68" spans="1:18" s="1566" customFormat="1" ht="16.5" thickBot="1">
      <c r="A68" s="1076" t="s">
        <v>1000</v>
      </c>
      <c r="B68" s="1077" t="s">
        <v>1450</v>
      </c>
      <c r="C68" s="305">
        <f ca="1">ROUND(C67*(1-((1+F70)/(1+F68))^F69)/(F68-F70),0)</f>
        <v>-7595</v>
      </c>
      <c r="D68" s="1094" t="s">
        <v>1434</v>
      </c>
      <c r="E68" s="1079" t="s">
        <v>1435</v>
      </c>
      <c r="F68" s="316">
        <f ca="1">F40</f>
        <v>5.5E-2</v>
      </c>
      <c r="O68" s="1610" t="s">
        <v>1011</v>
      </c>
      <c r="P68" s="1649" t="s">
        <v>1548</v>
      </c>
      <c r="Q68" s="1602">
        <f ca="1">ROUND(Q69-Q70*Q71,0)</f>
        <v>682</v>
      </c>
      <c r="R68" s="1602" t="s">
        <v>1019</v>
      </c>
    </row>
    <row r="69" spans="1:18" s="1566" customFormat="1" ht="13.5" thickBot="1">
      <c r="A69" s="1080"/>
      <c r="B69" s="1081"/>
      <c r="C69" s="310"/>
      <c r="D69" s="1099" t="s">
        <v>1438</v>
      </c>
      <c r="E69" s="1079" t="s">
        <v>1439</v>
      </c>
      <c r="F69" s="337">
        <f ca="1">F41</f>
        <v>36.9</v>
      </c>
      <c r="O69" s="1610" t="s">
        <v>1016</v>
      </c>
      <c r="P69" s="1649" t="s">
        <v>1549</v>
      </c>
      <c r="Q69" s="1602">
        <f ca="1">C39</f>
        <v>1083</v>
      </c>
      <c r="R69" s="1602" t="s">
        <v>1494</v>
      </c>
    </row>
    <row r="70" spans="1:18" s="1566" customFormat="1" ht="13.5" thickBot="1">
      <c r="A70" s="1083"/>
      <c r="B70" s="1084"/>
      <c r="C70" s="314"/>
      <c r="D70" s="1095"/>
      <c r="E70" s="1079" t="s">
        <v>1442</v>
      </c>
      <c r="F70" s="1183"/>
      <c r="O70" s="1610" t="s">
        <v>1017</v>
      </c>
      <c r="P70" s="1649" t="s">
        <v>1550</v>
      </c>
      <c r="Q70" s="1602">
        <f ca="1">C13</f>
        <v>4718</v>
      </c>
      <c r="R70" s="1602" t="s">
        <v>1494</v>
      </c>
    </row>
    <row r="71" spans="1:18" s="1566" customFormat="1" ht="13.5" thickBot="1">
      <c r="A71" s="1100" t="s">
        <v>1001</v>
      </c>
      <c r="B71" s="1101" t="s">
        <v>1452</v>
      </c>
      <c r="C71" s="340">
        <f ca="1">ROUND(C68*10000/F71,0)</f>
        <v>-6547</v>
      </c>
      <c r="D71" s="1102" t="s">
        <v>1453</v>
      </c>
      <c r="E71" s="1103" t="s">
        <v>1454</v>
      </c>
      <c r="F71" s="343">
        <f ca="1">F43</f>
        <v>11601.220000000001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401</v>
      </c>
      <c r="D75" s="1566"/>
      <c r="E75" s="1566"/>
      <c r="F75" s="1566"/>
      <c r="K75" s="1584"/>
      <c r="L75" s="1566"/>
      <c r="O75" s="1600" t="s">
        <v>1014</v>
      </c>
      <c r="P75" s="1601" t="s">
        <v>1514</v>
      </c>
      <c r="Q75" s="1602">
        <f ca="1">Q65+Q66</f>
        <v>23649</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0.63</v>
      </c>
    </row>
    <row r="80" spans="1:18">
      <c r="B80" s="344" t="s">
        <v>1476</v>
      </c>
      <c r="C80" s="278">
        <f ca="1">ROUND(C75/C39,3)</f>
        <v>0.37</v>
      </c>
    </row>
    <row r="81" spans="2:3">
      <c r="B81" s="274" t="s">
        <v>1477</v>
      </c>
      <c r="C81" s="242"/>
    </row>
    <row r="82" spans="2:3">
      <c r="B82" s="277" t="s">
        <v>1478</v>
      </c>
      <c r="C82" s="279">
        <f ca="1">1-C83</f>
        <v>0.8</v>
      </c>
    </row>
    <row r="83" spans="2:3">
      <c r="B83" s="277" t="s">
        <v>1479</v>
      </c>
      <c r="C83" s="278">
        <f ca="1">ROUND(C13/C40,3)</f>
        <v>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29"/>
      <c r="H2" s="2918"/>
      <c r="I2" s="2918"/>
      <c r="J2" s="2918"/>
      <c r="K2" s="2919"/>
      <c r="L2" s="2918"/>
      <c r="M2" s="2918"/>
    </row>
    <row r="3" spans="1:37" ht="18" customHeight="1" thickBot="1">
      <c r="A3" s="1572" t="s">
        <v>1558</v>
      </c>
      <c r="B3" s="1573">
        <f ca="1">IF(ISERROR(D2/F43),0,ROUND(D2/F43,0))</f>
        <v>0</v>
      </c>
      <c r="C3" s="1569" t="s">
        <v>1559</v>
      </c>
      <c r="D3" s="1569"/>
      <c r="E3" s="1570"/>
      <c r="F3" s="1571"/>
      <c r="G3" s="2929"/>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307" t="s">
        <v>1368</v>
      </c>
      <c r="C6" s="1204">
        <f ca="1">ROUND(F6*F8*F7*(1-F9),0)</f>
        <v>0</v>
      </c>
      <c r="D6" s="158" t="s">
        <v>2843</v>
      </c>
      <c r="E6" s="306" t="s">
        <v>1370</v>
      </c>
      <c r="F6" s="307">
        <f ca="1">INDIRECT("'数据-取费表'!u"&amp;$G$1)</f>
        <v>0</v>
      </c>
      <c r="G6" s="1566"/>
      <c r="H6" s="1199" t="s">
        <v>1003</v>
      </c>
      <c r="I6" s="3307" t="s">
        <v>1368</v>
      </c>
      <c r="J6" s="305">
        <f ca="1">ROUND(M6*M8*M7*(1-M9),0)</f>
        <v>0</v>
      </c>
      <c r="K6" s="1558" t="s">
        <v>2844</v>
      </c>
      <c r="L6" s="306" t="s">
        <v>1370</v>
      </c>
      <c r="M6" s="307">
        <f ca="1">INDIRECT("'数据-取费表'!z"&amp;$G$1)</f>
        <v>0</v>
      </c>
    </row>
    <row r="7" spans="1:37" ht="18" customHeight="1">
      <c r="A7" s="1203"/>
      <c r="B7" s="3308"/>
      <c r="C7" s="1205"/>
      <c r="D7" s="311"/>
      <c r="E7" s="1206" t="s">
        <v>1371</v>
      </c>
      <c r="F7" s="307">
        <f ca="1">IF(INDIRECT("'数据-取费表'!ah"&amp;$G$1)="",INDIRECT("'数据-取费表'!k"&amp;$G$1),INDIRECT("'数据-取费表'!ah"&amp;$G$1))</f>
        <v>0</v>
      </c>
      <c r="G7" s="1566"/>
      <c r="H7" s="308"/>
      <c r="I7" s="3308"/>
      <c r="J7" s="310"/>
      <c r="K7" s="311"/>
      <c r="L7" s="306" t="s">
        <v>1371</v>
      </c>
      <c r="M7" s="307">
        <f ca="1">F7</f>
        <v>0</v>
      </c>
    </row>
    <row r="8" spans="1:37" ht="18" customHeight="1">
      <c r="A8" s="308"/>
      <c r="B8" s="3308"/>
      <c r="C8" s="310"/>
      <c r="D8" s="311"/>
      <c r="E8" s="306" t="s">
        <v>1372</v>
      </c>
      <c r="F8" s="307">
        <f ca="1">INDIRECT("'数据-取费表'!ai"&amp;$G$1)</f>
        <v>0</v>
      </c>
      <c r="G8" s="1566"/>
      <c r="H8" s="308"/>
      <c r="I8" s="3308"/>
      <c r="J8" s="310"/>
      <c r="K8" s="311"/>
      <c r="L8" s="306" t="s">
        <v>1372</v>
      </c>
      <c r="M8" s="307">
        <f ca="1">INDIRECT("'数据-取费表'!ai"&amp;$G$1)</f>
        <v>0</v>
      </c>
    </row>
    <row r="9" spans="1:37" ht="18" customHeight="1">
      <c r="A9" s="308"/>
      <c r="B9" s="3309"/>
      <c r="C9" s="310"/>
      <c r="D9" s="311"/>
      <c r="E9" s="306" t="s">
        <v>1373</v>
      </c>
      <c r="F9" s="316">
        <f ca="1">INDIRECT("'数据-取费表'!w"&amp;$G$1)</f>
        <v>0</v>
      </c>
      <c r="G9" s="1566"/>
      <c r="H9" s="308"/>
      <c r="I9" s="3309"/>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2853</v>
      </c>
      <c r="E10" s="317" t="s">
        <v>1375</v>
      </c>
      <c r="F10" s="1274"/>
      <c r="G10" s="1566"/>
      <c r="H10" s="1199" t="s">
        <v>1007</v>
      </c>
      <c r="I10" s="1547" t="s">
        <v>1374</v>
      </c>
      <c r="J10" s="305">
        <f ca="1">ROUND(IF(M10="押一",J6/12*M11,IF(M10="押二",J6/12*2*M11,IF(M10="押三",J6/12*3*M11,J11*M11))),0)</f>
        <v>0</v>
      </c>
      <c r="K10" s="1559" t="s">
        <v>2855</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3">
        <f ca="1">C29</f>
        <v>0</v>
      </c>
      <c r="K14" s="14"/>
      <c r="L14" s="914"/>
      <c r="M14" s="915"/>
    </row>
    <row r="15" spans="1:37" s="1579" customFormat="1" ht="18" customHeight="1" thickBot="1">
      <c r="A15" s="1111" t="s">
        <v>1004</v>
      </c>
      <c r="B15" s="306" t="s">
        <v>1385</v>
      </c>
      <c r="C15" s="23">
        <f ca="1">ROUND(C14*F15,0)</f>
        <v>0</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3">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3">
        <f ca="1">ROUND(F17*(F43+INDIRECT("'数据-取费表'!S"&amp;$G$1)),0)</f>
        <v>0</v>
      </c>
      <c r="D17" s="306" t="s">
        <v>1392</v>
      </c>
      <c r="E17" s="306" t="s">
        <v>1393</v>
      </c>
      <c r="F17" s="25">
        <f>'数据-取费表'!B35</f>
        <v>200</v>
      </c>
      <c r="G17" s="1578"/>
      <c r="H17" s="1111" t="s">
        <v>1003</v>
      </c>
      <c r="I17" s="306"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3">
        <f ca="1">ROUND(C14*F18,0)</f>
        <v>0</v>
      </c>
      <c r="D18" s="306" t="s">
        <v>1386</v>
      </c>
      <c r="E18" s="306" t="s">
        <v>1387</v>
      </c>
      <c r="F18" s="326">
        <f>'数据-取费表'!B36</f>
        <v>1.4999999999999999E-2</v>
      </c>
      <c r="G18" s="1578"/>
      <c r="H18" s="1111" t="s">
        <v>1002</v>
      </c>
      <c r="I18" s="306" t="s">
        <v>1398</v>
      </c>
      <c r="J18" s="23">
        <f ca="1">ROUND(J6*M18/(1+'数据-取费表'!C42),0)</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3">
        <f ca="1">SUM(C14:C18)</f>
        <v>0</v>
      </c>
      <c r="D19" s="134" t="s">
        <v>1401</v>
      </c>
      <c r="E19" s="1542"/>
      <c r="F19" s="25"/>
      <c r="G19" s="1566"/>
      <c r="H19" s="1111" t="s">
        <v>1004</v>
      </c>
      <c r="I19" s="306" t="s">
        <v>1402</v>
      </c>
      <c r="J19" s="23">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3">
        <f ca="1">ROUND(C19*F20,0)</f>
        <v>0</v>
      </c>
      <c r="D20" s="327" t="s">
        <v>1405</v>
      </c>
      <c r="E20" s="306" t="s">
        <v>1387</v>
      </c>
      <c r="F20" s="326">
        <f>'数据-取费表'!B37</f>
        <v>0.02</v>
      </c>
      <c r="G20" s="1578"/>
      <c r="H20" s="1111" t="s">
        <v>1354</v>
      </c>
      <c r="I20" s="158" t="s">
        <v>1406</v>
      </c>
      <c r="J20" s="24">
        <f ca="1">ROUND(M20*M21,0)</f>
        <v>0</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3" t="s">
        <v>1</v>
      </c>
      <c r="D21" s="327" t="s">
        <v>1410</v>
      </c>
      <c r="E21" s="306" t="s">
        <v>1411</v>
      </c>
      <c r="F21" s="326">
        <f>'数据-取费表'!B38</f>
        <v>0.02</v>
      </c>
      <c r="G21" s="1578"/>
      <c r="H21" s="330"/>
      <c r="I21" s="315"/>
      <c r="J21" s="28"/>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3"/>
      <c r="D22" s="134" t="str">
        <f>IF(F23&lt;=1,"单利计息。","复利计息。")&amp;"建造成本、管理费用、销售费用产生的利息。"</f>
        <v>复利计息。建造成本、管理费用、销售费用产生的利息。</v>
      </c>
      <c r="E22" s="1542"/>
      <c r="F22" s="25"/>
      <c r="G22" s="1566"/>
      <c r="H22" s="1111" t="s">
        <v>1007</v>
      </c>
      <c r="I22" s="306" t="s">
        <v>1414</v>
      </c>
      <c r="J22" s="23">
        <f ca="1">ROUND(J14*M22,0)</f>
        <v>0</v>
      </c>
      <c r="K22" s="1526" t="s">
        <v>1415</v>
      </c>
      <c r="L22" s="306" t="s">
        <v>1387</v>
      </c>
      <c r="M22" s="332">
        <f ca="1">INDIRECT("'数据-取费表'!Ak"&amp;$G$1)</f>
        <v>0</v>
      </c>
    </row>
    <row r="23" spans="1:37" s="1579" customFormat="1" ht="18" customHeight="1">
      <c r="A23" s="1111"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1.5</v>
      </c>
      <c r="G23" s="1578"/>
      <c r="H23" s="1111" t="s">
        <v>1043</v>
      </c>
      <c r="I23" s="306" t="s">
        <v>1418</v>
      </c>
      <c r="J23" s="23">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3">
        <f ca="1">ROUND(IF('数据-取费表'!B22&lt;=1,F21*F24*F23/2,F21*(POWER((1+F24),F23/2)-1)),4)</f>
        <v>5.9999999999999995E-4</v>
      </c>
      <c r="D24" s="333" t="str">
        <f>IF(F23&lt;=1,"销售费用×利率×(建设周期÷2)","销售费用×((1+利率)^(建设周期÷2)-1)")</f>
        <v>销售费用×((1+利率)^(建设周期÷2)-1)</v>
      </c>
      <c r="E24" s="306" t="s">
        <v>1423</v>
      </c>
      <c r="F24" s="335">
        <f ca="1">'数据-取费表'!B40</f>
        <v>3.85E-2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3"/>
      <c r="D25" s="134" t="s">
        <v>1427</v>
      </c>
      <c r="E25" s="1542"/>
      <c r="F25" s="25"/>
      <c r="G25" s="1566"/>
      <c r="H25" s="1237" t="s">
        <v>999</v>
      </c>
      <c r="I25" s="1252" t="s">
        <v>1428</v>
      </c>
      <c r="J25" s="314">
        <f ca="1">J5-J16</f>
        <v>0</v>
      </c>
      <c r="K25" s="1253" t="s">
        <v>1429</v>
      </c>
      <c r="L25" s="1254"/>
      <c r="M25" s="1255"/>
    </row>
    <row r="26" spans="1:37" ht="18" customHeight="1">
      <c r="A26" s="1111" t="s">
        <v>1002</v>
      </c>
      <c r="B26" s="306" t="s">
        <v>1430</v>
      </c>
      <c r="C26" s="23">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3">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3">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0"/>
      <c r="I30" s="1580"/>
      <c r="J30" s="1581"/>
      <c r="K30" s="2695"/>
      <c r="L30" s="2921"/>
      <c r="M30" s="2922"/>
    </row>
    <row r="31" spans="1:37" ht="18" customHeight="1">
      <c r="A31" s="1111" t="s">
        <v>1003</v>
      </c>
      <c r="B31" s="306"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3" t="s">
        <v>3053</v>
      </c>
      <c r="I31" s="1580"/>
      <c r="J31" s="1581"/>
      <c r="K31" s="2695"/>
      <c r="L31" s="2921"/>
      <c r="M31" s="2922"/>
    </row>
    <row r="32" spans="1:37" ht="18" customHeight="1">
      <c r="A32" s="1111" t="s">
        <v>1002</v>
      </c>
      <c r="B32" s="306" t="s">
        <v>1398</v>
      </c>
      <c r="C32" s="23">
        <f ca="1">IF(项目基本情况!B11="自然人","——",ROUND(C6*F32/(1+'数据-取费表'!C42),0))</f>
        <v>0</v>
      </c>
      <c r="D32" s="1526" t="s">
        <v>1399</v>
      </c>
      <c r="E32" s="306" t="s">
        <v>1387</v>
      </c>
      <c r="F32" s="335">
        <f>'数据-取费表'!B41</f>
        <v>5.5000000000000007E-2</v>
      </c>
      <c r="G32" s="1566"/>
      <c r="H32" s="2920"/>
      <c r="I32" s="1580"/>
      <c r="J32" s="1581"/>
      <c r="K32" s="2695"/>
      <c r="L32" s="2921"/>
      <c r="M32" s="2922"/>
    </row>
    <row r="33" spans="1:18" ht="18" customHeight="1">
      <c r="A33" s="1111" t="s">
        <v>1004</v>
      </c>
      <c r="B33" s="306" t="s">
        <v>1402</v>
      </c>
      <c r="C33" s="23">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3"/>
      <c r="I33" s="1580"/>
      <c r="J33" s="1581"/>
      <c r="K33" s="2924"/>
      <c r="L33" s="2923"/>
      <c r="M33" s="2923"/>
    </row>
    <row r="34" spans="1:18" ht="18" customHeight="1">
      <c r="A34" s="1199" t="s">
        <v>1354</v>
      </c>
      <c r="B34" s="158" t="s">
        <v>1406</v>
      </c>
      <c r="C34" s="24">
        <f ca="1">IF(项目基本情况!B11="自然人","——",ROUND(F34*F35,))</f>
        <v>0</v>
      </c>
      <c r="D34" s="328" t="s">
        <v>1407</v>
      </c>
      <c r="E34" s="306" t="s">
        <v>1408</v>
      </c>
      <c r="F34" s="329">
        <f>'数据-取费表'!B52</f>
        <v>1.5</v>
      </c>
      <c r="G34" s="1566"/>
      <c r="H34" s="2920"/>
      <c r="I34" s="1580"/>
      <c r="J34" s="1581"/>
      <c r="K34" s="2925"/>
      <c r="L34" s="2926"/>
      <c r="M34" s="2926"/>
    </row>
    <row r="35" spans="1:18" ht="18" customHeight="1">
      <c r="A35" s="1261"/>
      <c r="B35" s="1259"/>
      <c r="C35" s="28"/>
      <c r="D35" s="331"/>
      <c r="E35" s="306" t="s">
        <v>1412</v>
      </c>
      <c r="F35" s="307">
        <f ca="1">INDIRECT("'数据-取费表'!r"&amp;$G$1)</f>
        <v>0</v>
      </c>
      <c r="G35" s="1566"/>
      <c r="H35" s="2920"/>
      <c r="I35" s="1580"/>
      <c r="J35" s="1581"/>
      <c r="K35" s="2924"/>
      <c r="L35" s="2923"/>
      <c r="M35" s="2923"/>
    </row>
    <row r="36" spans="1:18" ht="18" customHeight="1">
      <c r="A36" s="1260" t="s">
        <v>1007</v>
      </c>
      <c r="B36" s="306" t="s">
        <v>1414</v>
      </c>
      <c r="C36" s="23">
        <f ca="1">ROUND(C29*F36,0)</f>
        <v>0</v>
      </c>
      <c r="D36" s="1526" t="s">
        <v>1447</v>
      </c>
      <c r="E36" s="306" t="s">
        <v>1387</v>
      </c>
      <c r="F36" s="332">
        <f ca="1">INDIRECT("'数据-取费表'!Ak"&amp;$G$1)</f>
        <v>0</v>
      </c>
      <c r="G36" s="1566"/>
      <c r="H36" s="2923"/>
      <c r="I36" s="1580"/>
      <c r="J36" s="1581"/>
      <c r="K36" s="2764"/>
      <c r="L36" s="2923"/>
      <c r="M36" s="2923"/>
    </row>
    <row r="37" spans="1:18" ht="18" customHeight="1">
      <c r="A37" s="1111" t="s">
        <v>1043</v>
      </c>
      <c r="B37" s="306" t="s">
        <v>1418</v>
      </c>
      <c r="C37" s="23">
        <f ca="1">ROUND(C13*F37,0)</f>
        <v>0</v>
      </c>
      <c r="D37" s="1526" t="s">
        <v>1419</v>
      </c>
      <c r="E37" s="306" t="s">
        <v>1420</v>
      </c>
      <c r="F37" s="334">
        <f ca="1">INDIRECT("'数据-取费表'!Al"&amp;$G$1)</f>
        <v>0</v>
      </c>
      <c r="G37" s="1566"/>
      <c r="H37" s="2923"/>
      <c r="I37" s="1580"/>
      <c r="J37" s="1581"/>
      <c r="K37" s="2764"/>
      <c r="L37" s="2923"/>
      <c r="M37" s="2923"/>
    </row>
    <row r="38" spans="1:18" ht="18" customHeight="1" thickBot="1">
      <c r="A38" s="1247" t="s">
        <v>1358</v>
      </c>
      <c r="B38" s="1248" t="s">
        <v>1404</v>
      </c>
      <c r="C38" s="1249">
        <f ca="1">ROUND(C5*F38,1)</f>
        <v>0</v>
      </c>
      <c r="D38" s="1250" t="s">
        <v>1424</v>
      </c>
      <c r="E38" s="1248" t="s">
        <v>1420</v>
      </c>
      <c r="F38" s="1244">
        <f ca="1">INDIRECT("'数据-取费表'!Am"&amp;$G$1)</f>
        <v>0</v>
      </c>
      <c r="G38" s="1566"/>
      <c r="H38" s="2923"/>
      <c r="I38" s="1580"/>
      <c r="J38" s="1581"/>
      <c r="K38" s="2927"/>
      <c r="L38" s="2923"/>
      <c r="M38" s="2923"/>
    </row>
    <row r="39" spans="1:18" ht="24.6" customHeight="1" thickTop="1">
      <c r="A39" s="1237" t="s">
        <v>999</v>
      </c>
      <c r="B39" s="1252" t="s">
        <v>1448</v>
      </c>
      <c r="C39" s="314">
        <f ca="1">C5-C30</f>
        <v>0</v>
      </c>
      <c r="D39" s="1253" t="s">
        <v>1449</v>
      </c>
      <c r="E39" s="1254"/>
      <c r="F39" s="1255"/>
      <c r="G39" s="1566"/>
      <c r="H39" s="2923"/>
      <c r="I39" s="1580"/>
      <c r="J39" s="1581"/>
      <c r="K39" s="2927"/>
      <c r="L39" s="2923"/>
      <c r="M39" s="2923"/>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27"/>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0"/>
      <c r="I41" s="1580"/>
      <c r="J41" s="1581"/>
      <c r="K41" s="2764"/>
      <c r="L41" s="1350"/>
      <c r="M41" s="1350"/>
    </row>
    <row r="42" spans="1:18" ht="18" customHeight="1">
      <c r="A42" s="312"/>
      <c r="B42" s="313"/>
      <c r="C42" s="314"/>
      <c r="D42" s="331"/>
      <c r="E42" s="306" t="s">
        <v>1442</v>
      </c>
      <c r="F42" s="316">
        <f ca="1">INDIRECT("'数据-取费表'!v"&amp;$G$1)</f>
        <v>0</v>
      </c>
      <c r="G42" s="1566"/>
      <c r="H42" s="1350"/>
      <c r="I42" s="1580"/>
      <c r="J42" s="1581"/>
      <c r="K42" s="2764"/>
      <c r="L42" s="1350"/>
      <c r="M42" s="1350"/>
    </row>
    <row r="43" spans="1:18" ht="18" customHeight="1" thickBot="1">
      <c r="A43" s="338" t="s">
        <v>1001</v>
      </c>
      <c r="B43" s="339" t="s">
        <v>1452</v>
      </c>
      <c r="C43" s="340" t="e">
        <f ca="1">ROUND(C40/F43,0)</f>
        <v>#DIV/0!</v>
      </c>
      <c r="D43" s="341" t="s">
        <v>1453</v>
      </c>
      <c r="E43" s="342" t="s">
        <v>1454</v>
      </c>
      <c r="F43" s="343">
        <f ca="1">INDIRECT("'数据-取费表'!k"&amp;$G$1)</f>
        <v>0</v>
      </c>
      <c r="G43" s="1566"/>
      <c r="H43" s="1350"/>
      <c r="I43" s="1350"/>
      <c r="J43" s="1350"/>
      <c r="K43" s="2764"/>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2856</v>
      </c>
      <c r="E53" s="317" t="s">
        <v>1375</v>
      </c>
      <c r="F53" s="1274"/>
      <c r="I53" s="1621" t="s">
        <v>1512</v>
      </c>
      <c r="J53" s="2383">
        <f ca="1">IF(M47="住宅",IF(D1="——",MAX(J51,L48),MAX(J51,L48-'数据-取费表'!B24)),IF(D1="——",MIN(J51,L48),MIN(J51,L48-'数据-取费表'!B24)))</f>
        <v>0</v>
      </c>
      <c r="K53" s="3305" t="s">
        <v>1513</v>
      </c>
      <c r="L53" s="3306"/>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1">
        <f ca="1">ROUND(IF(AND(项目基本情况!B11="自然人",项目基本情况!B10="北京市"),C49*F59/(1+'数据-取费表'!C42),C60+C61+C62),0)</f>
        <v>0</v>
      </c>
      <c r="D59" s="1092" t="s">
        <v>1395</v>
      </c>
      <c r="E59" s="1093"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3">
        <f ca="1">IF(项目基本情况!B11="自然人","——",ROUND(C48*F60/(1+'数据-取费表'!C42),0))</f>
        <v>0</v>
      </c>
      <c r="D60" s="1093" t="s">
        <v>1399</v>
      </c>
      <c r="E60" s="1079" t="s">
        <v>1387</v>
      </c>
      <c r="F60" s="335">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3">
        <f ca="1">IF(项目基本情况!B11="自然人","——",IF(D61="按租金收入计税",ROUND(C48*F61,0),IF(D61="按房产原值计税",ROUND(C57*F61*0.7,0),INDIRECT("'数据-取费表'!Aj"&amp;$G$1))))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4">
        <f ca="1">IF(项目基本情况!B11="自然人","——",ROUND(F62*F63,0))</f>
        <v>0</v>
      </c>
      <c r="D62" s="1094" t="s">
        <v>1462</v>
      </c>
      <c r="E62" s="1079" t="s">
        <v>1463</v>
      </c>
      <c r="F62" s="329">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8"/>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3">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3">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3">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2344</v>
      </c>
      <c r="B1" s="2051"/>
      <c r="C1" s="2051"/>
      <c r="D1" s="2051"/>
      <c r="E1" s="2052"/>
      <c r="F1" s="2930"/>
      <c r="G1" s="1672"/>
      <c r="H1" s="1672"/>
      <c r="I1" s="1672"/>
      <c r="J1" s="1672"/>
      <c r="K1" s="1672"/>
      <c r="L1" s="1672"/>
      <c r="M1" s="1672"/>
      <c r="N1" s="1672"/>
      <c r="O1" s="1672"/>
      <c r="P1" s="1672"/>
      <c r="Q1" s="1672"/>
      <c r="R1" s="1672"/>
      <c r="S1" s="1672"/>
    </row>
    <row r="2" spans="1:22" ht="15.75">
      <c r="A2" s="2053" t="s">
        <v>2145</v>
      </c>
      <c r="B2" s="2054">
        <f ca="1">SUMIF(B6:B13,"&lt;&gt;#ref!",B6:B13)</f>
        <v>23649</v>
      </c>
      <c r="C2" s="2055" t="s">
        <v>2337</v>
      </c>
      <c r="D2" s="2056" t="s">
        <v>2338</v>
      </c>
      <c r="E2" s="2827">
        <f>SUM(E6:E13)</f>
        <v>11601.220000000001</v>
      </c>
      <c r="F2" s="2930"/>
      <c r="G2" s="1672"/>
      <c r="H2" s="1672"/>
      <c r="I2" s="1672"/>
      <c r="J2" s="1672"/>
      <c r="K2" s="1672"/>
      <c r="L2" s="1672"/>
      <c r="M2" s="1672"/>
      <c r="N2" s="1672"/>
      <c r="O2" s="1672"/>
      <c r="P2" s="1672"/>
      <c r="Q2" s="1672"/>
      <c r="R2" s="1672"/>
      <c r="S2" s="1672"/>
    </row>
    <row r="3" spans="1:22" ht="15.75">
      <c r="A3" s="2053" t="s">
        <v>1360</v>
      </c>
      <c r="B3" s="2821">
        <f ca="1">ROUND(B2*10000/E2,0)</f>
        <v>20385</v>
      </c>
      <c r="C3" s="2055" t="s">
        <v>2345</v>
      </c>
      <c r="D3" s="2932"/>
      <c r="E3" s="2934"/>
      <c r="F3" s="2930"/>
      <c r="G3" s="1672"/>
      <c r="H3" s="1672"/>
      <c r="I3" s="1672"/>
      <c r="J3" s="1672"/>
      <c r="K3" s="1672"/>
      <c r="L3" s="1672"/>
      <c r="M3" s="1672"/>
      <c r="N3" s="1672"/>
      <c r="O3" s="1672"/>
      <c r="P3" s="1672"/>
      <c r="Q3" s="1672"/>
      <c r="R3" s="1672"/>
      <c r="S3" s="1672"/>
    </row>
    <row r="4" spans="1:22" ht="15.75">
      <c r="A4" s="2935"/>
      <c r="B4" s="2932"/>
      <c r="C4" s="2932"/>
      <c r="D4" s="2932"/>
      <c r="E4" s="2934"/>
      <c r="F4" s="2930"/>
      <c r="G4" s="1672"/>
      <c r="H4" s="1672"/>
      <c r="I4" s="1672"/>
      <c r="J4" s="1672"/>
      <c r="K4" s="1672"/>
      <c r="L4" s="1672"/>
      <c r="M4" s="1672"/>
      <c r="N4" s="1672"/>
      <c r="O4" s="1672"/>
      <c r="P4" s="1672"/>
      <c r="Q4" s="1672"/>
      <c r="R4" s="1672"/>
      <c r="S4" s="1672"/>
    </row>
    <row r="5" spans="1:22" ht="15">
      <c r="A5" s="2823" t="s">
        <v>2339</v>
      </c>
      <c r="B5" s="3310" t="s">
        <v>2340</v>
      </c>
      <c r="C5" s="3311"/>
      <c r="D5" s="2931"/>
      <c r="E5" s="2057" t="s">
        <v>2341</v>
      </c>
      <c r="F5" s="2058" t="s">
        <v>2342</v>
      </c>
      <c r="G5" s="1672"/>
      <c r="H5" s="1672"/>
      <c r="I5" s="1672"/>
      <c r="J5" s="1672"/>
      <c r="K5" s="1672"/>
      <c r="L5" s="1672"/>
      <c r="M5" s="1672"/>
      <c r="N5" s="1672"/>
      <c r="O5" s="1672"/>
      <c r="P5" s="1672"/>
      <c r="Q5" s="1672"/>
      <c r="R5" s="1672"/>
      <c r="S5" s="1672"/>
    </row>
    <row r="6" spans="1:22">
      <c r="A6" s="2824" t="str">
        <f>'数据-取费表'!AN6</f>
        <v>收益法</v>
      </c>
      <c r="B6" s="2822">
        <f ca="1">IF(F6="是",'数据-取费表'!AO6,0)</f>
        <v>23649</v>
      </c>
      <c r="C6" s="2055" t="s">
        <v>2337</v>
      </c>
      <c r="D6" s="2932"/>
      <c r="E6" s="2826">
        <f>IF(OR(A6=0,F6="否"),0,'数据-取费表'!K6+'数据-取费表'!S6)</f>
        <v>11601.220000000001</v>
      </c>
      <c r="F6" s="2059" t="s">
        <v>2343</v>
      </c>
      <c r="G6" s="1672"/>
      <c r="H6" s="1672"/>
      <c r="I6" s="1672"/>
      <c r="J6" s="1672"/>
      <c r="K6" s="1672"/>
      <c r="L6" s="1672"/>
      <c r="M6" s="1672"/>
      <c r="N6" s="1672"/>
      <c r="O6" s="1672"/>
      <c r="P6" s="1672"/>
      <c r="Q6" s="1672"/>
      <c r="R6" s="1672"/>
      <c r="S6" s="1672"/>
    </row>
    <row r="7" spans="1:22">
      <c r="A7" s="2824">
        <f>'数据-取费表'!AN7</f>
        <v>0</v>
      </c>
      <c r="B7" s="2822" t="e">
        <f ca="1">IF(F7="是",'数据-取费表'!AO7,0)</f>
        <v>#REF!</v>
      </c>
      <c r="C7" s="2055" t="s">
        <v>2337</v>
      </c>
      <c r="D7" s="2932"/>
      <c r="E7" s="2826">
        <f>IF(OR(A7=0,F7="否"),0,'数据-取费表'!K7+'数据-取费表'!S7)</f>
        <v>0</v>
      </c>
      <c r="F7" s="2059" t="s">
        <v>2343</v>
      </c>
      <c r="G7" s="1672"/>
      <c r="H7" s="1672"/>
      <c r="I7" s="1672"/>
      <c r="J7" s="1672"/>
      <c r="K7" s="1672"/>
      <c r="L7" s="1672"/>
      <c r="M7" s="1672"/>
      <c r="N7" s="1672"/>
      <c r="O7" s="1672"/>
      <c r="P7" s="1672"/>
      <c r="Q7" s="1672"/>
      <c r="R7" s="1672"/>
      <c r="S7" s="1672"/>
    </row>
    <row r="8" spans="1:22">
      <c r="A8" s="2824">
        <f>'数据-取费表'!AN8</f>
        <v>0</v>
      </c>
      <c r="B8" s="2822" t="e">
        <f ca="1">IF(F8="是",'数据-取费表'!AO8,0)</f>
        <v>#REF!</v>
      </c>
      <c r="C8" s="2055" t="s">
        <v>2337</v>
      </c>
      <c r="D8" s="2932"/>
      <c r="E8" s="2826">
        <f>IF(OR(A8=0,F8="否"),0,'数据-取费表'!K8+'数据-取费表'!S8)</f>
        <v>0</v>
      </c>
      <c r="F8" s="2059" t="s">
        <v>2343</v>
      </c>
      <c r="G8" s="1672"/>
      <c r="H8" s="1672"/>
      <c r="I8" s="1672"/>
      <c r="J8" s="1672"/>
      <c r="K8" s="1672"/>
      <c r="L8" s="1672"/>
      <c r="M8" s="1672"/>
      <c r="N8" s="1672"/>
      <c r="O8" s="1672"/>
      <c r="P8" s="1672"/>
      <c r="Q8" s="1672"/>
      <c r="R8" s="1672"/>
      <c r="S8" s="1672"/>
    </row>
    <row r="9" spans="1:22">
      <c r="A9" s="2824">
        <f>'数据-取费表'!AN9</f>
        <v>0</v>
      </c>
      <c r="B9" s="2822" t="e">
        <f ca="1">IF(F9="是",'数据-取费表'!AO9,0)</f>
        <v>#REF!</v>
      </c>
      <c r="C9" s="2055" t="s">
        <v>2337</v>
      </c>
      <c r="D9" s="2932"/>
      <c r="E9" s="2826">
        <f>IF(OR(A9=0,F9="否"),0,'数据-取费表'!K9+'数据-取费表'!S9)</f>
        <v>0</v>
      </c>
      <c r="F9" s="2059" t="s">
        <v>2343</v>
      </c>
      <c r="G9" s="1672"/>
      <c r="H9" s="1672"/>
      <c r="I9" s="1672"/>
      <c r="J9" s="1672"/>
      <c r="K9" s="1672"/>
      <c r="L9" s="1672"/>
      <c r="M9" s="1672"/>
      <c r="N9" s="1672"/>
      <c r="O9" s="1672"/>
      <c r="P9" s="1672"/>
      <c r="Q9" s="1672"/>
      <c r="R9" s="1672"/>
      <c r="S9" s="1672"/>
    </row>
    <row r="10" spans="1:22">
      <c r="A10" s="2824">
        <f>'数据-取费表'!AN10</f>
        <v>0</v>
      </c>
      <c r="B10" s="2822" t="e">
        <f ca="1">IF(F10="是",'数据-取费表'!AO10,0)</f>
        <v>#REF!</v>
      </c>
      <c r="C10" s="2055" t="s">
        <v>2337</v>
      </c>
      <c r="D10" s="2932"/>
      <c r="E10" s="2826">
        <f>IF(OR(A10=0,F10="否"),0,'数据-取费表'!K10+'数据-取费表'!S10)</f>
        <v>0</v>
      </c>
      <c r="F10" s="2059" t="s">
        <v>2343</v>
      </c>
      <c r="G10" s="1672"/>
      <c r="H10" s="1672"/>
      <c r="I10" s="1672"/>
      <c r="J10" s="1672"/>
      <c r="K10" s="1672"/>
      <c r="L10" s="1672"/>
      <c r="M10" s="1672"/>
      <c r="N10" s="1672"/>
      <c r="O10" s="1672"/>
      <c r="P10" s="1672"/>
      <c r="Q10" s="1672"/>
      <c r="R10" s="1672"/>
      <c r="S10" s="1672"/>
    </row>
    <row r="11" spans="1:22">
      <c r="A11" s="2824">
        <f>'数据-取费表'!AN11</f>
        <v>0</v>
      </c>
      <c r="B11" s="2822" t="e">
        <f ca="1">IF(F11="是",'数据-取费表'!AO11,0)</f>
        <v>#REF!</v>
      </c>
      <c r="C11" s="2055" t="s">
        <v>2337</v>
      </c>
      <c r="D11" s="2932"/>
      <c r="E11" s="2826">
        <f>IF(OR(A11=0,F11="否"),0,'数据-取费表'!K11+'数据-取费表'!S11)</f>
        <v>0</v>
      </c>
      <c r="F11" s="2059" t="s">
        <v>2343</v>
      </c>
      <c r="G11" s="1672"/>
      <c r="H11" s="1672"/>
      <c r="I11" s="1672"/>
      <c r="J11" s="1672"/>
      <c r="K11" s="1672"/>
      <c r="L11" s="1672"/>
      <c r="M11" s="1672"/>
      <c r="N11" s="1672"/>
      <c r="O11" s="1672"/>
      <c r="P11" s="1672"/>
      <c r="Q11" s="1672"/>
      <c r="R11" s="1672"/>
      <c r="S11" s="1672"/>
    </row>
    <row r="12" spans="1:22">
      <c r="A12" s="2824">
        <f>'数据-取费表'!AN12</f>
        <v>0</v>
      </c>
      <c r="B12" s="2822" t="e">
        <f ca="1">IF(F12="是",'数据-取费表'!AO12,0)</f>
        <v>#REF!</v>
      </c>
      <c r="C12" s="2055" t="s">
        <v>2337</v>
      </c>
      <c r="D12" s="2932"/>
      <c r="E12" s="2826">
        <f>IF(OR(A12=0,F12="否"),0,'数据-取费表'!K12+'数据-取费表'!S12)</f>
        <v>0</v>
      </c>
      <c r="F12" s="2059" t="s">
        <v>2343</v>
      </c>
      <c r="G12" s="1672"/>
      <c r="H12" s="1672"/>
      <c r="I12" s="1672"/>
      <c r="J12" s="1672"/>
      <c r="K12" s="1672"/>
      <c r="L12" s="1672"/>
      <c r="M12" s="1672"/>
      <c r="N12" s="1672"/>
      <c r="O12" s="1672"/>
      <c r="P12" s="1672"/>
      <c r="Q12" s="1672"/>
      <c r="R12" s="1672"/>
      <c r="S12" s="1672"/>
    </row>
    <row r="13" spans="1:22" ht="15" thickBot="1">
      <c r="A13" s="2825">
        <f>'数据-取费表'!AN13</f>
        <v>0</v>
      </c>
      <c r="B13" s="2822" t="e">
        <f ca="1">IF(F13="是",'数据-取费表'!AO13,0)</f>
        <v>#REF!</v>
      </c>
      <c r="C13" s="2060" t="s">
        <v>2337</v>
      </c>
      <c r="D13" s="2933"/>
      <c r="E13" s="2826">
        <f>IF(OR(A13=0,F13="否"),0,'数据-取费表'!K13+'数据-取费表'!S13)</f>
        <v>0</v>
      </c>
      <c r="F13" s="2059" t="s">
        <v>2343</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17" t="s">
        <v>1045</v>
      </c>
      <c r="B2" s="3318" t="s">
        <v>1046</v>
      </c>
      <c r="C2" s="3318"/>
      <c r="D2" s="1209" t="s">
        <v>1047</v>
      </c>
      <c r="E2" s="1209" t="s">
        <v>1048</v>
      </c>
      <c r="F2" s="1209" t="s">
        <v>1049</v>
      </c>
      <c r="G2" s="1209" t="s">
        <v>1050</v>
      </c>
      <c r="H2" s="1209" t="s">
        <v>1051</v>
      </c>
      <c r="I2" s="1210" t="s">
        <v>1052</v>
      </c>
    </row>
    <row r="3" spans="1:9">
      <c r="A3" s="3317"/>
      <c r="B3" s="3318" t="s">
        <v>1053</v>
      </c>
      <c r="C3" s="3318"/>
      <c r="D3" s="1211"/>
      <c r="E3" s="1209"/>
      <c r="F3" s="1212"/>
      <c r="G3" s="1212"/>
      <c r="H3" s="1213"/>
      <c r="I3" s="1214">
        <f>ROUND(D3*E3*F3*G3*H3/10000,0)</f>
        <v>0</v>
      </c>
    </row>
    <row r="4" spans="1:9">
      <c r="A4" s="3317"/>
      <c r="B4" s="3318" t="s">
        <v>1054</v>
      </c>
      <c r="C4" s="3318"/>
      <c r="D4" s="1211"/>
      <c r="E4" s="1209"/>
      <c r="F4" s="1212"/>
      <c r="G4" s="1212"/>
      <c r="H4" s="1213"/>
      <c r="I4" s="1214">
        <f t="shared" ref="I4:I9" si="0">ROUND(D4*E4*F4*G4*H4/10000,0)</f>
        <v>0</v>
      </c>
    </row>
    <row r="5" spans="1:9">
      <c r="A5" s="3317"/>
      <c r="B5" s="3318" t="s">
        <v>1055</v>
      </c>
      <c r="C5" s="3318"/>
      <c r="D5" s="1211"/>
      <c r="E5" s="1209"/>
      <c r="F5" s="1212"/>
      <c r="G5" s="1212"/>
      <c r="H5" s="1213"/>
      <c r="I5" s="1214">
        <f t="shared" si="0"/>
        <v>0</v>
      </c>
    </row>
    <row r="6" spans="1:9">
      <c r="A6" s="3317"/>
      <c r="B6" s="3318" t="s">
        <v>1056</v>
      </c>
      <c r="C6" s="3318"/>
      <c r="D6" s="1211"/>
      <c r="E6" s="1209"/>
      <c r="F6" s="1212"/>
      <c r="G6" s="1212"/>
      <c r="H6" s="1213"/>
      <c r="I6" s="1214">
        <f t="shared" si="0"/>
        <v>0</v>
      </c>
    </row>
    <row r="7" spans="1:9">
      <c r="A7" s="3317"/>
      <c r="B7" s="3318" t="s">
        <v>1057</v>
      </c>
      <c r="C7" s="3318"/>
      <c r="D7" s="1211"/>
      <c r="E7" s="1209"/>
      <c r="F7" s="1212"/>
      <c r="G7" s="1212"/>
      <c r="H7" s="1213"/>
      <c r="I7" s="1214">
        <f t="shared" si="0"/>
        <v>0</v>
      </c>
    </row>
    <row r="8" spans="1:9">
      <c r="A8" s="3317"/>
      <c r="B8" s="3318" t="s">
        <v>1058</v>
      </c>
      <c r="C8" s="3318"/>
      <c r="D8" s="1211"/>
      <c r="E8" s="1209"/>
      <c r="F8" s="1212"/>
      <c r="G8" s="1212"/>
      <c r="H8" s="1213"/>
      <c r="I8" s="1214">
        <f t="shared" si="0"/>
        <v>0</v>
      </c>
    </row>
    <row r="9" spans="1:9">
      <c r="A9" s="3317"/>
      <c r="B9" s="3318" t="s">
        <v>1059</v>
      </c>
      <c r="C9" s="3318"/>
      <c r="D9" s="1211"/>
      <c r="E9" s="1209"/>
      <c r="F9" s="1212"/>
      <c r="G9" s="1212"/>
      <c r="H9" s="1213"/>
      <c r="I9" s="1214">
        <f t="shared" si="0"/>
        <v>0</v>
      </c>
    </row>
    <row r="10" spans="1:9">
      <c r="A10" s="3317"/>
      <c r="B10" s="3319" t="s">
        <v>1060</v>
      </c>
      <c r="C10" s="3319"/>
      <c r="D10" s="1215"/>
      <c r="E10" s="1215" t="e">
        <f>ROUND(D1*10000/D10/H9,0)</f>
        <v>#DIV/0!</v>
      </c>
      <c r="F10" s="1216"/>
      <c r="G10" s="1216"/>
      <c r="H10" s="1217"/>
      <c r="I10" s="1218">
        <f>SUM(I3:I9)</f>
        <v>0</v>
      </c>
    </row>
    <row r="11" spans="1:9" ht="14.25">
      <c r="A11" s="3317" t="s">
        <v>1061</v>
      </c>
      <c r="B11" s="3318" t="s">
        <v>1062</v>
      </c>
      <c r="C11" s="3318"/>
      <c r="D11" s="1211" t="s">
        <v>1063</v>
      </c>
      <c r="E11" s="1211" t="s">
        <v>1064</v>
      </c>
      <c r="F11" s="1212" t="s">
        <v>1065</v>
      </c>
      <c r="G11" s="1212" t="s">
        <v>1051</v>
      </c>
      <c r="H11" s="1219" t="s">
        <v>1066</v>
      </c>
      <c r="I11" s="1210" t="s">
        <v>1052</v>
      </c>
    </row>
    <row r="12" spans="1:9">
      <c r="A12" s="3317"/>
      <c r="B12" s="3318" t="s">
        <v>1067</v>
      </c>
      <c r="C12" s="3318"/>
      <c r="D12" s="1211"/>
      <c r="E12" s="1211"/>
      <c r="F12" s="1212"/>
      <c r="G12" s="1213"/>
      <c r="H12" s="1220"/>
      <c r="I12" s="1210">
        <f>ROUND(D12*E12*F12*G12/10000,0)</f>
        <v>0</v>
      </c>
    </row>
    <row r="13" spans="1:9">
      <c r="A13" s="3317"/>
      <c r="B13" s="3318" t="s">
        <v>1068</v>
      </c>
      <c r="C13" s="3318"/>
      <c r="D13" s="1211"/>
      <c r="E13" s="1211"/>
      <c r="F13" s="1212"/>
      <c r="G13" s="1213"/>
      <c r="H13" s="1220"/>
      <c r="I13" s="1210">
        <f>ROUND(D13*E13*F13*G13/10000,0)</f>
        <v>0</v>
      </c>
    </row>
    <row r="14" spans="1:9">
      <c r="A14" s="3317"/>
      <c r="B14" s="3318" t="s">
        <v>1069</v>
      </c>
      <c r="C14" s="3318"/>
      <c r="D14" s="1211"/>
      <c r="E14" s="1211"/>
      <c r="F14" s="1212"/>
      <c r="G14" s="1213"/>
      <c r="H14" s="1220"/>
      <c r="I14" s="1210">
        <f>ROUND(D14*E14*F14*G14/10000,0)</f>
        <v>0</v>
      </c>
    </row>
    <row r="15" spans="1:9">
      <c r="A15" s="3317"/>
      <c r="B15" s="3319" t="s">
        <v>1060</v>
      </c>
      <c r="C15" s="3319"/>
      <c r="D15" s="1215"/>
      <c r="E15" s="1215">
        <f>SUM(E12:E14)</f>
        <v>0</v>
      </c>
      <c r="F15" s="1216"/>
      <c r="G15" s="1213"/>
      <c r="H15" s="1220"/>
      <c r="I15" s="1221">
        <f>SUM(I12:I14)</f>
        <v>0</v>
      </c>
    </row>
    <row r="16" spans="1:9" ht="24">
      <c r="A16" s="3317" t="s">
        <v>1070</v>
      </c>
      <c r="B16" s="3318" t="s">
        <v>1071</v>
      </c>
      <c r="C16" s="3318"/>
      <c r="D16" s="1211" t="s">
        <v>1047</v>
      </c>
      <c r="E16" s="1222" t="s">
        <v>1072</v>
      </c>
      <c r="F16" s="1212" t="s">
        <v>1073</v>
      </c>
      <c r="G16" s="1213" t="s">
        <v>1051</v>
      </c>
      <c r="H16" s="1219" t="s">
        <v>1066</v>
      </c>
      <c r="I16" s="1210" t="s">
        <v>1052</v>
      </c>
    </row>
    <row r="17" spans="1:9" ht="14.25">
      <c r="A17" s="3317"/>
      <c r="B17" s="3318" t="s">
        <v>1074</v>
      </c>
      <c r="C17" s="3318"/>
      <c r="D17" s="1211"/>
      <c r="E17" s="1211"/>
      <c r="F17" s="1212"/>
      <c r="G17" s="1213"/>
      <c r="H17" s="1223"/>
      <c r="I17" s="1224">
        <f>ROUND(D17*E17*F17*G17/10000,0)</f>
        <v>0</v>
      </c>
    </row>
    <row r="18" spans="1:9" ht="14.25">
      <c r="A18" s="3317"/>
      <c r="B18" s="3318" t="s">
        <v>1075</v>
      </c>
      <c r="C18" s="3318"/>
      <c r="D18" s="1211"/>
      <c r="E18" s="1211"/>
      <c r="F18" s="1212"/>
      <c r="G18" s="1213"/>
      <c r="H18" s="1223"/>
      <c r="I18" s="1224">
        <f>ROUND(D18*E18*F18*G18/10000,0)</f>
        <v>0</v>
      </c>
    </row>
    <row r="19" spans="1:9" ht="14.25">
      <c r="A19" s="3317"/>
      <c r="B19" s="3318" t="s">
        <v>1076</v>
      </c>
      <c r="C19" s="3318"/>
      <c r="D19" s="1211"/>
      <c r="E19" s="1211"/>
      <c r="F19" s="1212"/>
      <c r="G19" s="1213"/>
      <c r="H19" s="1223"/>
      <c r="I19" s="1224">
        <f>ROUND(D19*E19*F19*G19/10000,0)</f>
        <v>0</v>
      </c>
    </row>
    <row r="20" spans="1:9">
      <c r="A20" s="3317"/>
      <c r="B20" s="3319" t="s">
        <v>1060</v>
      </c>
      <c r="C20" s="3319"/>
      <c r="D20" s="1215">
        <f>SUM(D17:D19)</f>
        <v>0</v>
      </c>
      <c r="E20" s="1215"/>
      <c r="F20" s="1216"/>
      <c r="G20" s="1213"/>
      <c r="H20" s="1220"/>
      <c r="I20" s="1221">
        <f>SUM(I17:I19)</f>
        <v>0</v>
      </c>
    </row>
    <row r="21" spans="1:9">
      <c r="A21" s="3317" t="s">
        <v>1077</v>
      </c>
      <c r="B21" s="3321"/>
      <c r="C21" s="3321"/>
      <c r="D21" s="3321"/>
      <c r="E21" s="3321"/>
      <c r="F21" s="3321"/>
      <c r="G21" s="3321"/>
      <c r="H21" s="1500">
        <v>0.1</v>
      </c>
      <c r="I21" s="1218">
        <f>ROUND(I10*H21,0)</f>
        <v>0</v>
      </c>
    </row>
    <row r="22" spans="1:9" ht="14.25">
      <c r="A22" s="3322" t="s">
        <v>1078</v>
      </c>
      <c r="B22" s="3323"/>
      <c r="C22" s="3324"/>
      <c r="D22" s="1225" t="s">
        <v>1079</v>
      </c>
      <c r="E22" s="1225" t="s">
        <v>1080</v>
      </c>
      <c r="F22" s="1226" t="s">
        <v>1081</v>
      </c>
      <c r="G22" s="1226" t="s">
        <v>1082</v>
      </c>
      <c r="H22" s="1219" t="s">
        <v>1083</v>
      </c>
      <c r="I22" s="1210" t="s">
        <v>1084</v>
      </c>
    </row>
    <row r="23" spans="1:9" ht="14.25" thickBot="1">
      <c r="A23" s="3325"/>
      <c r="B23" s="3326"/>
      <c r="C23" s="3327"/>
      <c r="D23" s="1227"/>
      <c r="E23" s="1227"/>
      <c r="F23" s="1227"/>
      <c r="G23" s="1228"/>
      <c r="H23" s="1229"/>
      <c r="I23" s="1230">
        <f>ROUND(E23*D23*F23*(1-G23)/10000,0)</f>
        <v>0</v>
      </c>
    </row>
    <row r="26" spans="1:9">
      <c r="A26" s="1231" t="s">
        <v>1085</v>
      </c>
      <c r="B26" s="1231"/>
      <c r="C26" s="1231"/>
      <c r="D26" s="1231"/>
      <c r="E26" s="3328">
        <f>C27-C30-C31-C32</f>
        <v>0</v>
      </c>
      <c r="F26" s="3328"/>
      <c r="G26" s="3328"/>
      <c r="H26" s="1497" t="s">
        <v>1306</v>
      </c>
    </row>
    <row r="27" spans="1:9">
      <c r="A27" s="1232">
        <v>1</v>
      </c>
      <c r="B27" s="1233" t="s">
        <v>1086</v>
      </c>
      <c r="C27" s="1233">
        <f>C28+C29</f>
        <v>0</v>
      </c>
      <c r="D27" s="1233"/>
      <c r="E27" s="3329"/>
      <c r="F27" s="3329"/>
      <c r="G27" s="3329"/>
    </row>
    <row r="28" spans="1:9">
      <c r="A28" s="1234" t="s">
        <v>1087</v>
      </c>
      <c r="B28" s="1233" t="s">
        <v>1088</v>
      </c>
      <c r="C28" s="1233"/>
      <c r="D28" s="1233"/>
      <c r="E28" s="3329"/>
      <c r="F28" s="3329"/>
      <c r="G28" s="3329"/>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0"/>
      <c r="F32" s="3320"/>
      <c r="G32" s="3320"/>
    </row>
    <row r="33" spans="1:7" hidden="1">
      <c r="A33" s="3330" t="s">
        <v>1097</v>
      </c>
      <c r="B33" s="3331"/>
      <c r="C33" s="3331"/>
      <c r="D33" s="3332"/>
      <c r="E33" s="3328"/>
      <c r="F33" s="3328"/>
      <c r="G33" s="3328"/>
    </row>
    <row r="34" spans="1:7" hidden="1">
      <c r="A34" s="1236">
        <v>1</v>
      </c>
      <c r="B34" s="1233" t="s">
        <v>1098</v>
      </c>
      <c r="C34" s="1233"/>
      <c r="D34" s="1233"/>
      <c r="E34" s="3329"/>
      <c r="F34" s="3329"/>
      <c r="G34" s="3329"/>
    </row>
    <row r="35" spans="1:7" hidden="1">
      <c r="A35" s="1236">
        <v>2</v>
      </c>
      <c r="B35" s="1233" t="s">
        <v>1099</v>
      </c>
      <c r="C35" s="1233"/>
      <c r="D35" s="1233"/>
      <c r="E35" s="3329"/>
      <c r="F35" s="3329"/>
      <c r="G35" s="3329"/>
    </row>
    <row r="36" spans="1:7" hidden="1">
      <c r="A36" s="1236">
        <v>3</v>
      </c>
      <c r="B36" s="1233" t="s">
        <v>1100</v>
      </c>
      <c r="C36" s="1233"/>
      <c r="D36" s="1233"/>
      <c r="E36" s="3329"/>
      <c r="F36" s="3329"/>
      <c r="G36" s="3329"/>
    </row>
    <row r="37" spans="1:7" hidden="1">
      <c r="A37" s="1236">
        <v>4</v>
      </c>
      <c r="B37" s="1233" t="s">
        <v>1101</v>
      </c>
      <c r="C37" s="1233"/>
      <c r="D37" s="1233"/>
      <c r="E37" s="3329"/>
      <c r="F37" s="3329"/>
      <c r="G37" s="3329"/>
    </row>
    <row r="38" spans="1:7" hidden="1">
      <c r="A38" s="3330" t="s">
        <v>1102</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2346</v>
      </c>
      <c r="B1" s="2061" t="s">
        <v>2347</v>
      </c>
      <c r="C1" s="1403" t="s">
        <v>2348</v>
      </c>
      <c r="D1" s="1390"/>
      <c r="E1" s="2541"/>
      <c r="F1" s="2062" t="s">
        <v>2349</v>
      </c>
      <c r="G1" s="1400" t="s">
        <v>2350</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1" customFormat="1" ht="28.5" customHeight="1" thickTop="1">
      <c r="A2" s="1386" t="s">
        <v>1359</v>
      </c>
      <c r="B2" s="1324" t="e">
        <f ca="1">IF(C2="——",ROUND(C49*D3/10000,0),ROUND(C49*D3/10000,0)-D2)</f>
        <v>#DIV/0!</v>
      </c>
      <c r="C2" s="2064"/>
      <c r="D2" s="1273" t="e">
        <f ca="1">SUMIF(INDIRECT("'"&amp;F2&amp;"'"&amp;"!A:A"),"承租人权益价值",INDIRECT("'"&amp;F2&amp;"'"&amp;"!c:c"))</f>
        <v>#REF!</v>
      </c>
      <c r="E2" s="2065" t="s">
        <v>2351</v>
      </c>
      <c r="F2" s="2066"/>
      <c r="G2" s="1036"/>
      <c r="H2" s="1036"/>
      <c r="I2" s="1036"/>
      <c r="J2" s="1036"/>
      <c r="K2" s="2067"/>
      <c r="L2" s="2936"/>
      <c r="M2" s="2937"/>
      <c r="N2" s="2937"/>
      <c r="O2" s="2937"/>
      <c r="P2" s="2068"/>
      <c r="Q2" s="2069"/>
      <c r="R2" s="2069"/>
      <c r="S2" s="2069"/>
      <c r="T2" s="2069"/>
      <c r="U2" s="2069"/>
      <c r="V2" s="2069"/>
      <c r="W2" s="2069"/>
      <c r="X2" s="2069"/>
      <c r="Y2" s="2069"/>
      <c r="Z2" s="2069"/>
      <c r="AA2" s="2069"/>
      <c r="AB2" s="2069"/>
      <c r="AC2" s="2070"/>
    </row>
    <row r="3" spans="1:29" s="351" customFormat="1" ht="28.5" customHeight="1" thickBot="1">
      <c r="A3" s="207" t="s">
        <v>1360</v>
      </c>
      <c r="B3" s="357" t="e">
        <f ca="1">IF(C2="——",C49,ROUND(B2*10000/D3,0))</f>
        <v>#DIV/0!</v>
      </c>
      <c r="C3" s="358" t="s">
        <v>2352</v>
      </c>
      <c r="D3" s="357">
        <f>IF(D1="",'数据-汇总表'!E3,SUMIF('数据-汇总表'!$C19:$C33,D1,'数据-汇总表'!$E19:$E33))</f>
        <v>11601.220000000001</v>
      </c>
      <c r="E3" s="1036"/>
      <c r="F3" s="2071"/>
      <c r="G3" s="1036"/>
      <c r="H3" s="1036"/>
      <c r="I3" s="1036"/>
      <c r="J3" s="1036"/>
      <c r="K3" s="2067"/>
      <c r="L3" s="2936"/>
      <c r="M3" s="2937"/>
      <c r="N3" s="2937"/>
      <c r="O3" s="2937"/>
      <c r="P3" s="2068"/>
      <c r="Q3" s="2069"/>
      <c r="R3" s="2069"/>
      <c r="S3" s="2069"/>
      <c r="T3" s="2069"/>
      <c r="U3" s="2069"/>
      <c r="V3" s="2069"/>
      <c r="W3" s="2069"/>
      <c r="X3" s="2069"/>
      <c r="Y3" s="2069"/>
      <c r="Z3" s="2069"/>
      <c r="AA3" s="2069"/>
      <c r="AB3" s="2069"/>
      <c r="AC3" s="1190"/>
    </row>
    <row r="4" spans="1:29" ht="15">
      <c r="A4" s="359" t="s">
        <v>2353</v>
      </c>
      <c r="B4" s="360"/>
      <c r="C4" s="3280" t="s">
        <v>2354</v>
      </c>
      <c r="D4" s="3281"/>
      <c r="E4" s="3282" t="s">
        <v>2355</v>
      </c>
      <c r="F4" s="3283"/>
      <c r="G4" s="3280" t="s">
        <v>2356</v>
      </c>
      <c r="H4" s="3281"/>
      <c r="I4" s="3280" t="s">
        <v>2357</v>
      </c>
      <c r="J4" s="3281"/>
      <c r="K4" s="2072" t="s">
        <v>2358</v>
      </c>
      <c r="L4" s="2938"/>
      <c r="M4" s="2939"/>
      <c r="N4" s="2939"/>
      <c r="O4" s="2939"/>
      <c r="P4" s="3284" t="s">
        <v>2359</v>
      </c>
      <c r="Q4" s="3285"/>
      <c r="R4" s="3267" t="s">
        <v>2355</v>
      </c>
      <c r="S4" s="3268"/>
      <c r="T4" s="3267" t="s">
        <v>2356</v>
      </c>
      <c r="U4" s="3268"/>
      <c r="V4" s="3292" t="s">
        <v>2357</v>
      </c>
      <c r="W4" s="3292"/>
      <c r="X4" s="1537"/>
      <c r="Y4" s="3267" t="s">
        <v>2359</v>
      </c>
      <c r="Z4" s="3268"/>
      <c r="AA4" s="3262" t="s">
        <v>2355</v>
      </c>
      <c r="AB4" s="3262" t="s">
        <v>2356</v>
      </c>
      <c r="AC4" s="3262" t="s">
        <v>2357</v>
      </c>
    </row>
    <row r="5" spans="1:29" ht="15">
      <c r="A5" s="362"/>
      <c r="B5" s="363"/>
      <c r="C5" s="3273" t="s">
        <v>2360</v>
      </c>
      <c r="D5" s="3274"/>
      <c r="E5" s="3271" t="s">
        <v>2361</v>
      </c>
      <c r="F5" s="3272"/>
      <c r="G5" s="3273" t="s">
        <v>2362</v>
      </c>
      <c r="H5" s="3274"/>
      <c r="I5" s="3273" t="s">
        <v>2363</v>
      </c>
      <c r="J5" s="3274"/>
      <c r="K5" s="2073"/>
      <c r="L5" s="2938"/>
      <c r="M5" s="2939"/>
      <c r="N5" s="2939"/>
      <c r="O5" s="2939"/>
      <c r="P5" s="3286"/>
      <c r="Q5" s="3287"/>
      <c r="R5" s="3269"/>
      <c r="S5" s="3270"/>
      <c r="T5" s="3269"/>
      <c r="U5" s="3270"/>
      <c r="V5" s="3292"/>
      <c r="W5" s="3292"/>
      <c r="X5" s="1537"/>
      <c r="Y5" s="3269"/>
      <c r="Z5" s="3270"/>
      <c r="AA5" s="3263"/>
      <c r="AB5" s="3263"/>
      <c r="AC5" s="3263"/>
    </row>
    <row r="6" spans="1:29" ht="15.75" thickBot="1">
      <c r="A6" s="364"/>
      <c r="B6" s="365"/>
      <c r="C6" s="3275" t="s">
        <v>2364</v>
      </c>
      <c r="D6" s="3276"/>
      <c r="E6" s="3277" t="s">
        <v>2364</v>
      </c>
      <c r="F6" s="3278"/>
      <c r="G6" s="3275" t="s">
        <v>2364</v>
      </c>
      <c r="H6" s="3276"/>
      <c r="I6" s="3275" t="s">
        <v>2364</v>
      </c>
      <c r="J6" s="3276"/>
      <c r="K6" s="2073" t="s">
        <v>2365</v>
      </c>
      <c r="L6" s="2938"/>
      <c r="M6" s="2939"/>
      <c r="N6" s="2939"/>
      <c r="O6" s="2939"/>
      <c r="P6" s="3288"/>
      <c r="Q6" s="3289"/>
      <c r="R6" s="3269"/>
      <c r="S6" s="3270"/>
      <c r="T6" s="3290"/>
      <c r="U6" s="3291"/>
      <c r="V6" s="3292"/>
      <c r="W6" s="3292"/>
      <c r="X6" s="1537"/>
      <c r="Y6" s="3290"/>
      <c r="Z6" s="3291"/>
      <c r="AA6" s="3264"/>
      <c r="AB6" s="3264"/>
      <c r="AC6" s="3264"/>
    </row>
    <row r="7" spans="1:29" s="112" customFormat="1" ht="15.75" thickBot="1">
      <c r="A7" s="366" t="s">
        <v>2366</v>
      </c>
      <c r="B7" s="367"/>
      <c r="C7" s="368">
        <f>'数据-取费表'!B2</f>
        <v>44299</v>
      </c>
      <c r="D7" s="369">
        <v>100</v>
      </c>
      <c r="E7" s="370"/>
      <c r="F7" s="371">
        <f>SUMIF(58:58,YEAR(E7)&amp;"-"&amp;MONTH(E7),59:59)</f>
        <v>0</v>
      </c>
      <c r="G7" s="370"/>
      <c r="H7" s="369">
        <f>SUMIF(58:58,YEAR(G7)&amp;"-"&amp;MONTH(G7),59:59)</f>
        <v>0</v>
      </c>
      <c r="I7" s="370"/>
      <c r="J7" s="369">
        <f>SUMIF(58:58,YEAR(I7)&amp;"-"&amp;MONTH(I7),59:59)</f>
        <v>0</v>
      </c>
      <c r="K7" s="2074"/>
      <c r="L7" s="2940"/>
      <c r="M7" s="2941"/>
      <c r="N7" s="2941"/>
      <c r="O7" s="2941"/>
      <c r="P7" s="3265" t="s">
        <v>2367</v>
      </c>
      <c r="Q7" s="3293"/>
      <c r="R7" s="708" t="s">
        <v>23</v>
      </c>
      <c r="S7" s="709">
        <f t="shared" ref="S7:S15" si="0">F7</f>
        <v>0</v>
      </c>
      <c r="T7" s="708" t="s">
        <v>23</v>
      </c>
      <c r="U7" s="709">
        <f t="shared" ref="U7:U15" si="1">H7</f>
        <v>0</v>
      </c>
      <c r="V7" s="708" t="s">
        <v>23</v>
      </c>
      <c r="W7" s="709">
        <f t="shared" ref="W7:W15" si="2">J7</f>
        <v>0</v>
      </c>
      <c r="X7" s="710"/>
      <c r="Y7" s="3265" t="s">
        <v>2367</v>
      </c>
      <c r="Z7" s="3266"/>
      <c r="AA7" s="711" t="e">
        <f>D7/F7</f>
        <v>#DIV/0!</v>
      </c>
      <c r="AB7" s="711" t="e">
        <f>D7/H7</f>
        <v>#DIV/0!</v>
      </c>
      <c r="AC7" s="711" t="e">
        <f>D7/J7</f>
        <v>#DIV/0!</v>
      </c>
    </row>
    <row r="8" spans="1:29" s="112" customFormat="1" ht="15.75" thickBot="1">
      <c r="A8" s="366" t="s">
        <v>2368</v>
      </c>
      <c r="B8" s="367"/>
      <c r="C8" s="372" t="s">
        <v>2369</v>
      </c>
      <c r="D8" s="369">
        <v>100</v>
      </c>
      <c r="E8" s="2075"/>
      <c r="F8" s="371">
        <f>SUMIF(61:61,E8,62:62)-SUMIF(61:61,C8,62:62)+100</f>
        <v>0</v>
      </c>
      <c r="G8" s="372"/>
      <c r="H8" s="369">
        <f>SUMIF(61:61,G8,62:62)-SUMIF(61:61,C8,62:62)+100</f>
        <v>0</v>
      </c>
      <c r="I8" s="2075"/>
      <c r="J8" s="369">
        <f>SUMIF(61:61,I8,62:62)-SUMIF(61:61,C8,62:62)+100</f>
        <v>0</v>
      </c>
      <c r="K8" s="2074"/>
      <c r="L8" s="2940"/>
      <c r="M8" s="2941"/>
      <c r="N8" s="2941"/>
      <c r="O8" s="2941"/>
      <c r="P8" s="3265" t="s">
        <v>2370</v>
      </c>
      <c r="Q8" s="3266"/>
      <c r="R8" s="708" t="s">
        <v>23</v>
      </c>
      <c r="S8" s="709">
        <f t="shared" si="0"/>
        <v>0</v>
      </c>
      <c r="T8" s="708" t="s">
        <v>23</v>
      </c>
      <c r="U8" s="709">
        <f t="shared" si="1"/>
        <v>0</v>
      </c>
      <c r="V8" s="708" t="s">
        <v>23</v>
      </c>
      <c r="W8" s="709">
        <f t="shared" si="2"/>
        <v>0</v>
      </c>
      <c r="X8" s="710"/>
      <c r="Y8" s="3265" t="s">
        <v>2370</v>
      </c>
      <c r="Z8" s="3266"/>
      <c r="AA8" s="711" t="e">
        <f t="shared" ref="AA8:AA19" si="3">D8/F8</f>
        <v>#DIV/0!</v>
      </c>
      <c r="AB8" s="711" t="e">
        <f t="shared" ref="AB8:AB19" si="4">D8/H8</f>
        <v>#DIV/0!</v>
      </c>
      <c r="AC8" s="711" t="e">
        <f t="shared" ref="AC8:AC19" si="5">D8/J8</f>
        <v>#DIV/0!</v>
      </c>
    </row>
    <row r="9" spans="1:29" s="112" customFormat="1">
      <c r="A9" s="373" t="s">
        <v>2371</v>
      </c>
      <c r="B9" s="66" t="s">
        <v>2372</v>
      </c>
      <c r="C9" s="374"/>
      <c r="D9" s="129">
        <v>100</v>
      </c>
      <c r="E9" s="375"/>
      <c r="F9" s="376">
        <f>SUMIF(63:63,E9,64:64)-SUMIF(63:63,C9,64:64)+100</f>
        <v>100</v>
      </c>
      <c r="G9" s="377"/>
      <c r="H9" s="129">
        <f>SUMIF(63:63,G9,64:64)-SUMIF(63:63,C9,64:64)+100</f>
        <v>100</v>
      </c>
      <c r="I9" s="377"/>
      <c r="J9" s="129">
        <f>SUMIF(63:63,I9,64:64)-SUMIF(63:63,C9,64:64)+100</f>
        <v>100</v>
      </c>
      <c r="K9" s="2074"/>
      <c r="L9" s="2940"/>
      <c r="M9" s="2941"/>
      <c r="N9" s="2941"/>
      <c r="O9" s="2941"/>
      <c r="P9" s="3303"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711">
        <f t="shared" si="5"/>
        <v>1</v>
      </c>
    </row>
    <row r="10" spans="1:29" s="384" customFormat="1" ht="27">
      <c r="A10" s="378"/>
      <c r="B10" s="379" t="s">
        <v>2375</v>
      </c>
      <c r="C10" s="380"/>
      <c r="D10" s="130">
        <v>100</v>
      </c>
      <c r="E10" s="381"/>
      <c r="F10" s="382">
        <f>SUMIF(65:65,E10,66:66)-SUMIF(65:65,C10,66:66)+100</f>
        <v>100</v>
      </c>
      <c r="G10" s="380"/>
      <c r="H10" s="130">
        <f>SUMIF(65:65,G10,66:66)-SUMIF(65:65,C10,66:66)+100</f>
        <v>100</v>
      </c>
      <c r="I10" s="380"/>
      <c r="J10" s="130">
        <f>SUMIF(65:65,I10,66:66)-SUMIF(65:65,C10,66:66)+100</f>
        <v>100</v>
      </c>
      <c r="K10" s="383"/>
      <c r="L10" s="2942"/>
      <c r="M10" s="2943"/>
      <c r="N10" s="2943"/>
      <c r="O10" s="2943"/>
      <c r="P10" s="3303"/>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711">
        <f t="shared" si="5"/>
        <v>1</v>
      </c>
    </row>
    <row r="11" spans="1:29" ht="15">
      <c r="A11" s="385"/>
      <c r="B11" s="379" t="s">
        <v>2376</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4"/>
      <c r="M11" s="2939"/>
      <c r="N11" s="2939"/>
      <c r="O11" s="2939"/>
      <c r="P11" s="3303"/>
      <c r="Q11" s="1525" t="str">
        <f t="shared" si="6"/>
        <v>容积率</v>
      </c>
      <c r="R11" s="708" t="s">
        <v>21</v>
      </c>
      <c r="S11" s="709" t="e">
        <f t="shared" si="0"/>
        <v>#N/A</v>
      </c>
      <c r="T11" s="708" t="s">
        <v>21</v>
      </c>
      <c r="U11" s="709" t="e">
        <f t="shared" si="1"/>
        <v>#N/A</v>
      </c>
      <c r="V11" s="708" t="s">
        <v>21</v>
      </c>
      <c r="W11" s="709" t="e">
        <f t="shared" si="2"/>
        <v>#N/A</v>
      </c>
      <c r="X11" s="710"/>
      <c r="Y11" s="3231"/>
      <c r="Z11" s="54" t="str">
        <f t="shared" si="7"/>
        <v>容积率</v>
      </c>
      <c r="AA11" s="711" t="e">
        <f t="shared" si="3"/>
        <v>#N/A</v>
      </c>
      <c r="AB11" s="711" t="e">
        <f t="shared" si="4"/>
        <v>#N/A</v>
      </c>
      <c r="AC11" s="711" t="e">
        <f t="shared" si="5"/>
        <v>#N/A</v>
      </c>
    </row>
    <row r="12" spans="1:29" s="112" customFormat="1" ht="15">
      <c r="A12" s="388"/>
      <c r="B12" s="2076">
        <v>111</v>
      </c>
      <c r="C12" s="389"/>
      <c r="D12" s="390">
        <v>100</v>
      </c>
      <c r="E12" s="389"/>
      <c r="F12" s="382">
        <f>SUMIF(70:70,E12,71:71)-SUMIF(70:70,C12,71:71)+100</f>
        <v>100</v>
      </c>
      <c r="G12" s="389"/>
      <c r="H12" s="130">
        <f>SUMIF(70:70,G12,71:71)-SUMIF(70:70,C12,71:71)+100</f>
        <v>100</v>
      </c>
      <c r="I12" s="389"/>
      <c r="J12" s="130">
        <f>SUMIF(70:70,I12,71:71)-SUMIF(70:70,C12,71:71)+100</f>
        <v>100</v>
      </c>
      <c r="K12" s="2077"/>
      <c r="L12" s="2940"/>
      <c r="M12" s="2941"/>
      <c r="N12" s="2941"/>
      <c r="O12" s="2941"/>
      <c r="P12" s="3303"/>
      <c r="Q12" s="1525">
        <f t="shared" si="6"/>
        <v>111</v>
      </c>
      <c r="R12" s="708" t="s">
        <v>21</v>
      </c>
      <c r="S12" s="709">
        <f t="shared" si="0"/>
        <v>100</v>
      </c>
      <c r="T12" s="708" t="s">
        <v>21</v>
      </c>
      <c r="U12" s="709">
        <f t="shared" si="1"/>
        <v>100</v>
      </c>
      <c r="V12" s="708" t="s">
        <v>21</v>
      </c>
      <c r="W12" s="709">
        <f t="shared" si="2"/>
        <v>100</v>
      </c>
      <c r="X12" s="710"/>
      <c r="Y12" s="3231"/>
      <c r="Z12" s="54">
        <f t="shared" si="7"/>
        <v>111</v>
      </c>
      <c r="AA12" s="711">
        <f>D12/F12</f>
        <v>1</v>
      </c>
      <c r="AB12" s="711">
        <f>D12/H12</f>
        <v>1</v>
      </c>
      <c r="AC12" s="711">
        <f>D12/J12</f>
        <v>1</v>
      </c>
    </row>
    <row r="13" spans="1:29" ht="15">
      <c r="A13" s="385"/>
      <c r="B13" s="2076">
        <v>111</v>
      </c>
      <c r="C13" s="391"/>
      <c r="D13" s="392">
        <v>100</v>
      </c>
      <c r="E13" s="391"/>
      <c r="F13" s="382">
        <f>SUMIF(72:72,E13,73:73)-SUMIF(72:72,C13,73:73)+100</f>
        <v>100</v>
      </c>
      <c r="G13" s="391"/>
      <c r="H13" s="392">
        <f>SUMIF(72:72,G13,73:73)-SUMIF(72:72,C13,73:73)+100</f>
        <v>100</v>
      </c>
      <c r="I13" s="391"/>
      <c r="J13" s="392">
        <f>SUMIF(72:72,I13,73:73)-SUMIF(72:72,C13,73:73)+100</f>
        <v>100</v>
      </c>
      <c r="K13" s="2077"/>
      <c r="L13" s="2945"/>
      <c r="M13" s="2939"/>
      <c r="N13" s="2939"/>
      <c r="O13" s="2939"/>
      <c r="P13" s="3303"/>
      <c r="Q13" s="1525">
        <f t="shared" si="6"/>
        <v>111</v>
      </c>
      <c r="R13" s="708" t="s">
        <v>21</v>
      </c>
      <c r="S13" s="709">
        <f t="shared" si="0"/>
        <v>100</v>
      </c>
      <c r="T13" s="708" t="s">
        <v>21</v>
      </c>
      <c r="U13" s="709">
        <f t="shared" si="1"/>
        <v>100</v>
      </c>
      <c r="V13" s="708" t="s">
        <v>21</v>
      </c>
      <c r="W13" s="709">
        <f t="shared" si="2"/>
        <v>100</v>
      </c>
      <c r="X13" s="710"/>
      <c r="Y13" s="3231"/>
      <c r="Z13" s="54">
        <f t="shared" si="7"/>
        <v>111</v>
      </c>
      <c r="AA13" s="711">
        <f t="shared" si="3"/>
        <v>1</v>
      </c>
      <c r="AB13" s="711">
        <f t="shared" si="4"/>
        <v>1</v>
      </c>
      <c r="AC13" s="711">
        <f t="shared" si="5"/>
        <v>1</v>
      </c>
    </row>
    <row r="14" spans="1:29" ht="15.75" thickBot="1">
      <c r="A14" s="393"/>
      <c r="B14" s="2078">
        <v>111</v>
      </c>
      <c r="C14" s="394"/>
      <c r="D14" s="395">
        <v>100</v>
      </c>
      <c r="E14" s="394"/>
      <c r="F14" s="396">
        <f>SUMIF(74:74,E14,75:75)-SUMIF(74:74,C14,75:75)+100</f>
        <v>100</v>
      </c>
      <c r="G14" s="394"/>
      <c r="H14" s="395">
        <f>SUMIF(74:74,G14,75:75)-SUMIF(74:74,C14,75:75)+100</f>
        <v>100</v>
      </c>
      <c r="I14" s="394"/>
      <c r="J14" s="395">
        <f>SUMIF(74:74,I14,75:75)-SUMIF(74:74,C14,75:75)+100</f>
        <v>100</v>
      </c>
      <c r="K14" s="2077"/>
      <c r="L14" s="2945"/>
      <c r="M14" s="2939"/>
      <c r="N14" s="2939"/>
      <c r="O14" s="2939"/>
      <c r="P14" s="3303"/>
      <c r="Q14" s="1525">
        <f t="shared" si="6"/>
        <v>111</v>
      </c>
      <c r="R14" s="708" t="s">
        <v>21</v>
      </c>
      <c r="S14" s="709">
        <f t="shared" si="0"/>
        <v>100</v>
      </c>
      <c r="T14" s="708" t="s">
        <v>21</v>
      </c>
      <c r="U14" s="709">
        <f t="shared" si="1"/>
        <v>100</v>
      </c>
      <c r="V14" s="708" t="s">
        <v>21</v>
      </c>
      <c r="W14" s="709">
        <f t="shared" si="2"/>
        <v>100</v>
      </c>
      <c r="X14" s="710"/>
      <c r="Y14" s="3231"/>
      <c r="Z14" s="54">
        <f t="shared" si="7"/>
        <v>111</v>
      </c>
      <c r="AA14" s="711">
        <f t="shared" si="3"/>
        <v>1</v>
      </c>
      <c r="AB14" s="711">
        <f t="shared" si="4"/>
        <v>1</v>
      </c>
      <c r="AC14" s="711">
        <f t="shared" si="5"/>
        <v>1</v>
      </c>
    </row>
    <row r="15" spans="1:29" ht="99.75">
      <c r="A15" s="397" t="s">
        <v>2377</v>
      </c>
      <c r="B15" s="64" t="s">
        <v>1943</v>
      </c>
      <c r="C15" s="2079"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5"/>
      <c r="M15" s="2939"/>
      <c r="N15" s="2939"/>
      <c r="O15" s="2939"/>
      <c r="P15" s="3339" t="s">
        <v>2378</v>
      </c>
      <c r="Q15" s="1534" t="str">
        <f t="shared" si="6"/>
        <v>居住社区成熟度</v>
      </c>
      <c r="R15" s="712" t="s">
        <v>21</v>
      </c>
      <c r="S15" s="713">
        <f t="shared" si="0"/>
        <v>100</v>
      </c>
      <c r="T15" s="712" t="s">
        <v>21</v>
      </c>
      <c r="U15" s="713">
        <f t="shared" si="1"/>
        <v>100</v>
      </c>
      <c r="V15" s="712" t="s">
        <v>21</v>
      </c>
      <c r="W15" s="713">
        <f t="shared" si="2"/>
        <v>100</v>
      </c>
      <c r="X15" s="1537"/>
      <c r="Y15" s="3294" t="s">
        <v>2378</v>
      </c>
      <c r="Z15" s="1538" t="str">
        <f t="shared" si="7"/>
        <v>居住社区成熟度</v>
      </c>
      <c r="AA15" s="1535">
        <f t="shared" si="3"/>
        <v>1</v>
      </c>
      <c r="AB15" s="1535">
        <f t="shared" si="4"/>
        <v>1</v>
      </c>
      <c r="AC15" s="1535">
        <f t="shared" si="5"/>
        <v>1</v>
      </c>
    </row>
    <row r="16" spans="1:29" ht="15">
      <c r="A16" s="385"/>
      <c r="B16" s="403"/>
      <c r="C16" s="404"/>
      <c r="D16" s="405"/>
      <c r="E16" s="2080"/>
      <c r="F16" s="405"/>
      <c r="G16" s="2081"/>
      <c r="H16" s="407"/>
      <c r="I16" s="2081"/>
      <c r="J16" s="405"/>
      <c r="K16" s="2082"/>
      <c r="L16" s="2945"/>
      <c r="M16" s="2939"/>
      <c r="N16" s="2939"/>
      <c r="O16" s="2939"/>
      <c r="P16" s="3340"/>
      <c r="Q16" s="1534"/>
      <c r="R16" s="712"/>
      <c r="S16" s="713"/>
      <c r="T16" s="712"/>
      <c r="U16" s="713"/>
      <c r="V16" s="712"/>
      <c r="W16" s="713"/>
      <c r="X16" s="1537"/>
      <c r="Y16" s="3295"/>
      <c r="Z16" s="1538"/>
      <c r="AA16" s="1535">
        <v>1</v>
      </c>
      <c r="AB16" s="1535">
        <v>1</v>
      </c>
      <c r="AC16" s="1535">
        <v>1</v>
      </c>
    </row>
    <row r="17" spans="1:29" ht="85.5">
      <c r="A17" s="385"/>
      <c r="B17" s="408" t="s">
        <v>1945</v>
      </c>
      <c r="C17" s="2083"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5"/>
      <c r="M17" s="2939"/>
      <c r="N17" s="2939"/>
      <c r="O17" s="2939"/>
      <c r="P17" s="3340"/>
      <c r="Q17" s="1534" t="str">
        <f>B17</f>
        <v>交通便捷度</v>
      </c>
      <c r="R17" s="712" t="s">
        <v>21</v>
      </c>
      <c r="S17" s="713">
        <f>F17</f>
        <v>100</v>
      </c>
      <c r="T17" s="712" t="s">
        <v>21</v>
      </c>
      <c r="U17" s="713">
        <f>H17</f>
        <v>100</v>
      </c>
      <c r="V17" s="712" t="s">
        <v>21</v>
      </c>
      <c r="W17" s="713">
        <f>J17</f>
        <v>100</v>
      </c>
      <c r="X17" s="1537"/>
      <c r="Y17" s="3295"/>
      <c r="Z17" s="1538" t="str">
        <f>Q17</f>
        <v>交通便捷度</v>
      </c>
      <c r="AA17" s="1535">
        <f t="shared" si="3"/>
        <v>1</v>
      </c>
      <c r="AB17" s="1535">
        <f t="shared" si="4"/>
        <v>1</v>
      </c>
      <c r="AC17" s="1535">
        <f t="shared" si="5"/>
        <v>1</v>
      </c>
    </row>
    <row r="18" spans="1:29" ht="15">
      <c r="A18" s="385"/>
      <c r="B18" s="413"/>
      <c r="C18" s="2084"/>
      <c r="D18" s="407"/>
      <c r="E18" s="2085"/>
      <c r="F18" s="407"/>
      <c r="G18" s="2086"/>
      <c r="H18" s="405"/>
      <c r="I18" s="2086"/>
      <c r="J18" s="405"/>
      <c r="K18" s="2082"/>
      <c r="L18" s="2945"/>
      <c r="M18" s="2939"/>
      <c r="N18" s="2939"/>
      <c r="O18" s="2939"/>
      <c r="P18" s="3340"/>
      <c r="Q18" s="1534"/>
      <c r="R18" s="712"/>
      <c r="S18" s="713"/>
      <c r="T18" s="712"/>
      <c r="U18" s="713"/>
      <c r="V18" s="712"/>
      <c r="W18" s="713"/>
      <c r="X18" s="1537"/>
      <c r="Y18" s="3295"/>
      <c r="Z18" s="1538"/>
      <c r="AA18" s="1535">
        <v>1</v>
      </c>
      <c r="AB18" s="1535">
        <v>1</v>
      </c>
      <c r="AC18" s="1535">
        <v>1</v>
      </c>
    </row>
    <row r="19" spans="1:29" ht="42.75">
      <c r="A19" s="385"/>
      <c r="B19" s="408" t="s">
        <v>1944</v>
      </c>
      <c r="C19" s="2083"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5"/>
      <c r="M19" s="2939"/>
      <c r="N19" s="2939"/>
      <c r="O19" s="2939"/>
      <c r="P19" s="3340"/>
      <c r="Q19" s="1534" t="str">
        <f>B19</f>
        <v>公共配套设施</v>
      </c>
      <c r="R19" s="712" t="s">
        <v>21</v>
      </c>
      <c r="S19" s="713">
        <f>F19</f>
        <v>100</v>
      </c>
      <c r="T19" s="712" t="s">
        <v>21</v>
      </c>
      <c r="U19" s="713">
        <f>H19</f>
        <v>100</v>
      </c>
      <c r="V19" s="712" t="s">
        <v>21</v>
      </c>
      <c r="W19" s="713">
        <f>J19</f>
        <v>100</v>
      </c>
      <c r="X19" s="1537"/>
      <c r="Y19" s="3295"/>
      <c r="Z19" s="1538" t="str">
        <f>Q19</f>
        <v>公共配套设施</v>
      </c>
      <c r="AA19" s="1535">
        <f t="shared" si="3"/>
        <v>1</v>
      </c>
      <c r="AB19" s="1535">
        <f t="shared" si="4"/>
        <v>1</v>
      </c>
      <c r="AC19" s="1535">
        <f t="shared" si="5"/>
        <v>1</v>
      </c>
    </row>
    <row r="20" spans="1:29" ht="15">
      <c r="A20" s="385"/>
      <c r="B20" s="413"/>
      <c r="C20" s="404"/>
      <c r="D20" s="405"/>
      <c r="E20" s="2080"/>
      <c r="F20" s="405"/>
      <c r="G20" s="2081"/>
      <c r="H20" s="405"/>
      <c r="I20" s="2081"/>
      <c r="J20" s="405"/>
      <c r="K20" s="2082"/>
      <c r="L20" s="2945"/>
      <c r="M20" s="2939"/>
      <c r="N20" s="2939"/>
      <c r="O20" s="2939"/>
      <c r="P20" s="3340"/>
      <c r="Q20" s="1534"/>
      <c r="R20" s="712"/>
      <c r="S20" s="713"/>
      <c r="T20" s="712"/>
      <c r="U20" s="713"/>
      <c r="V20" s="712"/>
      <c r="W20" s="713"/>
      <c r="X20" s="1537"/>
      <c r="Y20" s="3295"/>
      <c r="Z20" s="1538"/>
      <c r="AA20" s="1535">
        <v>1</v>
      </c>
      <c r="AB20" s="1535">
        <v>1</v>
      </c>
      <c r="AC20" s="1535">
        <v>1</v>
      </c>
    </row>
    <row r="21" spans="1:29" ht="28.5">
      <c r="A21" s="385"/>
      <c r="B21" s="1291" t="s">
        <v>1946</v>
      </c>
      <c r="C21" s="2083"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5"/>
      <c r="M21" s="2939"/>
      <c r="N21" s="2939"/>
      <c r="O21" s="2939"/>
      <c r="P21" s="3340"/>
      <c r="Q21" s="1534" t="str">
        <f>B21</f>
        <v>基础设施水平</v>
      </c>
      <c r="R21" s="712" t="s">
        <v>17</v>
      </c>
      <c r="S21" s="713">
        <f>F21</f>
        <v>100</v>
      </c>
      <c r="T21" s="712" t="s">
        <v>17</v>
      </c>
      <c r="U21" s="713">
        <f>H21</f>
        <v>100</v>
      </c>
      <c r="V21" s="712" t="s">
        <v>17</v>
      </c>
      <c r="W21" s="713">
        <f>J21</f>
        <v>100</v>
      </c>
      <c r="X21" s="1537"/>
      <c r="Y21" s="3295"/>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5"/>
      <c r="G22" s="2087"/>
      <c r="H22" s="405"/>
      <c r="I22" s="404"/>
      <c r="J22" s="405"/>
      <c r="K22" s="2088"/>
      <c r="L22" s="2945"/>
      <c r="M22" s="2939"/>
      <c r="N22" s="2939"/>
      <c r="O22" s="2939"/>
      <c r="P22" s="3340"/>
      <c r="Q22" s="1534"/>
      <c r="R22" s="712"/>
      <c r="S22" s="713"/>
      <c r="T22" s="712"/>
      <c r="U22" s="713"/>
      <c r="V22" s="712"/>
      <c r="W22" s="713"/>
      <c r="X22" s="1537"/>
      <c r="Y22" s="3295"/>
      <c r="Z22" s="1538"/>
      <c r="AA22" s="1535">
        <v>1</v>
      </c>
      <c r="AB22" s="1535">
        <v>1</v>
      </c>
      <c r="AC22" s="1535">
        <v>1</v>
      </c>
    </row>
    <row r="23" spans="1:29" ht="57">
      <c r="A23" s="385"/>
      <c r="B23" s="408" t="s">
        <v>1947</v>
      </c>
      <c r="C23" s="2083"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5"/>
      <c r="M23" s="2939"/>
      <c r="N23" s="2939"/>
      <c r="O23" s="2939"/>
      <c r="P23" s="3340"/>
      <c r="Q23" s="1534" t="str">
        <f>B23</f>
        <v>自然及人文环境</v>
      </c>
      <c r="R23" s="712" t="s">
        <v>21</v>
      </c>
      <c r="S23" s="713">
        <f>F23</f>
        <v>100</v>
      </c>
      <c r="T23" s="712" t="s">
        <v>21</v>
      </c>
      <c r="U23" s="713">
        <f>H23</f>
        <v>100</v>
      </c>
      <c r="V23" s="712" t="s">
        <v>21</v>
      </c>
      <c r="W23" s="713">
        <f>J23</f>
        <v>100</v>
      </c>
      <c r="X23" s="1537"/>
      <c r="Y23" s="3295"/>
      <c r="Z23" s="1538" t="str">
        <f>Q23</f>
        <v>自然及人文环境</v>
      </c>
      <c r="AA23" s="1535">
        <f>D23/F23</f>
        <v>1</v>
      </c>
      <c r="AB23" s="1535">
        <f>D23/H23</f>
        <v>1</v>
      </c>
      <c r="AC23" s="1535">
        <f>D23/J23</f>
        <v>1</v>
      </c>
    </row>
    <row r="24" spans="1:29" ht="15">
      <c r="A24" s="385"/>
      <c r="B24" s="413"/>
      <c r="C24" s="404"/>
      <c r="D24" s="405"/>
      <c r="E24" s="2080"/>
      <c r="F24" s="405"/>
      <c r="G24" s="2081"/>
      <c r="H24" s="405"/>
      <c r="I24" s="2081"/>
      <c r="J24" s="405"/>
      <c r="K24" s="2082"/>
      <c r="L24" s="2945"/>
      <c r="M24" s="2939"/>
      <c r="N24" s="2939"/>
      <c r="O24" s="2939"/>
      <c r="P24" s="3340"/>
      <c r="Q24" s="1534"/>
      <c r="R24" s="712"/>
      <c r="S24" s="713"/>
      <c r="T24" s="712"/>
      <c r="U24" s="713"/>
      <c r="V24" s="712"/>
      <c r="W24" s="713"/>
      <c r="X24" s="1537"/>
      <c r="Y24" s="3295"/>
      <c r="Z24" s="1538"/>
      <c r="AA24" s="1535">
        <v>1</v>
      </c>
      <c r="AB24" s="1535">
        <v>1</v>
      </c>
      <c r="AC24" s="1535">
        <v>1</v>
      </c>
    </row>
    <row r="25" spans="1:29" ht="15">
      <c r="A25" s="385"/>
      <c r="B25" s="379" t="s">
        <v>2379</v>
      </c>
      <c r="C25" s="417"/>
      <c r="D25" s="392">
        <v>100</v>
      </c>
      <c r="E25" s="2089"/>
      <c r="F25" s="392">
        <f>SUMIF(86:86,E25,87:87)-SUMIF(86:86,C25,87:87)+100</f>
        <v>100</v>
      </c>
      <c r="G25" s="2090"/>
      <c r="H25" s="392">
        <f>SUMIF(86:86,G25,87:87)-SUMIF(86:86,C25,87:87)+100</f>
        <v>100</v>
      </c>
      <c r="I25" s="2090"/>
      <c r="J25" s="392">
        <f>SUMIF(86:86,I25,87:87)-SUMIF(86:86,C25,87:87)+100</f>
        <v>100</v>
      </c>
      <c r="K25" s="383"/>
      <c r="L25" s="2945"/>
      <c r="M25" s="2939"/>
      <c r="N25" s="2939"/>
      <c r="O25" s="2939"/>
      <c r="P25" s="3340"/>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295"/>
      <c r="Z25" s="1538" t="str">
        <f>Q25</f>
        <v>楼层-1</v>
      </c>
      <c r="AA25" s="1535">
        <f t="shared" ref="AA25:AA46" si="15">D25/F25</f>
        <v>1</v>
      </c>
      <c r="AB25" s="1535">
        <f t="shared" ref="AB25:AB46" si="16">D25/H25</f>
        <v>1</v>
      </c>
      <c r="AC25" s="1535">
        <f t="shared" ref="AC25:AC46" si="17">D25/J25</f>
        <v>1</v>
      </c>
    </row>
    <row r="26" spans="1:29" ht="15">
      <c r="A26" s="385"/>
      <c r="B26" s="379" t="s">
        <v>2380</v>
      </c>
      <c r="C26" s="417"/>
      <c r="D26" s="392">
        <v>100</v>
      </c>
      <c r="E26" s="2089"/>
      <c r="F26" s="392">
        <f>SUMIF(88:88,E26,89:89)-SUMIF(88:88,C26,89:89)+100</f>
        <v>100</v>
      </c>
      <c r="G26" s="2090"/>
      <c r="H26" s="392">
        <f>SUMIF(88:88,G26,89:89)-SUMIF(88:88,C26,89:89)+100</f>
        <v>100</v>
      </c>
      <c r="I26" s="2090"/>
      <c r="J26" s="392">
        <f>SUMIF(88:88,I26,89:89)-SUMIF(88:88,C26,89:89)+100</f>
        <v>100</v>
      </c>
      <c r="K26" s="383"/>
      <c r="L26" s="2945"/>
      <c r="M26" s="2939"/>
      <c r="N26" s="2939"/>
      <c r="O26" s="2939"/>
      <c r="P26" s="3340"/>
      <c r="Q26" s="1534" t="str">
        <f t="shared" si="11"/>
        <v>朝向</v>
      </c>
      <c r="R26" s="712" t="s">
        <v>21</v>
      </c>
      <c r="S26" s="713">
        <f t="shared" si="12"/>
        <v>100</v>
      </c>
      <c r="T26" s="712" t="s">
        <v>21</v>
      </c>
      <c r="U26" s="713">
        <f t="shared" si="13"/>
        <v>100</v>
      </c>
      <c r="V26" s="712" t="s">
        <v>21</v>
      </c>
      <c r="W26" s="713">
        <f t="shared" si="14"/>
        <v>100</v>
      </c>
      <c r="X26" s="1537"/>
      <c r="Y26" s="3295"/>
      <c r="Z26" s="1538" t="str">
        <f>Q26</f>
        <v>朝向</v>
      </c>
      <c r="AA26" s="1535">
        <f t="shared" si="15"/>
        <v>1</v>
      </c>
      <c r="AB26" s="1535">
        <f t="shared" si="16"/>
        <v>1</v>
      </c>
      <c r="AC26" s="1535">
        <f t="shared" si="17"/>
        <v>1</v>
      </c>
    </row>
    <row r="27" spans="1:29" s="112"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7"/>
      <c r="L27" s="2940"/>
      <c r="M27" s="2941"/>
      <c r="N27" s="2941"/>
      <c r="O27" s="2941"/>
      <c r="P27" s="3340"/>
      <c r="Q27" s="1525">
        <f t="shared" si="11"/>
        <v>111</v>
      </c>
      <c r="R27" s="708" t="s">
        <v>21</v>
      </c>
      <c r="S27" s="709">
        <f t="shared" si="12"/>
        <v>100</v>
      </c>
      <c r="T27" s="708" t="s">
        <v>21</v>
      </c>
      <c r="U27" s="709">
        <f t="shared" si="13"/>
        <v>100</v>
      </c>
      <c r="V27" s="708" t="s">
        <v>21</v>
      </c>
      <c r="W27" s="709">
        <f t="shared" si="14"/>
        <v>100</v>
      </c>
      <c r="X27" s="710"/>
      <c r="Y27" s="3295"/>
      <c r="Z27" s="54">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1"/>
      <c r="H28" s="392">
        <f>SUMIF(92:92,G28,93:93)-SUMIF(92:92,C28,93:93)+100</f>
        <v>100</v>
      </c>
      <c r="I28" s="391"/>
      <c r="J28" s="392">
        <f>SUMIF(92:92,I28,93:93)-SUMIF(92:92,C28,93:93)+100</f>
        <v>100</v>
      </c>
      <c r="K28" s="2077"/>
      <c r="L28" s="2945"/>
      <c r="M28" s="2939"/>
      <c r="N28" s="2939"/>
      <c r="O28" s="2939"/>
      <c r="P28" s="3340"/>
      <c r="Q28" s="1534">
        <f t="shared" si="11"/>
        <v>111</v>
      </c>
      <c r="R28" s="712" t="s">
        <v>21</v>
      </c>
      <c r="S28" s="713">
        <f t="shared" si="12"/>
        <v>100</v>
      </c>
      <c r="T28" s="712" t="s">
        <v>21</v>
      </c>
      <c r="U28" s="713">
        <f t="shared" si="13"/>
        <v>100</v>
      </c>
      <c r="V28" s="712" t="s">
        <v>21</v>
      </c>
      <c r="W28" s="713">
        <f t="shared" si="14"/>
        <v>100</v>
      </c>
      <c r="X28" s="1537"/>
      <c r="Y28" s="3295"/>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1"/>
      <c r="H29" s="392">
        <f>SUMIF(94:94,G29,95:95)-SUMIF(94:94,C29,95:95)+100</f>
        <v>100</v>
      </c>
      <c r="I29" s="391"/>
      <c r="J29" s="392">
        <f>SUMIF(94:94,I29,95:95)-SUMIF(94:94,C29,95:95)+100</f>
        <v>100</v>
      </c>
      <c r="K29" s="2077"/>
      <c r="L29" s="2945"/>
      <c r="M29" s="2939"/>
      <c r="N29" s="2939"/>
      <c r="O29" s="2939"/>
      <c r="P29" s="3340"/>
      <c r="Q29" s="1534">
        <f t="shared" si="11"/>
        <v>111</v>
      </c>
      <c r="R29" s="712" t="s">
        <v>21</v>
      </c>
      <c r="S29" s="713">
        <f t="shared" si="12"/>
        <v>100</v>
      </c>
      <c r="T29" s="712" t="s">
        <v>21</v>
      </c>
      <c r="U29" s="713">
        <f t="shared" si="13"/>
        <v>100</v>
      </c>
      <c r="V29" s="712" t="s">
        <v>21</v>
      </c>
      <c r="W29" s="713">
        <f t="shared" si="14"/>
        <v>100</v>
      </c>
      <c r="X29" s="1537"/>
      <c r="Y29" s="3295"/>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1"/>
      <c r="H30" s="392">
        <f>SUMIF(96:96,G30,97:97)-SUMIF(96:96,C30,97:97)+100</f>
        <v>100</v>
      </c>
      <c r="I30" s="391"/>
      <c r="J30" s="392">
        <f>SUMIF(96:96,I30,97:97)-SUMIF(96:96,C30,97:97)+100</f>
        <v>100</v>
      </c>
      <c r="K30" s="2077"/>
      <c r="L30" s="2945"/>
      <c r="M30" s="2939"/>
      <c r="N30" s="2939"/>
      <c r="O30" s="2939"/>
      <c r="P30" s="3340"/>
      <c r="Q30" s="1534">
        <f t="shared" si="11"/>
        <v>111</v>
      </c>
      <c r="R30" s="712" t="s">
        <v>21</v>
      </c>
      <c r="S30" s="713">
        <f t="shared" si="12"/>
        <v>100</v>
      </c>
      <c r="T30" s="712" t="s">
        <v>21</v>
      </c>
      <c r="U30" s="713">
        <f t="shared" si="13"/>
        <v>100</v>
      </c>
      <c r="V30" s="712" t="s">
        <v>21</v>
      </c>
      <c r="W30" s="713">
        <f t="shared" si="14"/>
        <v>100</v>
      </c>
      <c r="X30" s="1537"/>
      <c r="Y30" s="3295"/>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2"/>
      <c r="H31" s="395">
        <f>SUMIF(98:98,G31,99:99)-SUMIF(98:98,C31,99:99)+100</f>
        <v>100</v>
      </c>
      <c r="I31" s="394"/>
      <c r="J31" s="395">
        <f>SUMIF(98:98,I31,99:99)-SUMIF(98:98,C31,99:99)+100</f>
        <v>100</v>
      </c>
      <c r="K31" s="2077"/>
      <c r="L31" s="2945"/>
      <c r="M31" s="2939"/>
      <c r="N31" s="2939"/>
      <c r="O31" s="2939"/>
      <c r="P31" s="3340"/>
      <c r="Q31" s="1534">
        <f t="shared" si="11"/>
        <v>111</v>
      </c>
      <c r="R31" s="712" t="s">
        <v>21</v>
      </c>
      <c r="S31" s="713">
        <f t="shared" si="12"/>
        <v>100</v>
      </c>
      <c r="T31" s="712" t="s">
        <v>21</v>
      </c>
      <c r="U31" s="713">
        <f t="shared" si="13"/>
        <v>100</v>
      </c>
      <c r="V31" s="712" t="s">
        <v>21</v>
      </c>
      <c r="W31" s="713">
        <f t="shared" si="14"/>
        <v>100</v>
      </c>
      <c r="X31" s="1537"/>
      <c r="Y31" s="3295"/>
      <c r="Z31" s="1538">
        <f t="shared" si="18"/>
        <v>111</v>
      </c>
      <c r="AA31" s="1535">
        <f t="shared" si="15"/>
        <v>1</v>
      </c>
      <c r="AB31" s="1535">
        <f t="shared" si="16"/>
        <v>1</v>
      </c>
      <c r="AC31" s="1535">
        <f t="shared" si="17"/>
        <v>1</v>
      </c>
    </row>
    <row r="32" spans="1:29" ht="15">
      <c r="A32" s="397" t="s">
        <v>2381</v>
      </c>
      <c r="B32" s="66" t="s">
        <v>2382</v>
      </c>
      <c r="C32" s="2093"/>
      <c r="D32" s="424">
        <v>100</v>
      </c>
      <c r="E32" s="2094"/>
      <c r="F32" s="418">
        <f>SUMIF(100:100,E32,101:101)-SUMIF(100:100,C32,101:101)+100</f>
        <v>100</v>
      </c>
      <c r="G32" s="2093"/>
      <c r="H32" s="424">
        <f>SUMIF(100:100,G32,101:101)-SUMIF(100:100,C32,101:101)+100</f>
        <v>100</v>
      </c>
      <c r="I32" s="2094"/>
      <c r="J32" s="392">
        <f>SUMIF(100:100,I32,101:101)-SUMIF(100:100,C32,101:101)+100</f>
        <v>100</v>
      </c>
      <c r="K32" s="383"/>
      <c r="L32" s="2945"/>
      <c r="M32" s="2939"/>
      <c r="N32" s="2939"/>
      <c r="O32" s="2939"/>
      <c r="P32" s="3335" t="s">
        <v>2383</v>
      </c>
      <c r="Q32" s="1534" t="str">
        <f t="shared" si="11"/>
        <v>建筑类型</v>
      </c>
      <c r="R32" s="712" t="s">
        <v>21</v>
      </c>
      <c r="S32" s="713">
        <f t="shared" si="12"/>
        <v>100</v>
      </c>
      <c r="T32" s="712" t="s">
        <v>21</v>
      </c>
      <c r="U32" s="713">
        <f t="shared" si="13"/>
        <v>100</v>
      </c>
      <c r="V32" s="712" t="s">
        <v>21</v>
      </c>
      <c r="W32" s="713">
        <f t="shared" si="14"/>
        <v>100</v>
      </c>
      <c r="X32" s="1537"/>
      <c r="Y32" s="3297" t="s">
        <v>2383</v>
      </c>
      <c r="Z32" s="1538" t="str">
        <f t="shared" si="18"/>
        <v>建筑类型</v>
      </c>
      <c r="AA32" s="1535">
        <f t="shared" si="15"/>
        <v>1</v>
      </c>
      <c r="AB32" s="1535">
        <f t="shared" si="16"/>
        <v>1</v>
      </c>
      <c r="AC32" s="1535">
        <f t="shared" si="17"/>
        <v>1</v>
      </c>
    </row>
    <row r="33" spans="1:29" s="428" customFormat="1" ht="15">
      <c r="A33" s="425"/>
      <c r="B33" s="379" t="s">
        <v>2384</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7"/>
      <c r="L33" s="2944"/>
      <c r="M33" s="2946"/>
      <c r="N33" s="2946"/>
      <c r="O33" s="2946"/>
      <c r="P33" s="3336"/>
      <c r="Q33" s="714" t="str">
        <f t="shared" si="11"/>
        <v>项目建筑规模</v>
      </c>
      <c r="R33" s="715" t="s">
        <v>21</v>
      </c>
      <c r="S33" s="716" t="e">
        <f t="shared" si="12"/>
        <v>#N/A</v>
      </c>
      <c r="T33" s="715" t="s">
        <v>21</v>
      </c>
      <c r="U33" s="716" t="e">
        <f t="shared" si="13"/>
        <v>#N/A</v>
      </c>
      <c r="V33" s="715" t="s">
        <v>21</v>
      </c>
      <c r="W33" s="716" t="e">
        <f t="shared" si="14"/>
        <v>#N/A</v>
      </c>
      <c r="X33" s="717"/>
      <c r="Y33" s="3297"/>
      <c r="Z33" s="718" t="str">
        <f t="shared" si="18"/>
        <v>项目建筑规模</v>
      </c>
      <c r="AA33" s="1535" t="e">
        <f t="shared" si="15"/>
        <v>#N/A</v>
      </c>
      <c r="AB33" s="1535" t="e">
        <f t="shared" si="16"/>
        <v>#N/A</v>
      </c>
      <c r="AC33" s="1535" t="e">
        <f t="shared" si="17"/>
        <v>#N/A</v>
      </c>
    </row>
    <row r="34" spans="1:29" ht="15">
      <c r="A34" s="429"/>
      <c r="B34" s="379" t="s">
        <v>2385</v>
      </c>
      <c r="C34" s="2095"/>
      <c r="D34" s="392">
        <v>100</v>
      </c>
      <c r="E34" s="2096"/>
      <c r="F34" s="418">
        <f>SUMIF(105:105,E34,106:106)-SUMIF(105:105,C34,106:106)+100</f>
        <v>100</v>
      </c>
      <c r="G34" s="2095"/>
      <c r="H34" s="392">
        <f>SUMIF(105:105,G34,106:106)-SUMIF(105:105,C34,106:106)+100</f>
        <v>100</v>
      </c>
      <c r="I34" s="2096"/>
      <c r="J34" s="392">
        <f>SUMIF(105:105,I34,106:106)-SUMIF(105:105,C34,106:106)+100</f>
        <v>100</v>
      </c>
      <c r="K34" s="383"/>
      <c r="L34" s="2945"/>
      <c r="M34" s="2939"/>
      <c r="N34" s="2939"/>
      <c r="O34" s="2939"/>
      <c r="P34" s="3336"/>
      <c r="Q34" s="1534" t="str">
        <f t="shared" si="11"/>
        <v>建筑结构</v>
      </c>
      <c r="R34" s="712" t="s">
        <v>21</v>
      </c>
      <c r="S34" s="713">
        <f t="shared" si="12"/>
        <v>100</v>
      </c>
      <c r="T34" s="712" t="s">
        <v>21</v>
      </c>
      <c r="U34" s="713">
        <f t="shared" si="13"/>
        <v>100</v>
      </c>
      <c r="V34" s="712" t="s">
        <v>21</v>
      </c>
      <c r="W34" s="713">
        <f t="shared" si="14"/>
        <v>100</v>
      </c>
      <c r="X34" s="1537"/>
      <c r="Y34" s="3297"/>
      <c r="Z34" s="1538" t="str">
        <f t="shared" si="18"/>
        <v>建筑结构</v>
      </c>
      <c r="AA34" s="1535">
        <f t="shared" si="15"/>
        <v>1</v>
      </c>
      <c r="AB34" s="1535">
        <f t="shared" si="16"/>
        <v>1</v>
      </c>
      <c r="AC34" s="1535">
        <f t="shared" si="17"/>
        <v>1</v>
      </c>
    </row>
    <row r="35" spans="1:29" ht="15">
      <c r="A35" s="429"/>
      <c r="B35" s="379" t="s">
        <v>2386</v>
      </c>
      <c r="C35" s="2089"/>
      <c r="D35" s="392">
        <v>100</v>
      </c>
      <c r="E35" s="2090"/>
      <c r="F35" s="418">
        <f>SUMIF(107:107,E35,108:108)-SUMIF(107:107,C35,108:108)+100</f>
        <v>100</v>
      </c>
      <c r="G35" s="2089"/>
      <c r="H35" s="392">
        <f>SUMIF(107:107,G35,108:108)-SUMIF(107:107,C35,108:108)+100</f>
        <v>100</v>
      </c>
      <c r="I35" s="2090"/>
      <c r="J35" s="392">
        <f>SUMIF(107:107,I35,108:108)-SUMIF(107:107,C35,108:108)+100</f>
        <v>100</v>
      </c>
      <c r="K35" s="383"/>
      <c r="L35" s="2945"/>
      <c r="M35" s="2939"/>
      <c r="N35" s="2939"/>
      <c r="O35" s="2939"/>
      <c r="P35" s="3336"/>
      <c r="Q35" s="1534" t="str">
        <f t="shared" si="11"/>
        <v>建筑品质</v>
      </c>
      <c r="R35" s="712" t="s">
        <v>21</v>
      </c>
      <c r="S35" s="713">
        <f t="shared" si="12"/>
        <v>100</v>
      </c>
      <c r="T35" s="712" t="s">
        <v>21</v>
      </c>
      <c r="U35" s="713">
        <f t="shared" si="13"/>
        <v>100</v>
      </c>
      <c r="V35" s="712" t="s">
        <v>21</v>
      </c>
      <c r="W35" s="713">
        <f t="shared" si="14"/>
        <v>100</v>
      </c>
      <c r="X35" s="1537"/>
      <c r="Y35" s="3297"/>
      <c r="Z35" s="1538" t="str">
        <f t="shared" si="18"/>
        <v>建筑品质</v>
      </c>
      <c r="AA35" s="1535">
        <f t="shared" si="15"/>
        <v>1</v>
      </c>
      <c r="AB35" s="1535">
        <f t="shared" si="16"/>
        <v>1</v>
      </c>
      <c r="AC35" s="1535">
        <f t="shared" si="17"/>
        <v>1</v>
      </c>
    </row>
    <row r="36" spans="1:29" ht="15">
      <c r="A36" s="429"/>
      <c r="B36" s="379" t="s">
        <v>2387</v>
      </c>
      <c r="C36" s="2089"/>
      <c r="D36" s="392">
        <v>100</v>
      </c>
      <c r="E36" s="2090"/>
      <c r="F36" s="418">
        <f>SUMIF(109:109,E36,110:110)-SUMIF(109:109,C36,110:110)+100</f>
        <v>100</v>
      </c>
      <c r="G36" s="2089"/>
      <c r="H36" s="392">
        <f>SUMIF(109:109,G36,110:110)-SUMIF(109:109,C36,110:110)+100</f>
        <v>100</v>
      </c>
      <c r="I36" s="2090"/>
      <c r="J36" s="392">
        <f>SUMIF(109:109,I36,110:110)-SUMIF(109:109,C36,110:110)+100</f>
        <v>100</v>
      </c>
      <c r="K36" s="383"/>
      <c r="L36" s="2945"/>
      <c r="M36" s="2939"/>
      <c r="N36" s="2939"/>
      <c r="O36" s="2939"/>
      <c r="P36" s="3336"/>
      <c r="Q36" s="1534" t="str">
        <f t="shared" si="11"/>
        <v>公共部分装修</v>
      </c>
      <c r="R36" s="712" t="s">
        <v>21</v>
      </c>
      <c r="S36" s="713">
        <f t="shared" si="12"/>
        <v>100</v>
      </c>
      <c r="T36" s="712" t="s">
        <v>21</v>
      </c>
      <c r="U36" s="713">
        <f t="shared" si="13"/>
        <v>100</v>
      </c>
      <c r="V36" s="712" t="s">
        <v>21</v>
      </c>
      <c r="W36" s="713">
        <f t="shared" si="14"/>
        <v>100</v>
      </c>
      <c r="X36" s="1537"/>
      <c r="Y36" s="3297"/>
      <c r="Z36" s="1538" t="str">
        <f t="shared" si="18"/>
        <v>公共部分装修</v>
      </c>
      <c r="AA36" s="1535">
        <f t="shared" si="15"/>
        <v>1</v>
      </c>
      <c r="AB36" s="1535">
        <f t="shared" si="16"/>
        <v>1</v>
      </c>
      <c r="AC36" s="1535">
        <f t="shared" si="17"/>
        <v>1</v>
      </c>
    </row>
    <row r="37" spans="1:29" s="112" customFormat="1" ht="15">
      <c r="A37" s="430"/>
      <c r="B37" s="379" t="s">
        <v>2388</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0"/>
      <c r="M37" s="2941"/>
      <c r="N37" s="2941"/>
      <c r="O37" s="2941"/>
      <c r="P37" s="3336"/>
      <c r="Q37" s="1525" t="str">
        <f t="shared" si="11"/>
        <v>成新度</v>
      </c>
      <c r="R37" s="708" t="s">
        <v>21</v>
      </c>
      <c r="S37" s="709" t="e">
        <f t="shared" si="12"/>
        <v>#N/A</v>
      </c>
      <c r="T37" s="708" t="s">
        <v>21</v>
      </c>
      <c r="U37" s="709" t="e">
        <f t="shared" si="13"/>
        <v>#N/A</v>
      </c>
      <c r="V37" s="708" t="s">
        <v>21</v>
      </c>
      <c r="W37" s="709" t="e">
        <f t="shared" si="14"/>
        <v>#N/A</v>
      </c>
      <c r="X37" s="710"/>
      <c r="Y37" s="3297"/>
      <c r="Z37" s="54" t="str">
        <f t="shared" si="18"/>
        <v>成新度</v>
      </c>
      <c r="AA37" s="711" t="e">
        <f t="shared" si="15"/>
        <v>#N/A</v>
      </c>
      <c r="AB37" s="711" t="e">
        <f t="shared" si="16"/>
        <v>#N/A</v>
      </c>
      <c r="AC37" s="711" t="e">
        <f t="shared" si="17"/>
        <v>#N/A</v>
      </c>
    </row>
    <row r="38" spans="1:29" ht="15">
      <c r="A38" s="429"/>
      <c r="B38" s="379" t="s">
        <v>2389</v>
      </c>
      <c r="C38" s="2089"/>
      <c r="D38" s="392">
        <v>100</v>
      </c>
      <c r="E38" s="2090"/>
      <c r="F38" s="418">
        <f>SUMIF(114:114,E38,115:115)-SUMIF(114:114,C38,115:115)+100</f>
        <v>100</v>
      </c>
      <c r="G38" s="2089"/>
      <c r="H38" s="392">
        <f>SUMIF(114:114,G38,115:115)-SUMIF(114:114,C38,115:115)+100</f>
        <v>100</v>
      </c>
      <c r="I38" s="2090"/>
      <c r="J38" s="392">
        <f>SUMIF(114:114,I38,115:115)-SUMIF(114:114,C38,115:115)+100</f>
        <v>100</v>
      </c>
      <c r="K38" s="383"/>
      <c r="L38" s="2945"/>
      <c r="M38" s="2939"/>
      <c r="N38" s="2939"/>
      <c r="O38" s="2939"/>
      <c r="P38" s="3336" t="s">
        <v>2383</v>
      </c>
      <c r="Q38" s="1534" t="str">
        <f t="shared" si="11"/>
        <v>物业管理</v>
      </c>
      <c r="R38" s="712" t="s">
        <v>21</v>
      </c>
      <c r="S38" s="713">
        <f t="shared" si="12"/>
        <v>100</v>
      </c>
      <c r="T38" s="712" t="s">
        <v>21</v>
      </c>
      <c r="U38" s="713">
        <f t="shared" si="13"/>
        <v>100</v>
      </c>
      <c r="V38" s="712" t="s">
        <v>21</v>
      </c>
      <c r="W38" s="713">
        <f t="shared" si="14"/>
        <v>100</v>
      </c>
      <c r="X38" s="1537"/>
      <c r="Y38" s="3297" t="s">
        <v>2383</v>
      </c>
      <c r="Z38" s="1538" t="str">
        <f t="shared" si="18"/>
        <v>物业管理</v>
      </c>
      <c r="AA38" s="1535">
        <f t="shared" si="15"/>
        <v>1</v>
      </c>
      <c r="AB38" s="1535">
        <f t="shared" si="16"/>
        <v>1</v>
      </c>
      <c r="AC38" s="1535">
        <f t="shared" si="17"/>
        <v>1</v>
      </c>
    </row>
    <row r="39" spans="1:29" ht="15">
      <c r="A39" s="429"/>
      <c r="B39" s="379" t="s">
        <v>2390</v>
      </c>
      <c r="C39" s="2089"/>
      <c r="D39" s="392">
        <v>100</v>
      </c>
      <c r="E39" s="2090"/>
      <c r="F39" s="418">
        <f>SUMIF(116:116,E39,117:117)-SUMIF(116:116,C39,117:117)+100</f>
        <v>100</v>
      </c>
      <c r="G39" s="2089"/>
      <c r="H39" s="392">
        <f>SUMIF(116:116,G39,117:117)-SUMIF(116:116,C39,117:117)+100</f>
        <v>100</v>
      </c>
      <c r="I39" s="2090"/>
      <c r="J39" s="392">
        <f>SUMIF(116:116,I39,117:117)-SUMIF(116:116,C39,117:117)+100</f>
        <v>100</v>
      </c>
      <c r="K39" s="383"/>
      <c r="L39" s="2945"/>
      <c r="M39" s="2939"/>
      <c r="N39" s="2939"/>
      <c r="O39" s="2939"/>
      <c r="P39" s="3336"/>
      <c r="Q39" s="1534" t="str">
        <f t="shared" si="11"/>
        <v>市政基础设施</v>
      </c>
      <c r="R39" s="712" t="s">
        <v>21</v>
      </c>
      <c r="S39" s="713">
        <f t="shared" si="12"/>
        <v>100</v>
      </c>
      <c r="T39" s="712" t="s">
        <v>21</v>
      </c>
      <c r="U39" s="713">
        <f t="shared" si="13"/>
        <v>100</v>
      </c>
      <c r="V39" s="712" t="s">
        <v>21</v>
      </c>
      <c r="W39" s="713">
        <f t="shared" si="14"/>
        <v>100</v>
      </c>
      <c r="X39" s="1537"/>
      <c r="Y39" s="3297"/>
      <c r="Z39" s="1538" t="str">
        <f t="shared" si="18"/>
        <v>市政基础设施</v>
      </c>
      <c r="AA39" s="1535">
        <f t="shared" si="15"/>
        <v>1</v>
      </c>
      <c r="AB39" s="1535">
        <f t="shared" si="16"/>
        <v>1</v>
      </c>
      <c r="AC39" s="1535">
        <f t="shared" si="17"/>
        <v>1</v>
      </c>
    </row>
    <row r="40" spans="1:29" ht="15">
      <c r="A40" s="429"/>
      <c r="B40" s="379" t="s">
        <v>2391</v>
      </c>
      <c r="C40" s="2089"/>
      <c r="D40" s="392">
        <v>100</v>
      </c>
      <c r="E40" s="2090"/>
      <c r="F40" s="418">
        <f>SUMIF(118:118,E40,119:119)-SUMIF(118:118,C40,119:119)+100</f>
        <v>100</v>
      </c>
      <c r="G40" s="2089"/>
      <c r="H40" s="392">
        <f>SUMIF(118:118,G40,119:119)-SUMIF(118:118,C40,119:119)+100</f>
        <v>100</v>
      </c>
      <c r="I40" s="2090"/>
      <c r="J40" s="392">
        <f>SUMIF(118:118,I40,119:119)-SUMIF(118:118,C40,119:119)+100</f>
        <v>100</v>
      </c>
      <c r="K40" s="383"/>
      <c r="L40" s="2945"/>
      <c r="M40" s="2939"/>
      <c r="N40" s="2939"/>
      <c r="O40" s="2939"/>
      <c r="P40" s="3336"/>
      <c r="Q40" s="1534" t="str">
        <f t="shared" si="11"/>
        <v>房型</v>
      </c>
      <c r="R40" s="712" t="s">
        <v>21</v>
      </c>
      <c r="S40" s="713">
        <f t="shared" si="12"/>
        <v>100</v>
      </c>
      <c r="T40" s="712" t="s">
        <v>21</v>
      </c>
      <c r="U40" s="713">
        <f t="shared" si="13"/>
        <v>100</v>
      </c>
      <c r="V40" s="712" t="s">
        <v>21</v>
      </c>
      <c r="W40" s="713">
        <f t="shared" si="14"/>
        <v>100</v>
      </c>
      <c r="X40" s="1537"/>
      <c r="Y40" s="3297"/>
      <c r="Z40" s="1538" t="str">
        <f t="shared" si="18"/>
        <v>房型</v>
      </c>
      <c r="AA40" s="1535">
        <f t="shared" si="15"/>
        <v>1</v>
      </c>
      <c r="AB40" s="1535">
        <f t="shared" si="16"/>
        <v>1</v>
      </c>
      <c r="AC40" s="1535">
        <f t="shared" si="17"/>
        <v>1</v>
      </c>
    </row>
    <row r="41" spans="1:29" s="428" customFormat="1" ht="28.5">
      <c r="A41" s="425"/>
      <c r="B41" s="379" t="s">
        <v>2392</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7"/>
      <c r="L41" s="2944"/>
      <c r="M41" s="2946"/>
      <c r="N41" s="2946"/>
      <c r="O41" s="2946"/>
      <c r="P41" s="3336"/>
      <c r="Q41" s="714" t="str">
        <f t="shared" si="11"/>
        <v>单套/主力户型建筑面积</v>
      </c>
      <c r="R41" s="715" t="s">
        <v>21</v>
      </c>
      <c r="S41" s="716">
        <f t="shared" si="12"/>
        <v>100</v>
      </c>
      <c r="T41" s="715" t="s">
        <v>21</v>
      </c>
      <c r="U41" s="716">
        <f t="shared" si="13"/>
        <v>100</v>
      </c>
      <c r="V41" s="715" t="s">
        <v>21</v>
      </c>
      <c r="W41" s="716">
        <f t="shared" si="14"/>
        <v>100</v>
      </c>
      <c r="X41" s="717"/>
      <c r="Y41" s="3297"/>
      <c r="Z41" s="718" t="str">
        <f t="shared" si="18"/>
        <v>单套/主力户型建筑面积</v>
      </c>
      <c r="AA41" s="1535">
        <f t="shared" si="15"/>
        <v>1</v>
      </c>
      <c r="AB41" s="1535">
        <f t="shared" si="16"/>
        <v>1</v>
      </c>
      <c r="AC41" s="1535">
        <f t="shared" si="17"/>
        <v>1</v>
      </c>
    </row>
    <row r="42" spans="1:29" ht="15">
      <c r="A42" s="429"/>
      <c r="B42" s="379" t="s">
        <v>2393</v>
      </c>
      <c r="C42" s="2089"/>
      <c r="D42" s="392">
        <v>100</v>
      </c>
      <c r="E42" s="2090"/>
      <c r="F42" s="418">
        <f>SUMIF(122:122,E42,123:123)-SUMIF(122:122,C42,123:123)+100</f>
        <v>100</v>
      </c>
      <c r="G42" s="2089"/>
      <c r="H42" s="392">
        <f>SUMIF(122:122,G42,123:123)-SUMIF(122:122,C42,123:123)+100</f>
        <v>100</v>
      </c>
      <c r="I42" s="2090"/>
      <c r="J42" s="392">
        <f>SUMIF(122:122,I42,123:123)-SUMIF(122:122,C42,123:123)+100</f>
        <v>100</v>
      </c>
      <c r="K42" s="383"/>
      <c r="L42" s="2945"/>
      <c r="M42" s="2939"/>
      <c r="N42" s="2939"/>
      <c r="O42" s="2939"/>
      <c r="P42" s="3336"/>
      <c r="Q42" s="1534" t="str">
        <f t="shared" si="11"/>
        <v>内部装修</v>
      </c>
      <c r="R42" s="712" t="s">
        <v>21</v>
      </c>
      <c r="S42" s="713">
        <f t="shared" si="12"/>
        <v>100</v>
      </c>
      <c r="T42" s="712" t="s">
        <v>21</v>
      </c>
      <c r="U42" s="713">
        <f t="shared" si="13"/>
        <v>100</v>
      </c>
      <c r="V42" s="712" t="s">
        <v>21</v>
      </c>
      <c r="W42" s="713">
        <f t="shared" si="14"/>
        <v>100</v>
      </c>
      <c r="X42" s="1537"/>
      <c r="Y42" s="3297"/>
      <c r="Z42" s="1538" t="str">
        <f t="shared" si="18"/>
        <v>内部装修</v>
      </c>
      <c r="AA42" s="1535">
        <f t="shared" si="15"/>
        <v>1</v>
      </c>
      <c r="AB42" s="1535">
        <f t="shared" si="16"/>
        <v>1</v>
      </c>
      <c r="AC42" s="1535">
        <f t="shared" si="17"/>
        <v>1</v>
      </c>
    </row>
    <row r="43" spans="1:29" ht="15">
      <c r="A43" s="429"/>
      <c r="B43" s="379" t="s">
        <v>2394</v>
      </c>
      <c r="C43" s="2089"/>
      <c r="D43" s="392">
        <v>100</v>
      </c>
      <c r="E43" s="2090"/>
      <c r="F43" s="418">
        <f>SUMIF(124:124,E43,125:125)-SUMIF(124:124,C43,125:125)+100</f>
        <v>100</v>
      </c>
      <c r="G43" s="2089"/>
      <c r="H43" s="392">
        <f>SUMIF(124:124,G43,125:125)-SUMIF(124:124,C43,125:125)+100</f>
        <v>100</v>
      </c>
      <c r="I43" s="2090"/>
      <c r="J43" s="392">
        <f>SUMIF(124:124,I43,125:125)-SUMIF(124:124,C43,125:125)+100</f>
        <v>100</v>
      </c>
      <c r="K43" s="383"/>
      <c r="L43" s="2945"/>
      <c r="M43" s="2939"/>
      <c r="N43" s="2939"/>
      <c r="O43" s="2939"/>
      <c r="P43" s="3336"/>
      <c r="Q43" s="1534" t="str">
        <f t="shared" si="11"/>
        <v>内部装修维护情况</v>
      </c>
      <c r="R43" s="712" t="s">
        <v>21</v>
      </c>
      <c r="S43" s="713">
        <f t="shared" si="12"/>
        <v>100</v>
      </c>
      <c r="T43" s="712" t="s">
        <v>21</v>
      </c>
      <c r="U43" s="713">
        <f t="shared" si="13"/>
        <v>100</v>
      </c>
      <c r="V43" s="712" t="s">
        <v>21</v>
      </c>
      <c r="W43" s="713">
        <f t="shared" si="14"/>
        <v>100</v>
      </c>
      <c r="X43" s="1537"/>
      <c r="Y43" s="3297"/>
      <c r="Z43" s="1538" t="str">
        <f t="shared" si="18"/>
        <v>内部装修维护情况</v>
      </c>
      <c r="AA43" s="1535">
        <f t="shared" si="15"/>
        <v>1</v>
      </c>
      <c r="AB43" s="1535">
        <f t="shared" si="16"/>
        <v>1</v>
      </c>
      <c r="AC43" s="1535">
        <f t="shared" si="17"/>
        <v>1</v>
      </c>
    </row>
    <row r="44" spans="1:29" s="112"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7"/>
      <c r="L44" s="2940"/>
      <c r="M44" s="2941"/>
      <c r="N44" s="2941"/>
      <c r="O44" s="2941"/>
      <c r="P44" s="3336"/>
      <c r="Q44" s="1525">
        <f t="shared" si="11"/>
        <v>111</v>
      </c>
      <c r="R44" s="708" t="s">
        <v>21</v>
      </c>
      <c r="S44" s="709">
        <f t="shared" si="12"/>
        <v>100</v>
      </c>
      <c r="T44" s="708" t="s">
        <v>21</v>
      </c>
      <c r="U44" s="709">
        <f t="shared" si="13"/>
        <v>100</v>
      </c>
      <c r="V44" s="708" t="s">
        <v>21</v>
      </c>
      <c r="W44" s="709">
        <f t="shared" si="14"/>
        <v>100</v>
      </c>
      <c r="X44" s="710"/>
      <c r="Y44" s="3297"/>
      <c r="Z44" s="54">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7"/>
      <c r="L45" s="2945"/>
      <c r="M45" s="2939"/>
      <c r="N45" s="2939"/>
      <c r="O45" s="2939"/>
      <c r="P45" s="3336"/>
      <c r="Q45" s="1534">
        <f t="shared" si="11"/>
        <v>111</v>
      </c>
      <c r="R45" s="712" t="s">
        <v>21</v>
      </c>
      <c r="S45" s="713">
        <f t="shared" si="12"/>
        <v>100</v>
      </c>
      <c r="T45" s="712" t="s">
        <v>21</v>
      </c>
      <c r="U45" s="713">
        <f t="shared" si="13"/>
        <v>100</v>
      </c>
      <c r="V45" s="712" t="s">
        <v>21</v>
      </c>
      <c r="W45" s="713">
        <f t="shared" si="14"/>
        <v>100</v>
      </c>
      <c r="X45" s="1537"/>
      <c r="Y45" s="3297"/>
      <c r="Z45" s="1538">
        <f t="shared" si="18"/>
        <v>111</v>
      </c>
      <c r="AA45" s="1535">
        <f t="shared" si="15"/>
        <v>1</v>
      </c>
      <c r="AB45" s="1535">
        <f t="shared" si="16"/>
        <v>1</v>
      </c>
      <c r="AC45" s="1535">
        <f t="shared" si="17"/>
        <v>1</v>
      </c>
    </row>
    <row r="46" spans="1:29" ht="15.75" thickBot="1">
      <c r="A46" s="435"/>
      <c r="B46" s="2078">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7"/>
      <c r="L46" s="2945"/>
      <c r="M46" s="2939"/>
      <c r="N46" s="2939"/>
      <c r="O46" s="2939"/>
      <c r="P46" s="3337"/>
      <c r="Q46" s="1534">
        <f t="shared" si="11"/>
        <v>111</v>
      </c>
      <c r="R46" s="712" t="s">
        <v>20</v>
      </c>
      <c r="S46" s="713">
        <f t="shared" si="12"/>
        <v>100</v>
      </c>
      <c r="T46" s="712" t="s">
        <v>20</v>
      </c>
      <c r="U46" s="713">
        <f t="shared" si="13"/>
        <v>100</v>
      </c>
      <c r="V46" s="712" t="s">
        <v>20</v>
      </c>
      <c r="W46" s="713">
        <f t="shared" si="14"/>
        <v>100</v>
      </c>
      <c r="X46" s="1537"/>
      <c r="Y46" s="3338"/>
      <c r="Z46" s="1538">
        <f t="shared" si="18"/>
        <v>111</v>
      </c>
      <c r="AA46" s="1535">
        <f t="shared" si="15"/>
        <v>1</v>
      </c>
      <c r="AB46" s="1535">
        <f t="shared" si="16"/>
        <v>1</v>
      </c>
      <c r="AC46" s="1535">
        <f t="shared" si="17"/>
        <v>1</v>
      </c>
    </row>
    <row r="47" spans="1:29" ht="15">
      <c r="A47" s="436" t="s">
        <v>2395</v>
      </c>
      <c r="B47" s="437"/>
      <c r="C47" s="1314" t="s">
        <v>19</v>
      </c>
      <c r="D47" s="1315"/>
      <c r="E47" s="1316"/>
      <c r="F47" s="1317"/>
      <c r="G47" s="1318"/>
      <c r="H47" s="1319"/>
      <c r="I47" s="1316"/>
      <c r="J47" s="1319"/>
      <c r="K47" s="2097"/>
      <c r="L47" s="2947"/>
      <c r="M47" s="2948"/>
      <c r="N47" s="2939"/>
      <c r="O47" s="2948"/>
      <c r="P47" s="3279" t="str">
        <f>A47</f>
        <v>成交单价（元/平方米）</v>
      </c>
      <c r="Q47" s="3279"/>
      <c r="R47" s="3334">
        <f>E47</f>
        <v>0</v>
      </c>
      <c r="S47" s="3334"/>
      <c r="T47" s="3334">
        <f>G47</f>
        <v>0</v>
      </c>
      <c r="U47" s="3334"/>
      <c r="V47" s="3334">
        <f>I47</f>
        <v>0</v>
      </c>
      <c r="W47" s="3334"/>
      <c r="X47" s="697"/>
      <c r="Y47" s="719"/>
      <c r="Z47" s="697"/>
      <c r="AA47" s="697"/>
      <c r="AB47" s="697"/>
      <c r="AC47" s="697"/>
    </row>
    <row r="48" spans="1:29" ht="15.75" thickBot="1">
      <c r="A48" s="443" t="s">
        <v>2396</v>
      </c>
      <c r="B48" s="444"/>
      <c r="C48" s="1320" t="e">
        <f>R49</f>
        <v>#DIV/0!</v>
      </c>
      <c r="D48" s="2535" t="s">
        <v>2876</v>
      </c>
      <c r="E48" s="1321" t="e">
        <f>R48</f>
        <v>#DIV/0!</v>
      </c>
      <c r="F48" s="2536"/>
      <c r="G48" s="1320" t="e">
        <f>T48</f>
        <v>#DIV/0!</v>
      </c>
      <c r="H48" s="2536"/>
      <c r="I48" s="1321" t="e">
        <f>V48</f>
        <v>#DIV/0!</v>
      </c>
      <c r="J48" s="2536"/>
      <c r="K48" s="2537">
        <f>F48+H48+J48</f>
        <v>0</v>
      </c>
      <c r="L48" s="2947"/>
      <c r="M48" s="2948"/>
      <c r="N48" s="2948"/>
      <c r="O48" s="2948"/>
      <c r="P48" s="3279" t="str">
        <f>A48</f>
        <v>比较价值（元/平方米）</v>
      </c>
      <c r="Q48" s="3279"/>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7"/>
      <c r="Y48" s="697"/>
      <c r="Z48" s="697"/>
      <c r="AA48" s="697"/>
      <c r="AB48" s="697"/>
      <c r="AC48" s="697"/>
    </row>
    <row r="49" spans="1:29" ht="15.75" thickBot="1">
      <c r="A49" s="447" t="s">
        <v>2397</v>
      </c>
      <c r="B49" s="448"/>
      <c r="C49" s="1322" t="e">
        <f>R49</f>
        <v>#DIV/0!</v>
      </c>
      <c r="D49" s="1323"/>
      <c r="E49" s="1323"/>
      <c r="F49" s="1323"/>
      <c r="G49" s="1323"/>
      <c r="H49" s="1323"/>
      <c r="I49" s="1323"/>
      <c r="J49" s="1323"/>
      <c r="K49" s="2098"/>
      <c r="L49" s="2947"/>
      <c r="M49" s="2948"/>
      <c r="N49" s="2948"/>
      <c r="O49" s="2948"/>
      <c r="P49" s="3299" t="str">
        <f>A49</f>
        <v>估价对象XX用房的比较价值（楼面单价，元/平方米）</v>
      </c>
      <c r="Q49" s="3300"/>
      <c r="R49" s="3333" t="e">
        <f>IF(F1="售价",ROUND(IF(D48="简单平均",AVERAGE(R48:V48),R48*F48+T48*H48+V48*J48),0),ROUND(IF(D48="简单平均",AVERAGE(R48:V48),R48*F48+T48*H48+V48*J48),1))</f>
        <v>#DIV/0!</v>
      </c>
      <c r="S49" s="3333"/>
      <c r="T49" s="3333"/>
      <c r="U49" s="3333"/>
      <c r="V49" s="3333"/>
      <c r="W49" s="3333"/>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2" t="s">
        <v>2398</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3"/>
      <c r="L52" s="2949"/>
      <c r="M52" s="2948"/>
      <c r="N52" s="2948"/>
      <c r="O52" s="2948"/>
    </row>
    <row r="53" spans="1:29" ht="13.5" customHeight="1">
      <c r="A53" s="2948"/>
      <c r="B53" s="2948"/>
      <c r="C53" s="452" t="s">
        <v>2399</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3"/>
      <c r="L53" s="2949"/>
      <c r="M53" s="2948"/>
      <c r="N53" s="2948"/>
      <c r="O53" s="2948"/>
    </row>
    <row r="54" spans="1:29" s="457" customFormat="1" ht="13.5" customHeight="1">
      <c r="A54" s="2951"/>
      <c r="B54" s="2951"/>
      <c r="C54" s="452" t="s">
        <v>2400</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6"/>
      <c r="L54" s="2950"/>
      <c r="M54" s="2951"/>
      <c r="N54" s="2951"/>
      <c r="O54" s="2951"/>
      <c r="P54" s="2100"/>
    </row>
    <row r="55" spans="1:29" s="457" customFormat="1">
      <c r="A55" s="2951"/>
      <c r="B55" s="2954"/>
      <c r="C55" s="2955"/>
      <c r="D55" s="2951"/>
      <c r="E55" s="2951"/>
      <c r="F55" s="2951"/>
      <c r="G55" s="2951"/>
      <c r="H55" s="2951"/>
      <c r="I55" s="2951"/>
      <c r="J55" s="2951"/>
      <c r="K55" s="2956"/>
      <c r="L55" s="2950"/>
      <c r="M55" s="2951"/>
      <c r="N55" s="2951"/>
      <c r="O55" s="2951"/>
      <c r="P55" s="2100"/>
    </row>
    <row r="56" spans="1:29">
      <c r="A56" s="2948"/>
      <c r="B56" s="2954"/>
      <c r="C56" s="2955"/>
      <c r="D56" s="2948"/>
      <c r="E56" s="2948"/>
      <c r="F56" s="2948"/>
      <c r="G56" s="2948"/>
      <c r="H56" s="2948"/>
      <c r="I56" s="2948"/>
      <c r="J56" s="2948"/>
      <c r="K56" s="2953"/>
      <c r="L56" s="2949"/>
      <c r="M56" s="2948"/>
      <c r="N56" s="2948"/>
      <c r="O56" s="2948"/>
    </row>
    <row r="57" spans="1:29" ht="21.75" thickBot="1">
      <c r="A57" s="701" t="s">
        <v>2401</v>
      </c>
      <c r="B57" s="697"/>
      <c r="C57" s="702"/>
      <c r="D57" s="702"/>
      <c r="E57" s="702"/>
      <c r="F57" s="703"/>
      <c r="G57" s="703"/>
      <c r="H57" s="702"/>
      <c r="I57" s="702"/>
      <c r="J57" s="702"/>
      <c r="K57" s="1070"/>
      <c r="L57" s="1071"/>
      <c r="M57" s="1069"/>
      <c r="N57" s="1069"/>
      <c r="O57" s="1069"/>
      <c r="P57" s="2101"/>
      <c r="Q57" s="459"/>
    </row>
    <row r="58" spans="1:29" s="463" customFormat="1" ht="15">
      <c r="A58" s="460" t="s">
        <v>2402</v>
      </c>
      <c r="B58" s="461"/>
      <c r="C58" s="1345" t="str">
        <f>YEAR(C7)&amp;"-"&amp;MONTH(C7)</f>
        <v>2021-4</v>
      </c>
      <c r="D58" s="1344">
        <f>EDATE(C58,-1)</f>
        <v>44256</v>
      </c>
      <c r="E58" s="1344">
        <f>EDATE(D58,-1)</f>
        <v>44228</v>
      </c>
      <c r="F58" s="1344">
        <f t="shared" ref="F58:O58" si="19">EDATE(E58,-1)</f>
        <v>44197</v>
      </c>
      <c r="G58" s="1344">
        <f t="shared" si="19"/>
        <v>44166</v>
      </c>
      <c r="H58" s="1344">
        <f t="shared" si="19"/>
        <v>44136</v>
      </c>
      <c r="I58" s="1344">
        <f t="shared" si="19"/>
        <v>44105</v>
      </c>
      <c r="J58" s="1344">
        <f t="shared" si="19"/>
        <v>44075</v>
      </c>
      <c r="K58" s="1344">
        <f t="shared" si="19"/>
        <v>44044</v>
      </c>
      <c r="L58" s="1344">
        <f t="shared" si="19"/>
        <v>44013</v>
      </c>
      <c r="M58" s="1344">
        <f t="shared" si="19"/>
        <v>43983</v>
      </c>
      <c r="N58" s="1344">
        <f t="shared" si="19"/>
        <v>43952</v>
      </c>
      <c r="O58" s="1344">
        <f t="shared" si="19"/>
        <v>43922</v>
      </c>
      <c r="P58" s="1340"/>
    </row>
    <row r="59" spans="1:29" s="112" customFormat="1" ht="15">
      <c r="A59" s="464"/>
      <c r="B59" s="2102"/>
      <c r="C59" s="1342">
        <v>100</v>
      </c>
      <c r="D59" s="466"/>
      <c r="E59" s="467"/>
      <c r="F59" s="467"/>
      <c r="G59" s="467"/>
      <c r="H59" s="467"/>
      <c r="I59" s="467"/>
      <c r="J59" s="467"/>
      <c r="K59" s="467"/>
      <c r="L59" s="467"/>
      <c r="M59" s="468"/>
      <c r="N59" s="467"/>
      <c r="O59" s="468"/>
      <c r="P59" s="2103"/>
    </row>
    <row r="60" spans="1:29" s="112" customFormat="1" ht="15.75" thickBot="1">
      <c r="A60" s="470" t="s">
        <v>2403</v>
      </c>
      <c r="B60" s="471"/>
      <c r="C60" s="472"/>
      <c r="D60" s="473"/>
      <c r="E60" s="473"/>
      <c r="F60" s="473"/>
      <c r="G60" s="473"/>
      <c r="H60" s="473"/>
      <c r="I60" s="473"/>
      <c r="J60" s="473"/>
      <c r="K60" s="473"/>
      <c r="L60" s="473"/>
      <c r="M60" s="474"/>
      <c r="N60" s="473"/>
      <c r="O60" s="474"/>
      <c r="P60" s="2103"/>
      <c r="Q60" s="459"/>
    </row>
    <row r="61" spans="1:29" s="112" customFormat="1" ht="15">
      <c r="A61" s="476" t="s">
        <v>2404</v>
      </c>
      <c r="B61" s="465"/>
      <c r="C61" s="477" t="s">
        <v>2405</v>
      </c>
      <c r="D61" s="478"/>
      <c r="E61" s="478"/>
      <c r="F61" s="478"/>
      <c r="G61" s="478"/>
      <c r="H61" s="478"/>
      <c r="I61" s="478"/>
      <c r="J61" s="478"/>
      <c r="K61" s="478"/>
      <c r="L61" s="479"/>
      <c r="M61" s="480"/>
      <c r="N61" s="1061"/>
      <c r="O61" s="1061"/>
      <c r="P61" s="2104"/>
      <c r="Q61" s="459"/>
    </row>
    <row r="62" spans="1:29" s="112" customFormat="1" ht="15.75" thickBot="1">
      <c r="A62" s="476"/>
      <c r="B62" s="465"/>
      <c r="C62" s="466">
        <v>100</v>
      </c>
      <c r="D62" s="467"/>
      <c r="E62" s="467"/>
      <c r="F62" s="467"/>
      <c r="G62" s="467"/>
      <c r="H62" s="467"/>
      <c r="I62" s="467"/>
      <c r="J62" s="467"/>
      <c r="K62" s="467"/>
      <c r="L62" s="467"/>
      <c r="M62" s="469"/>
      <c r="N62" s="1061"/>
      <c r="O62" s="1061"/>
      <c r="P62" s="2103"/>
      <c r="Q62" s="459"/>
    </row>
    <row r="63" spans="1:29">
      <c r="A63" s="482" t="s">
        <v>2406</v>
      </c>
      <c r="B63" s="483" t="s">
        <v>2372</v>
      </c>
      <c r="C63" s="484">
        <f>C9</f>
        <v>0</v>
      </c>
      <c r="D63" s="485"/>
      <c r="E63" s="485"/>
      <c r="F63" s="485"/>
      <c r="G63" s="485"/>
      <c r="H63" s="485"/>
      <c r="I63" s="485"/>
      <c r="J63" s="485"/>
      <c r="K63" s="486"/>
      <c r="L63" s="487"/>
      <c r="M63" s="488"/>
      <c r="N63" s="1062"/>
      <c r="O63" s="1062"/>
      <c r="P63" s="2105"/>
      <c r="Q63" s="459"/>
    </row>
    <row r="64" spans="1:29" ht="15.75" thickBot="1">
      <c r="A64" s="489"/>
      <c r="B64" s="490"/>
      <c r="C64" s="491">
        <v>100</v>
      </c>
      <c r="D64" s="491"/>
      <c r="E64" s="491"/>
      <c r="F64" s="491"/>
      <c r="G64" s="491"/>
      <c r="H64" s="491"/>
      <c r="I64" s="491"/>
      <c r="J64" s="491"/>
      <c r="K64" s="491"/>
      <c r="L64" s="491"/>
      <c r="M64" s="492"/>
      <c r="N64" s="1063"/>
      <c r="O64" s="1063"/>
      <c r="P64" s="2105"/>
      <c r="Q64" s="459"/>
    </row>
    <row r="65" spans="1:17" ht="27.75" thickTop="1">
      <c r="A65" s="489"/>
      <c r="B65" s="493" t="s">
        <v>2375</v>
      </c>
      <c r="C65" s="494" t="s">
        <v>2407</v>
      </c>
      <c r="D65" s="494" t="s">
        <v>2408</v>
      </c>
      <c r="E65" s="494" t="s">
        <v>2409</v>
      </c>
      <c r="F65" s="494" t="s">
        <v>2410</v>
      </c>
      <c r="G65" s="494" t="s">
        <v>2411</v>
      </c>
      <c r="H65" s="494" t="s">
        <v>2412</v>
      </c>
      <c r="I65" s="494" t="s">
        <v>2413</v>
      </c>
      <c r="J65" s="494"/>
      <c r="K65" s="495"/>
      <c r="L65" s="496"/>
      <c r="M65" s="497"/>
      <c r="N65" s="1062"/>
      <c r="O65" s="1062"/>
      <c r="P65" s="2105"/>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5"/>
      <c r="Q66" s="459"/>
    </row>
    <row r="67" spans="1:17" ht="15.75" thickTop="1">
      <c r="A67" s="489"/>
      <c r="B67" s="501" t="s">
        <v>2376</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5"/>
      <c r="Q67" s="459"/>
    </row>
    <row r="68" spans="1:17" ht="15">
      <c r="A68" s="489"/>
      <c r="B68" s="503"/>
      <c r="C68" s="504"/>
      <c r="D68" s="504"/>
      <c r="E68" s="504"/>
      <c r="F68" s="504"/>
      <c r="G68" s="504"/>
      <c r="H68" s="504"/>
      <c r="I68" s="504"/>
      <c r="J68" s="504"/>
      <c r="K68" s="505"/>
      <c r="L68" s="506"/>
      <c r="M68" s="507"/>
      <c r="N68" s="1062"/>
      <c r="O68" s="1062"/>
      <c r="P68" s="2105"/>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5"/>
      <c r="Q69" s="459"/>
    </row>
    <row r="70" spans="1:17" s="428" customFormat="1" ht="15.75" thickTop="1">
      <c r="A70" s="508"/>
      <c r="B70" s="493">
        <f>B12</f>
        <v>111</v>
      </c>
      <c r="C70" s="509"/>
      <c r="D70" s="509"/>
      <c r="E70" s="509"/>
      <c r="F70" s="509"/>
      <c r="G70" s="509"/>
      <c r="H70" s="510"/>
      <c r="I70" s="510"/>
      <c r="J70" s="510"/>
      <c r="K70" s="510"/>
      <c r="L70" s="511"/>
      <c r="M70" s="512"/>
      <c r="N70" s="1064"/>
      <c r="O70" s="1064"/>
      <c r="P70" s="2106"/>
      <c r="Q70" s="514"/>
    </row>
    <row r="71" spans="1:17" s="428" customFormat="1" ht="15.75" thickBot="1">
      <c r="A71" s="508"/>
      <c r="B71" s="498"/>
      <c r="C71" s="515"/>
      <c r="D71" s="491"/>
      <c r="E71" s="491"/>
      <c r="F71" s="491"/>
      <c r="G71" s="491"/>
      <c r="H71" s="491"/>
      <c r="I71" s="491"/>
      <c r="J71" s="491"/>
      <c r="K71" s="491"/>
      <c r="L71" s="491"/>
      <c r="M71" s="492"/>
      <c r="N71" s="1063"/>
      <c r="O71" s="1063"/>
      <c r="P71" s="2106"/>
      <c r="Q71" s="514"/>
    </row>
    <row r="72" spans="1:17" s="428" customFormat="1" ht="15.75" thickTop="1">
      <c r="A72" s="508"/>
      <c r="B72" s="493">
        <f>B13</f>
        <v>111</v>
      </c>
      <c r="C72" s="509"/>
      <c r="D72" s="509"/>
      <c r="E72" s="509"/>
      <c r="F72" s="509"/>
      <c r="G72" s="509"/>
      <c r="H72" s="510"/>
      <c r="I72" s="510"/>
      <c r="J72" s="510"/>
      <c r="K72" s="510"/>
      <c r="L72" s="511"/>
      <c r="M72" s="512"/>
      <c r="N72" s="1064"/>
      <c r="O72" s="1064"/>
      <c r="P72" s="2107"/>
      <c r="Q72" s="516"/>
    </row>
    <row r="73" spans="1:17" s="428" customFormat="1" ht="15.75" thickBot="1">
      <c r="A73" s="508"/>
      <c r="B73" s="498"/>
      <c r="C73" s="515"/>
      <c r="D73" s="515"/>
      <c r="E73" s="515"/>
      <c r="F73" s="515"/>
      <c r="G73" s="515"/>
      <c r="H73" s="517"/>
      <c r="I73" s="517"/>
      <c r="J73" s="517"/>
      <c r="K73" s="517"/>
      <c r="L73" s="517"/>
      <c r="M73" s="518"/>
      <c r="N73" s="1064"/>
      <c r="O73" s="1064"/>
      <c r="P73" s="2106"/>
      <c r="Q73" s="514"/>
    </row>
    <row r="74" spans="1:17" s="428" customFormat="1" ht="15.75" thickTop="1">
      <c r="A74" s="508"/>
      <c r="B74" s="501">
        <f>B14</f>
        <v>111</v>
      </c>
      <c r="C74" s="509"/>
      <c r="D74" s="509"/>
      <c r="E74" s="509"/>
      <c r="F74" s="509"/>
      <c r="G74" s="478"/>
      <c r="H74" s="519"/>
      <c r="I74" s="519"/>
      <c r="J74" s="519"/>
      <c r="K74" s="519"/>
      <c r="L74" s="520"/>
      <c r="M74" s="521"/>
      <c r="N74" s="1064"/>
      <c r="O74" s="1064"/>
      <c r="P74" s="2108"/>
      <c r="Q74" s="514"/>
    </row>
    <row r="75" spans="1:17" s="428" customFormat="1" ht="15.75" thickBot="1">
      <c r="A75" s="523"/>
      <c r="B75" s="524"/>
      <c r="C75" s="525"/>
      <c r="D75" s="525"/>
      <c r="E75" s="525"/>
      <c r="F75" s="525"/>
      <c r="G75" s="525"/>
      <c r="H75" s="526"/>
      <c r="I75" s="526"/>
      <c r="J75" s="526"/>
      <c r="K75" s="526"/>
      <c r="L75" s="526"/>
      <c r="M75" s="527"/>
      <c r="N75" s="1064"/>
      <c r="O75" s="1064"/>
      <c r="P75" s="2106"/>
      <c r="Q75" s="514"/>
    </row>
    <row r="76" spans="1:17">
      <c r="A76" s="482" t="s">
        <v>2377</v>
      </c>
      <c r="B76" s="483" t="s">
        <v>2414</v>
      </c>
      <c r="C76" s="528" t="s">
        <v>2415</v>
      </c>
      <c r="D76" s="528" t="s">
        <v>2416</v>
      </c>
      <c r="E76" s="528" t="s">
        <v>2417</v>
      </c>
      <c r="F76" s="528" t="s">
        <v>2418</v>
      </c>
      <c r="G76" s="528" t="s">
        <v>2419</v>
      </c>
      <c r="H76" s="484"/>
      <c r="I76" s="484"/>
      <c r="J76" s="484"/>
      <c r="K76" s="529"/>
      <c r="L76" s="530"/>
      <c r="M76" s="531"/>
      <c r="N76" s="1062"/>
      <c r="O76" s="1062"/>
      <c r="P76" s="2109"/>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5"/>
      <c r="Q77" s="459"/>
    </row>
    <row r="78" spans="1:17" ht="15.75" thickTop="1">
      <c r="A78" s="489"/>
      <c r="B78" s="493" t="s">
        <v>2420</v>
      </c>
      <c r="C78" s="533" t="s">
        <v>2415</v>
      </c>
      <c r="D78" s="533" t="s">
        <v>2416</v>
      </c>
      <c r="E78" s="533" t="s">
        <v>2417</v>
      </c>
      <c r="F78" s="533" t="s">
        <v>2418</v>
      </c>
      <c r="G78" s="533" t="s">
        <v>2419</v>
      </c>
      <c r="H78" s="494"/>
      <c r="I78" s="494"/>
      <c r="J78" s="494"/>
      <c r="K78" s="495"/>
      <c r="L78" s="496"/>
      <c r="M78" s="497"/>
      <c r="N78" s="1062"/>
      <c r="O78" s="1062"/>
      <c r="P78" s="2105"/>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5"/>
      <c r="Q79" s="459"/>
    </row>
    <row r="80" spans="1:17" ht="15.75" thickTop="1">
      <c r="A80" s="489"/>
      <c r="B80" s="493" t="s">
        <v>2421</v>
      </c>
      <c r="C80" s="533" t="s">
        <v>2415</v>
      </c>
      <c r="D80" s="533" t="s">
        <v>2416</v>
      </c>
      <c r="E80" s="533" t="s">
        <v>2417</v>
      </c>
      <c r="F80" s="533" t="s">
        <v>2418</v>
      </c>
      <c r="G80" s="533" t="s">
        <v>2419</v>
      </c>
      <c r="H80" s="494"/>
      <c r="I80" s="494"/>
      <c r="J80" s="494"/>
      <c r="K80" s="495"/>
      <c r="L80" s="496"/>
      <c r="M80" s="497"/>
      <c r="N80" s="1062"/>
      <c r="O80" s="1062"/>
      <c r="P80" s="2105"/>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5"/>
      <c r="Q81" s="459"/>
    </row>
    <row r="82" spans="1:17" ht="15.75" thickTop="1">
      <c r="A82" s="489"/>
      <c r="B82" s="501" t="s">
        <v>1946</v>
      </c>
      <c r="C82" s="494" t="s">
        <v>2422</v>
      </c>
      <c r="D82" s="494" t="s">
        <v>2423</v>
      </c>
      <c r="E82" s="494" t="s">
        <v>2424</v>
      </c>
      <c r="F82" s="494" t="s">
        <v>2425</v>
      </c>
      <c r="G82" s="494" t="s">
        <v>2426</v>
      </c>
      <c r="H82" s="494"/>
      <c r="I82" s="494"/>
      <c r="J82" s="494"/>
      <c r="K82" s="494"/>
      <c r="L82" s="494"/>
      <c r="M82" s="1289"/>
      <c r="N82" s="1063"/>
      <c r="O82" s="1063"/>
      <c r="P82" s="2105"/>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5"/>
      <c r="Q83" s="459"/>
    </row>
    <row r="84" spans="1:17" ht="15.75" thickTop="1">
      <c r="A84" s="489"/>
      <c r="B84" s="493" t="s">
        <v>2427</v>
      </c>
      <c r="C84" s="533" t="s">
        <v>2415</v>
      </c>
      <c r="D84" s="533" t="s">
        <v>2416</v>
      </c>
      <c r="E84" s="533" t="s">
        <v>2417</v>
      </c>
      <c r="F84" s="533" t="s">
        <v>2418</v>
      </c>
      <c r="G84" s="533" t="s">
        <v>2419</v>
      </c>
      <c r="H84" s="494"/>
      <c r="I84" s="494"/>
      <c r="J84" s="494"/>
      <c r="K84" s="495"/>
      <c r="L84" s="496"/>
      <c r="M84" s="497"/>
      <c r="N84" s="1062"/>
      <c r="O84" s="1062"/>
      <c r="P84" s="2105"/>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5"/>
      <c r="Q85" s="459"/>
    </row>
    <row r="86" spans="1:17" s="112" customFormat="1" ht="15.75" thickTop="1">
      <c r="A86" s="534"/>
      <c r="B86" s="493" t="s">
        <v>2428</v>
      </c>
      <c r="C86" s="509"/>
      <c r="D86" s="509"/>
      <c r="E86" s="509"/>
      <c r="F86" s="509"/>
      <c r="G86" s="509"/>
      <c r="H86" s="509"/>
      <c r="I86" s="509"/>
      <c r="J86" s="509"/>
      <c r="K86" s="509"/>
      <c r="L86" s="535"/>
      <c r="M86" s="536"/>
      <c r="N86" s="1061"/>
      <c r="O86" s="1061"/>
      <c r="P86" s="2105"/>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5"/>
      <c r="Q87" s="459"/>
    </row>
    <row r="88" spans="1:17" s="112" customFormat="1" ht="15.75" thickTop="1">
      <c r="A88" s="534"/>
      <c r="B88" s="493" t="s">
        <v>2429</v>
      </c>
      <c r="C88" s="509"/>
      <c r="D88" s="509"/>
      <c r="E88" s="509"/>
      <c r="F88" s="2110"/>
      <c r="G88" s="509"/>
      <c r="H88" s="509"/>
      <c r="I88" s="509"/>
      <c r="J88" s="509"/>
      <c r="K88" s="509"/>
      <c r="L88" s="509"/>
      <c r="M88" s="536"/>
      <c r="N88" s="1061"/>
      <c r="O88" s="1061"/>
      <c r="P88" s="2105"/>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5"/>
      <c r="Q89" s="459"/>
    </row>
    <row r="90" spans="1:17" s="428" customFormat="1" ht="15.75" thickTop="1">
      <c r="A90" s="508"/>
      <c r="B90" s="493">
        <f>B27</f>
        <v>111</v>
      </c>
      <c r="C90" s="509"/>
      <c r="D90" s="509"/>
      <c r="E90" s="509"/>
      <c r="F90" s="509"/>
      <c r="G90" s="509"/>
      <c r="H90" s="510"/>
      <c r="I90" s="510"/>
      <c r="J90" s="510"/>
      <c r="K90" s="510"/>
      <c r="L90" s="511"/>
      <c r="M90" s="512"/>
      <c r="N90" s="1064"/>
      <c r="O90" s="1064"/>
      <c r="P90" s="2106"/>
      <c r="Q90" s="514"/>
    </row>
    <row r="91" spans="1:17" s="428" customFormat="1" ht="15.75" thickBot="1">
      <c r="A91" s="508"/>
      <c r="B91" s="498"/>
      <c r="C91" s="515"/>
      <c r="D91" s="515"/>
      <c r="E91" s="515"/>
      <c r="F91" s="515"/>
      <c r="G91" s="515"/>
      <c r="H91" s="517"/>
      <c r="I91" s="517"/>
      <c r="J91" s="517"/>
      <c r="K91" s="517"/>
      <c r="L91" s="517"/>
      <c r="M91" s="518"/>
      <c r="N91" s="1064"/>
      <c r="O91" s="1064"/>
      <c r="P91" s="2106"/>
      <c r="Q91" s="514"/>
    </row>
    <row r="92" spans="1:17" ht="15.75" thickTop="1">
      <c r="A92" s="489"/>
      <c r="B92" s="493">
        <f>B28</f>
        <v>111</v>
      </c>
      <c r="C92" s="509"/>
      <c r="D92" s="509"/>
      <c r="E92" s="509"/>
      <c r="F92" s="509"/>
      <c r="G92" s="538"/>
      <c r="H92" s="538"/>
      <c r="I92" s="538"/>
      <c r="J92" s="538"/>
      <c r="K92" s="539"/>
      <c r="L92" s="540"/>
      <c r="M92" s="541"/>
      <c r="N92" s="1062"/>
      <c r="O92" s="1062"/>
      <c r="P92" s="2105"/>
      <c r="Q92" s="459"/>
    </row>
    <row r="93" spans="1:17" ht="15.75" thickBot="1">
      <c r="A93" s="489"/>
      <c r="B93" s="498"/>
      <c r="C93" s="515"/>
      <c r="D93" s="491"/>
      <c r="E93" s="491"/>
      <c r="F93" s="491"/>
      <c r="G93" s="491"/>
      <c r="H93" s="491"/>
      <c r="I93" s="491"/>
      <c r="J93" s="491"/>
      <c r="K93" s="491"/>
      <c r="L93" s="491"/>
      <c r="M93" s="492"/>
      <c r="N93" s="1063"/>
      <c r="O93" s="1063"/>
      <c r="P93" s="2105"/>
      <c r="Q93" s="459"/>
    </row>
    <row r="94" spans="1:17" ht="15.75" thickTop="1">
      <c r="A94" s="489"/>
      <c r="B94" s="493">
        <f>B29</f>
        <v>111</v>
      </c>
      <c r="C94" s="509"/>
      <c r="D94" s="509"/>
      <c r="E94" s="509"/>
      <c r="F94" s="509"/>
      <c r="G94" s="538"/>
      <c r="H94" s="538"/>
      <c r="I94" s="538"/>
      <c r="J94" s="538"/>
      <c r="K94" s="539"/>
      <c r="L94" s="540"/>
      <c r="M94" s="541"/>
      <c r="N94" s="1062"/>
      <c r="O94" s="1062"/>
      <c r="P94" s="2105"/>
      <c r="Q94" s="459"/>
    </row>
    <row r="95" spans="1:17" ht="15.75" thickBot="1">
      <c r="A95" s="489"/>
      <c r="B95" s="498"/>
      <c r="C95" s="515"/>
      <c r="D95" s="515"/>
      <c r="E95" s="515"/>
      <c r="F95" s="515"/>
      <c r="G95" s="491"/>
      <c r="H95" s="491"/>
      <c r="I95" s="491"/>
      <c r="J95" s="491"/>
      <c r="K95" s="491"/>
      <c r="L95" s="491"/>
      <c r="M95" s="492"/>
      <c r="N95" s="1063"/>
      <c r="O95" s="1063"/>
      <c r="P95" s="2105"/>
      <c r="Q95" s="459"/>
    </row>
    <row r="96" spans="1:17" ht="15.75" thickTop="1">
      <c r="A96" s="489"/>
      <c r="B96" s="493">
        <f>B30</f>
        <v>111</v>
      </c>
      <c r="C96" s="509"/>
      <c r="D96" s="509"/>
      <c r="E96" s="509"/>
      <c r="F96" s="509"/>
      <c r="G96" s="538"/>
      <c r="H96" s="538"/>
      <c r="I96" s="538"/>
      <c r="J96" s="538"/>
      <c r="K96" s="539"/>
      <c r="L96" s="540"/>
      <c r="M96" s="541"/>
      <c r="N96" s="1062"/>
      <c r="O96" s="1062"/>
      <c r="P96" s="2105"/>
      <c r="Q96" s="459"/>
    </row>
    <row r="97" spans="1:17" ht="15.75" thickBot="1">
      <c r="A97" s="489"/>
      <c r="B97" s="498"/>
      <c r="C97" s="525"/>
      <c r="D97" s="525"/>
      <c r="E97" s="525"/>
      <c r="F97" s="525"/>
      <c r="G97" s="491"/>
      <c r="H97" s="491"/>
      <c r="I97" s="491"/>
      <c r="J97" s="491"/>
      <c r="K97" s="491"/>
      <c r="L97" s="491"/>
      <c r="M97" s="492"/>
      <c r="N97" s="1063"/>
      <c r="O97" s="1063"/>
      <c r="P97" s="2105"/>
      <c r="Q97" s="459"/>
    </row>
    <row r="98" spans="1:17" ht="15.75" thickTop="1">
      <c r="A98" s="489"/>
      <c r="B98" s="501">
        <f>B31</f>
        <v>111</v>
      </c>
      <c r="C98" s="542"/>
      <c r="D98" s="542"/>
      <c r="E98" s="542"/>
      <c r="F98" s="542"/>
      <c r="G98" s="542"/>
      <c r="H98" s="542"/>
      <c r="I98" s="542"/>
      <c r="J98" s="542"/>
      <c r="K98" s="543"/>
      <c r="L98" s="544"/>
      <c r="M98" s="545"/>
      <c r="N98" s="1062"/>
      <c r="O98" s="1062"/>
      <c r="P98" s="2105"/>
      <c r="Q98" s="459"/>
    </row>
    <row r="99" spans="1:17" ht="15.75" thickBot="1">
      <c r="A99" s="2111"/>
      <c r="B99" s="524"/>
      <c r="C99" s="546"/>
      <c r="D99" s="546"/>
      <c r="E99" s="546"/>
      <c r="F99" s="546"/>
      <c r="G99" s="546"/>
      <c r="H99" s="546"/>
      <c r="I99" s="546"/>
      <c r="J99" s="546"/>
      <c r="K99" s="546"/>
      <c r="L99" s="546"/>
      <c r="M99" s="547"/>
      <c r="N99" s="1063"/>
      <c r="O99" s="1063"/>
      <c r="P99" s="2105"/>
      <c r="Q99" s="459"/>
    </row>
    <row r="100" spans="1:17">
      <c r="A100" s="482" t="s">
        <v>2381</v>
      </c>
      <c r="B100" s="483" t="s">
        <v>2430</v>
      </c>
      <c r="C100" s="485"/>
      <c r="D100" s="485"/>
      <c r="E100" s="485"/>
      <c r="F100" s="485"/>
      <c r="G100" s="485"/>
      <c r="H100" s="485"/>
      <c r="I100" s="485"/>
      <c r="J100" s="485"/>
      <c r="K100" s="486"/>
      <c r="L100" s="487"/>
      <c r="M100" s="488"/>
      <c r="N100" s="1062"/>
      <c r="O100" s="1062"/>
      <c r="P100" s="2105"/>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5"/>
      <c r="Q101" s="459"/>
    </row>
    <row r="102" spans="1:17" ht="15.75" thickTop="1">
      <c r="A102" s="489"/>
      <c r="B102" s="493" t="s">
        <v>2431</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5"/>
      <c r="Q102" s="459"/>
    </row>
    <row r="103" spans="1:17" s="428" customFormat="1">
      <c r="A103" s="548"/>
      <c r="B103" s="549"/>
      <c r="C103" s="550"/>
      <c r="D103" s="550"/>
      <c r="E103" s="550"/>
      <c r="F103" s="550"/>
      <c r="G103" s="550"/>
      <c r="H103" s="550"/>
      <c r="I103" s="550"/>
      <c r="J103" s="551"/>
      <c r="K103" s="551"/>
      <c r="L103" s="552"/>
      <c r="M103" s="553"/>
      <c r="N103" s="1064"/>
      <c r="O103" s="1064"/>
      <c r="P103" s="2106"/>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6"/>
      <c r="Q104" s="514"/>
    </row>
    <row r="105" spans="1:17" ht="15" thickTop="1">
      <c r="A105" s="554"/>
      <c r="B105" s="493" t="s">
        <v>2432</v>
      </c>
      <c r="C105" s="509"/>
      <c r="D105" s="509"/>
      <c r="E105" s="538"/>
      <c r="F105" s="538"/>
      <c r="G105" s="538"/>
      <c r="H105" s="538"/>
      <c r="I105" s="538"/>
      <c r="J105" s="538"/>
      <c r="K105" s="539"/>
      <c r="L105" s="540"/>
      <c r="M105" s="541"/>
      <c r="N105" s="1062"/>
      <c r="O105" s="1062"/>
      <c r="P105" s="2105"/>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5"/>
      <c r="Q106" s="459"/>
    </row>
    <row r="107" spans="1:17" ht="15" thickTop="1">
      <c r="A107" s="554"/>
      <c r="B107" s="493" t="s">
        <v>2433</v>
      </c>
      <c r="C107" s="538"/>
      <c r="D107" s="538"/>
      <c r="E107" s="538"/>
      <c r="F107" s="538"/>
      <c r="G107" s="538"/>
      <c r="H107" s="538"/>
      <c r="I107" s="538"/>
      <c r="J107" s="538"/>
      <c r="K107" s="539"/>
      <c r="L107" s="540"/>
      <c r="M107" s="541"/>
      <c r="N107" s="1062"/>
      <c r="O107" s="1062"/>
      <c r="P107" s="2105"/>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5"/>
      <c r="Q108" s="459"/>
    </row>
    <row r="109" spans="1:17" ht="15" thickTop="1">
      <c r="A109" s="554"/>
      <c r="B109" s="493" t="s">
        <v>2434</v>
      </c>
      <c r="C109" s="509"/>
      <c r="D109" s="509"/>
      <c r="E109" s="509"/>
      <c r="F109" s="538"/>
      <c r="G109" s="538"/>
      <c r="H109" s="538"/>
      <c r="I109" s="538"/>
      <c r="J109" s="538"/>
      <c r="K109" s="539"/>
      <c r="L109" s="540"/>
      <c r="M109" s="541"/>
      <c r="N109" s="1062"/>
      <c r="O109" s="1062"/>
      <c r="P109" s="2105"/>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5"/>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6"/>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6"/>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6"/>
      <c r="Q113" s="514"/>
    </row>
    <row r="114" spans="1:17" ht="15" thickTop="1">
      <c r="A114" s="554"/>
      <c r="B114" s="493" t="s">
        <v>2435</v>
      </c>
      <c r="C114" s="509"/>
      <c r="D114" s="509"/>
      <c r="E114" s="538"/>
      <c r="F114" s="538"/>
      <c r="G114" s="538"/>
      <c r="H114" s="538"/>
      <c r="I114" s="538"/>
      <c r="J114" s="538"/>
      <c r="K114" s="539"/>
      <c r="L114" s="540"/>
      <c r="M114" s="541"/>
      <c r="N114" s="1062"/>
      <c r="O114" s="1062"/>
      <c r="P114" s="2105"/>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5"/>
      <c r="Q115" s="459"/>
    </row>
    <row r="116" spans="1:17" ht="15" thickTop="1">
      <c r="A116" s="554"/>
      <c r="B116" s="493" t="s">
        <v>2436</v>
      </c>
      <c r="C116" s="509"/>
      <c r="D116" s="509"/>
      <c r="E116" s="509"/>
      <c r="F116" s="509"/>
      <c r="G116" s="509"/>
      <c r="H116" s="538"/>
      <c r="I116" s="538"/>
      <c r="J116" s="538"/>
      <c r="K116" s="539"/>
      <c r="L116" s="540"/>
      <c r="M116" s="541"/>
      <c r="N116" s="1062"/>
      <c r="O116" s="1062"/>
      <c r="P116" s="2105"/>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5"/>
      <c r="Q117" s="459"/>
    </row>
    <row r="118" spans="1:17" ht="15" thickTop="1">
      <c r="A118" s="554"/>
      <c r="B118" s="493" t="s">
        <v>2437</v>
      </c>
      <c r="C118" s="538"/>
      <c r="D118" s="538"/>
      <c r="E118" s="538"/>
      <c r="F118" s="538"/>
      <c r="G118" s="538"/>
      <c r="H118" s="538"/>
      <c r="I118" s="538"/>
      <c r="J118" s="538"/>
      <c r="K118" s="539"/>
      <c r="L118" s="540"/>
      <c r="M118" s="541"/>
      <c r="N118" s="1062"/>
      <c r="O118" s="1062"/>
      <c r="P118" s="2105"/>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5"/>
      <c r="Q119" s="459"/>
    </row>
    <row r="120" spans="1:17" s="428" customFormat="1" ht="28.5" thickTop="1">
      <c r="A120" s="548"/>
      <c r="B120" s="493" t="s">
        <v>2392</v>
      </c>
      <c r="C120" s="509"/>
      <c r="D120" s="509"/>
      <c r="E120" s="509"/>
      <c r="F120" s="509"/>
      <c r="G120" s="509"/>
      <c r="H120" s="509"/>
      <c r="I120" s="509"/>
      <c r="J120" s="509"/>
      <c r="K120" s="509"/>
      <c r="L120" s="535"/>
      <c r="M120" s="536"/>
      <c r="N120" s="1064"/>
      <c r="O120" s="1064"/>
      <c r="P120" s="2106"/>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6"/>
      <c r="Q121" s="514"/>
    </row>
    <row r="122" spans="1:17" ht="15" thickTop="1">
      <c r="A122" s="554"/>
      <c r="B122" s="493" t="s">
        <v>2438</v>
      </c>
      <c r="C122" s="509"/>
      <c r="D122" s="509"/>
      <c r="E122" s="509"/>
      <c r="F122" s="538"/>
      <c r="G122" s="538"/>
      <c r="H122" s="538"/>
      <c r="I122" s="538"/>
      <c r="J122" s="538"/>
      <c r="K122" s="539"/>
      <c r="L122" s="540"/>
      <c r="M122" s="541"/>
      <c r="N122" s="1062"/>
      <c r="O122" s="1062"/>
      <c r="P122" s="2105"/>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5"/>
      <c r="Q123" s="459"/>
    </row>
    <row r="124" spans="1:17" ht="15" thickTop="1">
      <c r="A124" s="554"/>
      <c r="B124" s="493" t="s">
        <v>2439</v>
      </c>
      <c r="C124" s="533" t="s">
        <v>2415</v>
      </c>
      <c r="D124" s="533" t="s">
        <v>2416</v>
      </c>
      <c r="E124" s="533" t="s">
        <v>2417</v>
      </c>
      <c r="F124" s="533" t="s">
        <v>2418</v>
      </c>
      <c r="G124" s="533" t="s">
        <v>2419</v>
      </c>
      <c r="H124" s="494"/>
      <c r="I124" s="494"/>
      <c r="J124" s="494"/>
      <c r="K124" s="495"/>
      <c r="L124" s="496"/>
      <c r="M124" s="497"/>
      <c r="N124" s="1062"/>
      <c r="O124" s="1062"/>
      <c r="P124" s="2106"/>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5"/>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6"/>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6"/>
      <c r="Q127" s="514"/>
    </row>
    <row r="128" spans="1:17" ht="15" thickTop="1">
      <c r="A128" s="554"/>
      <c r="B128" s="493">
        <f>B45</f>
        <v>111</v>
      </c>
      <c r="C128" s="509"/>
      <c r="D128" s="509"/>
      <c r="E128" s="509"/>
      <c r="F128" s="509"/>
      <c r="G128" s="538"/>
      <c r="H128" s="538"/>
      <c r="I128" s="538"/>
      <c r="J128" s="538"/>
      <c r="K128" s="539"/>
      <c r="L128" s="540"/>
      <c r="M128" s="541"/>
      <c r="N128" s="1062"/>
      <c r="O128" s="1062"/>
      <c r="P128" s="2105"/>
      <c r="Q128" s="459"/>
    </row>
    <row r="129" spans="1:17" ht="15.75" thickBot="1">
      <c r="A129" s="489"/>
      <c r="B129" s="498"/>
      <c r="C129" s="515"/>
      <c r="D129" s="515"/>
      <c r="E129" s="515"/>
      <c r="F129" s="515"/>
      <c r="G129" s="491"/>
      <c r="H129" s="491"/>
      <c r="I129" s="491"/>
      <c r="J129" s="491"/>
      <c r="K129" s="491"/>
      <c r="L129" s="491"/>
      <c r="M129" s="492"/>
      <c r="N129" s="1063"/>
      <c r="O129" s="1063"/>
      <c r="P129" s="2105"/>
      <c r="Q129" s="459"/>
    </row>
    <row r="130" spans="1:17" ht="15" thickTop="1">
      <c r="A130" s="554"/>
      <c r="B130" s="501">
        <f>B46</f>
        <v>111</v>
      </c>
      <c r="C130" s="509"/>
      <c r="D130" s="509"/>
      <c r="E130" s="509"/>
      <c r="F130" s="509"/>
      <c r="G130" s="542"/>
      <c r="H130" s="542"/>
      <c r="I130" s="542"/>
      <c r="J130" s="542"/>
      <c r="K130" s="478"/>
      <c r="L130" s="479"/>
      <c r="M130" s="545"/>
      <c r="N130" s="1062"/>
      <c r="O130" s="1062"/>
      <c r="P130" s="2105"/>
      <c r="Q130" s="459"/>
    </row>
    <row r="131" spans="1:17" ht="15.75" thickBot="1">
      <c r="A131" s="2111"/>
      <c r="B131" s="524"/>
      <c r="C131" s="525"/>
      <c r="D131" s="525"/>
      <c r="E131" s="525"/>
      <c r="F131" s="525"/>
      <c r="G131" s="546"/>
      <c r="H131" s="546"/>
      <c r="I131" s="546"/>
      <c r="J131" s="546"/>
      <c r="K131" s="546"/>
      <c r="L131" s="546"/>
      <c r="M131" s="547"/>
      <c r="N131" s="1063"/>
      <c r="O131" s="1063"/>
      <c r="P131" s="2105"/>
      <c r="Q131" s="459"/>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40" t="s">
        <v>2443</v>
      </c>
      <c r="D138" s="140" t="s">
        <v>2444</v>
      </c>
      <c r="E138" s="2120" t="s">
        <v>2445</v>
      </c>
      <c r="F138" s="2121" t="s">
        <v>2446</v>
      </c>
      <c r="G138" s="140" t="s">
        <v>2444</v>
      </c>
      <c r="H138" s="141" t="s">
        <v>2445</v>
      </c>
      <c r="I138" s="2122"/>
      <c r="J138" s="140" t="s">
        <v>2447</v>
      </c>
      <c r="K138" s="141" t="s">
        <v>2448</v>
      </c>
    </row>
    <row r="139" spans="1:17" ht="15">
      <c r="B139" s="996">
        <v>6</v>
      </c>
      <c r="C139" s="997">
        <v>96</v>
      </c>
      <c r="D139" s="2123" t="s">
        <v>2449</v>
      </c>
      <c r="E139" s="998">
        <v>100</v>
      </c>
      <c r="F139" s="999">
        <v>102.5</v>
      </c>
      <c r="G139" s="2123" t="s">
        <v>2449</v>
      </c>
      <c r="H139" s="1000">
        <v>105</v>
      </c>
      <c r="I139" s="2124" t="s">
        <v>2450</v>
      </c>
      <c r="J139" s="997">
        <v>20</v>
      </c>
      <c r="K139" s="1001">
        <f>C145/(J139-2)</f>
        <v>4.0555555555555553E-3</v>
      </c>
    </row>
    <row r="140" spans="1:17" ht="15">
      <c r="B140" s="1002">
        <v>5</v>
      </c>
      <c r="C140" s="1003">
        <v>100</v>
      </c>
      <c r="D140" s="1003"/>
      <c r="E140" s="1004"/>
      <c r="F140" s="1005">
        <v>102</v>
      </c>
      <c r="G140" s="1003"/>
      <c r="H140" s="1006"/>
      <c r="I140" s="2125" t="s">
        <v>2451</v>
      </c>
      <c r="J140" s="275">
        <f>ROUNDUP((J139-1)/2,0)</f>
        <v>10</v>
      </c>
      <c r="K140" s="1007">
        <v>100</v>
      </c>
    </row>
    <row r="141" spans="1:17" ht="15">
      <c r="B141" s="1002">
        <v>4</v>
      </c>
      <c r="C141" s="1003">
        <v>102</v>
      </c>
      <c r="D141" s="1003"/>
      <c r="E141" s="1004"/>
      <c r="F141" s="1005">
        <v>101.5</v>
      </c>
      <c r="G141" s="1003"/>
      <c r="H141" s="1006"/>
      <c r="I141" s="2125" t="s">
        <v>2452</v>
      </c>
      <c r="J141" s="275">
        <v>1</v>
      </c>
      <c r="K141" s="1008">
        <f>ROUND(100+(J141-J140)*K139*100,1)</f>
        <v>96.4</v>
      </c>
    </row>
    <row r="142" spans="1:17" ht="15">
      <c r="B142" s="1002">
        <v>3</v>
      </c>
      <c r="C142" s="1003">
        <v>103</v>
      </c>
      <c r="D142" s="1003"/>
      <c r="E142" s="1004"/>
      <c r="F142" s="1005">
        <v>101</v>
      </c>
      <c r="G142" s="1003"/>
      <c r="H142" s="1006"/>
      <c r="I142" s="2125" t="s">
        <v>2453</v>
      </c>
      <c r="J142" s="275">
        <f>J139</f>
        <v>20</v>
      </c>
      <c r="K142" s="1009">
        <v>95</v>
      </c>
    </row>
    <row r="143" spans="1:17" ht="15">
      <c r="B143" s="1002">
        <v>2</v>
      </c>
      <c r="C143" s="1003">
        <v>100</v>
      </c>
      <c r="D143" s="1003"/>
      <c r="E143" s="1004"/>
      <c r="F143" s="1005">
        <v>100.5</v>
      </c>
      <c r="G143" s="1003"/>
      <c r="H143" s="1006"/>
      <c r="I143" s="2125" t="s">
        <v>2454</v>
      </c>
      <c r="J143" s="1003">
        <v>15</v>
      </c>
      <c r="K143" s="1008">
        <f>ROUND(100+(J143-J140)*K139*100,1)</f>
        <v>102</v>
      </c>
    </row>
    <row r="144" spans="1:17" ht="15">
      <c r="B144" s="1002">
        <v>1</v>
      </c>
      <c r="C144" s="1003">
        <v>98</v>
      </c>
      <c r="D144" s="2126" t="s">
        <v>2455</v>
      </c>
      <c r="E144" s="1004">
        <v>102</v>
      </c>
      <c r="F144" s="1010">
        <v>100</v>
      </c>
      <c r="G144" s="2126" t="s">
        <v>2455</v>
      </c>
      <c r="H144" s="1006">
        <v>105</v>
      </c>
      <c r="I144" s="2125" t="s">
        <v>2454</v>
      </c>
      <c r="J144" s="1003">
        <v>18</v>
      </c>
      <c r="K144" s="1008">
        <f>ROUND(100+(J144-J140)*K139*100,1)</f>
        <v>103.2</v>
      </c>
    </row>
    <row r="145" spans="2:11" ht="15.75" thickBot="1">
      <c r="B145" s="2127" t="s">
        <v>2456</v>
      </c>
      <c r="C145" s="1011">
        <f>ROUND(MAX(C139:C144)/MIN(C139:C144)-1,3)</f>
        <v>7.2999999999999995E-2</v>
      </c>
      <c r="D145" s="1012"/>
      <c r="E145" s="1012"/>
      <c r="F145" s="2128" t="s">
        <v>2457</v>
      </c>
      <c r="G145" s="2129"/>
      <c r="H145" s="2130"/>
      <c r="I145" s="2131" t="s">
        <v>2454</v>
      </c>
      <c r="J145" s="1013">
        <v>8</v>
      </c>
      <c r="K145" s="1014">
        <f>ROUND(100+(J145-J140)*K139*100,1)</f>
        <v>99.2</v>
      </c>
    </row>
    <row r="147" spans="2:11">
      <c r="B147" s="2112" t="s">
        <v>2458</v>
      </c>
    </row>
    <row r="148" spans="2:11">
      <c r="B148" s="211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北京博豪新创文化发展有限公司：</v>
      </c>
    </row>
    <row r="4" spans="1:1" ht="36">
      <c r="A4" s="1663" t="str">
        <f>"受贵公司委托，我公司对"&amp;项目基本情况!S1&amp;"进行了预评估。"</f>
        <v>受贵公司委托，我公司对北京市大兴区西红门镇3号地块内“星光影视园·北区”项目B5组团B5-1办公楼等6幢办公用房房地产抵押价值进行了预评估。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块内“星光影视园·北区”项目B5组团B5-1办公楼等6幢办公用房房地产，为北京博豪新创文化发展有限公司所有。根据《国有土地使用证》[]，估价对象（分摊）出让国有建设用地使用权面积为8832.8平方米，建筑面积为11601.22平方米。</v>
      </c>
    </row>
    <row r="8" spans="1:1" ht="57.75">
      <c r="A8" s="1666" t="s">
        <v>1579</v>
      </c>
    </row>
    <row r="9" spans="1:1" ht="18.75">
      <c r="A9" s="1665" t="s">
        <v>1580</v>
      </c>
    </row>
    <row r="10" spans="1:1" ht="90">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块内“星光影视园·北区”项目B5组团B5-1办公楼等6幢办公用房房地产,属北京博豪新创文化发展有限公司开发建设的商业项目，该项目尚在开发建设中。根据《国有土地使用证》[]，估价对象（分摊）出让国有建设用地使用权面积为8832.8平方米，规划建筑面积为11601.22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为估价委托人在向华夏银行股份有限公司北京大兴支行办理贷款手续过程中，确定房地产抵押贷款额度提供参考依据而评估房地产抵押价值。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2021年4月13日（评估专业人员实地查勘之日）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办公，土地取得方式为出让，出让国有建设用地使用权剩余土地使用年限为办公，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办公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2346</v>
      </c>
      <c r="B1" s="2061" t="s">
        <v>2460</v>
      </c>
      <c r="C1" s="1403" t="s">
        <v>2348</v>
      </c>
      <c r="D1" s="1390"/>
      <c r="E1" s="2540"/>
      <c r="F1" s="2062"/>
      <c r="G1" s="1400" t="s">
        <v>2461</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6" customFormat="1" ht="28.5" customHeight="1" thickTop="1">
      <c r="A2" s="1386" t="s">
        <v>2145</v>
      </c>
      <c r="B2" s="1324" t="e">
        <f ca="1">IF(C2="——",ROUND(C49*D3/10000,0),ROUND(C49*D3/10000,0)-D2)</f>
        <v>#DIV/0!</v>
      </c>
      <c r="C2" s="2064"/>
      <c r="D2" s="1273" t="e">
        <f ca="1">SUMIF(INDIRECT("'"&amp;F2&amp;"'"&amp;"!A:A"),"承租人权益价值",INDIRECT("'"&amp;F2&amp;"'"&amp;"!c:c"))</f>
        <v>#REF!</v>
      </c>
      <c r="E2" s="2065" t="s">
        <v>2146</v>
      </c>
      <c r="F2" s="2066"/>
      <c r="G2" s="1037"/>
      <c r="H2" s="1037"/>
      <c r="I2" s="1037"/>
      <c r="J2" s="1037"/>
      <c r="K2" s="1037"/>
      <c r="L2" s="2957"/>
      <c r="M2" s="2958"/>
      <c r="N2" s="2958"/>
      <c r="O2" s="2958"/>
      <c r="P2" s="2135"/>
      <c r="Q2" s="1041"/>
      <c r="R2" s="1041"/>
      <c r="S2" s="1041"/>
      <c r="T2" s="1041"/>
      <c r="U2" s="1041"/>
      <c r="V2" s="1041"/>
      <c r="W2" s="1041"/>
      <c r="X2" s="1041"/>
      <c r="Y2" s="1041"/>
      <c r="Z2" s="1041"/>
      <c r="AA2" s="1041"/>
      <c r="AB2" s="1041"/>
      <c r="AC2" s="2136"/>
    </row>
    <row r="3" spans="1:29" s="356" customFormat="1" ht="28.5" customHeight="1" thickBot="1">
      <c r="A3" s="207" t="s">
        <v>2147</v>
      </c>
      <c r="B3" s="564" t="e">
        <f ca="1">IF(C2="——",C49,ROUND(B2*10000/D3,0))</f>
        <v>#DIV/0!</v>
      </c>
      <c r="C3" s="358" t="s">
        <v>2462</v>
      </c>
      <c r="D3" s="357">
        <f>IF(D1="",'数据-汇总表'!E3,SUMIF('数据-汇总表'!$C19:$C33,D1,'数据-汇总表'!$E19:$E33))</f>
        <v>11601.220000000001</v>
      </c>
      <c r="E3" s="2137"/>
      <c r="F3" s="1038"/>
      <c r="G3" s="1037"/>
      <c r="H3" s="1037"/>
      <c r="I3" s="1037"/>
      <c r="J3" s="1037"/>
      <c r="K3" s="1039"/>
      <c r="L3" s="2957"/>
      <c r="M3" s="2958"/>
      <c r="N3" s="2958"/>
      <c r="O3" s="2958"/>
      <c r="P3" s="2135"/>
      <c r="Q3" s="1041"/>
      <c r="R3" s="1041"/>
      <c r="S3" s="1041"/>
      <c r="T3" s="1041"/>
      <c r="U3" s="1041"/>
      <c r="V3" s="1041"/>
      <c r="W3" s="1041"/>
      <c r="X3" s="1041"/>
      <c r="Y3" s="1041"/>
      <c r="Z3" s="1041"/>
      <c r="AA3" s="1041"/>
      <c r="AB3" s="1041"/>
      <c r="AC3" s="2137"/>
    </row>
    <row r="4" spans="1:29" ht="15">
      <c r="A4" s="359" t="s">
        <v>2463</v>
      </c>
      <c r="B4" s="360"/>
      <c r="C4" s="3280" t="s">
        <v>2464</v>
      </c>
      <c r="D4" s="3281"/>
      <c r="E4" s="3282" t="s">
        <v>2465</v>
      </c>
      <c r="F4" s="3283"/>
      <c r="G4" s="3280" t="s">
        <v>2466</v>
      </c>
      <c r="H4" s="3281"/>
      <c r="I4" s="3280" t="s">
        <v>2467</v>
      </c>
      <c r="J4" s="3281"/>
      <c r="K4" s="565" t="s">
        <v>2468</v>
      </c>
      <c r="L4" s="2938"/>
      <c r="M4" s="2939"/>
      <c r="N4" s="2939"/>
      <c r="O4" s="2939"/>
      <c r="P4" s="3284" t="s">
        <v>2469</v>
      </c>
      <c r="Q4" s="3285"/>
      <c r="R4" s="3267" t="s">
        <v>2465</v>
      </c>
      <c r="S4" s="3268"/>
      <c r="T4" s="3267" t="s">
        <v>2466</v>
      </c>
      <c r="U4" s="3268"/>
      <c r="V4" s="3292" t="s">
        <v>2467</v>
      </c>
      <c r="W4" s="3292"/>
      <c r="X4" s="1537"/>
      <c r="Y4" s="3267" t="s">
        <v>2469</v>
      </c>
      <c r="Z4" s="3268"/>
      <c r="AA4" s="3262" t="s">
        <v>2465</v>
      </c>
      <c r="AB4" s="3292" t="s">
        <v>2466</v>
      </c>
      <c r="AC4" s="3262" t="s">
        <v>2467</v>
      </c>
    </row>
    <row r="5" spans="1:29" ht="15">
      <c r="A5" s="362"/>
      <c r="B5" s="363"/>
      <c r="C5" s="3273" t="s">
        <v>2360</v>
      </c>
      <c r="D5" s="3274"/>
      <c r="E5" s="3271" t="s">
        <v>2361</v>
      </c>
      <c r="F5" s="3272"/>
      <c r="G5" s="3273" t="s">
        <v>2362</v>
      </c>
      <c r="H5" s="3274"/>
      <c r="I5" s="3273" t="s">
        <v>2363</v>
      </c>
      <c r="J5" s="3274"/>
      <c r="K5" s="565"/>
      <c r="L5" s="2938"/>
      <c r="M5" s="2939"/>
      <c r="N5" s="2939"/>
      <c r="O5" s="2939"/>
      <c r="P5" s="3286"/>
      <c r="Q5" s="3287"/>
      <c r="R5" s="3269"/>
      <c r="S5" s="3270"/>
      <c r="T5" s="3269"/>
      <c r="U5" s="3270"/>
      <c r="V5" s="3292"/>
      <c r="W5" s="3292"/>
      <c r="X5" s="1537"/>
      <c r="Y5" s="3269"/>
      <c r="Z5" s="3270"/>
      <c r="AA5" s="3263"/>
      <c r="AB5" s="3292"/>
      <c r="AC5" s="3263"/>
    </row>
    <row r="6" spans="1:29" ht="15.75" thickBot="1">
      <c r="A6" s="364"/>
      <c r="B6" s="365"/>
      <c r="C6" s="3275" t="s">
        <v>2364</v>
      </c>
      <c r="D6" s="3276"/>
      <c r="E6" s="3277" t="s">
        <v>2364</v>
      </c>
      <c r="F6" s="3278"/>
      <c r="G6" s="3275" t="s">
        <v>2364</v>
      </c>
      <c r="H6" s="3276"/>
      <c r="I6" s="3275" t="s">
        <v>2364</v>
      </c>
      <c r="J6" s="3276"/>
      <c r="K6" s="565" t="s">
        <v>2365</v>
      </c>
      <c r="L6" s="2938"/>
      <c r="M6" s="2939"/>
      <c r="N6" s="2939"/>
      <c r="O6" s="2939"/>
      <c r="P6" s="3288"/>
      <c r="Q6" s="3289"/>
      <c r="R6" s="3269"/>
      <c r="S6" s="3270"/>
      <c r="T6" s="3290"/>
      <c r="U6" s="3291"/>
      <c r="V6" s="3292"/>
      <c r="W6" s="3292"/>
      <c r="X6" s="1537"/>
      <c r="Y6" s="3290"/>
      <c r="Z6" s="3291"/>
      <c r="AA6" s="3264"/>
      <c r="AB6" s="3292"/>
      <c r="AC6" s="3264"/>
    </row>
    <row r="7" spans="1:29" s="112" customFormat="1" ht="15.75" thickBot="1">
      <c r="A7" s="366" t="s">
        <v>2366</v>
      </c>
      <c r="B7" s="367"/>
      <c r="C7" s="368">
        <f>'数据-取费表'!B2</f>
        <v>44299</v>
      </c>
      <c r="D7" s="369">
        <v>100</v>
      </c>
      <c r="E7" s="370"/>
      <c r="F7" s="371">
        <f>SUMIF(58:58,YEAR(E7)&amp;"-"&amp;MONTH(E7),59:59)</f>
        <v>0</v>
      </c>
      <c r="G7" s="370"/>
      <c r="H7" s="369">
        <f>SUMIF(58:58,YEAR(G7)&amp;"-"&amp;MONTH(G7),59:59)</f>
        <v>0</v>
      </c>
      <c r="I7" s="370"/>
      <c r="J7" s="369">
        <f>SUMIF(58:58,YEAR(I7)&amp;"-"&amp;MONTH(I7),59:59)</f>
        <v>0</v>
      </c>
      <c r="K7" s="566"/>
      <c r="L7" s="2940"/>
      <c r="M7" s="2941"/>
      <c r="N7" s="2941"/>
      <c r="O7" s="2941"/>
      <c r="P7" s="3265" t="s">
        <v>2367</v>
      </c>
      <c r="Q7" s="3293"/>
      <c r="R7" s="708" t="s">
        <v>17</v>
      </c>
      <c r="S7" s="709">
        <f t="shared" ref="S7:S15" si="0">F7</f>
        <v>0</v>
      </c>
      <c r="T7" s="708" t="s">
        <v>17</v>
      </c>
      <c r="U7" s="709">
        <f t="shared" ref="U7:U15" si="1">H7</f>
        <v>0</v>
      </c>
      <c r="V7" s="708" t="s">
        <v>17</v>
      </c>
      <c r="W7" s="709">
        <f t="shared" ref="W7:W15" si="2">J7</f>
        <v>0</v>
      </c>
      <c r="X7" s="710"/>
      <c r="Y7" s="3265" t="s">
        <v>2367</v>
      </c>
      <c r="Z7" s="3266"/>
      <c r="AA7" s="711" t="e">
        <f>D7/F7</f>
        <v>#DIV/0!</v>
      </c>
      <c r="AB7" s="711" t="e">
        <f>D7/H7</f>
        <v>#DIV/0!</v>
      </c>
      <c r="AC7" s="711" t="e">
        <f>D7/J7</f>
        <v>#DIV/0!</v>
      </c>
    </row>
    <row r="8" spans="1:29" s="112" customFormat="1" ht="15.75" thickBot="1">
      <c r="A8" s="366" t="s">
        <v>2368</v>
      </c>
      <c r="B8" s="367"/>
      <c r="C8" s="372" t="s">
        <v>2470</v>
      </c>
      <c r="D8" s="369">
        <v>100</v>
      </c>
      <c r="E8" s="372"/>
      <c r="F8" s="371">
        <f>SUMIF(61:61,E8,62:62)-SUMIF(61:61,C8,62:62)+100</f>
        <v>0</v>
      </c>
      <c r="G8" s="372"/>
      <c r="H8" s="369">
        <f>SUMIF(61:61,G8,62:62)-SUMIF(61:61,C8,62:62)+100</f>
        <v>0</v>
      </c>
      <c r="I8" s="372"/>
      <c r="J8" s="369">
        <f>SUMIF(61:61,I8,62:62)-SUMIF(61:61,C8,62:62)+100</f>
        <v>0</v>
      </c>
      <c r="K8" s="566"/>
      <c r="L8" s="2940"/>
      <c r="M8" s="2941"/>
      <c r="N8" s="2941"/>
      <c r="O8" s="2941"/>
      <c r="P8" s="3265" t="s">
        <v>2370</v>
      </c>
      <c r="Q8" s="3266"/>
      <c r="R8" s="708" t="s">
        <v>17</v>
      </c>
      <c r="S8" s="709">
        <f t="shared" si="0"/>
        <v>0</v>
      </c>
      <c r="T8" s="708" t="s">
        <v>17</v>
      </c>
      <c r="U8" s="709">
        <f t="shared" si="1"/>
        <v>0</v>
      </c>
      <c r="V8" s="708" t="s">
        <v>17</v>
      </c>
      <c r="W8" s="709">
        <f t="shared" si="2"/>
        <v>0</v>
      </c>
      <c r="X8" s="710"/>
      <c r="Y8" s="3265" t="s">
        <v>2370</v>
      </c>
      <c r="Z8" s="3266"/>
      <c r="AA8" s="711" t="e">
        <f t="shared" ref="AA8:AA46" si="3">D8/F8</f>
        <v>#DIV/0!</v>
      </c>
      <c r="AB8" s="711" t="e">
        <f t="shared" ref="AB8:AB46" si="4">D8/H8</f>
        <v>#DIV/0!</v>
      </c>
      <c r="AC8" s="711" t="e">
        <f t="shared" ref="AC8:AC46" si="5">D8/J8</f>
        <v>#DIV/0!</v>
      </c>
    </row>
    <row r="9" spans="1:29" s="112" customFormat="1">
      <c r="A9" s="373" t="s">
        <v>2371</v>
      </c>
      <c r="B9" s="66" t="s">
        <v>2372</v>
      </c>
      <c r="C9" s="374"/>
      <c r="D9" s="129">
        <v>100</v>
      </c>
      <c r="E9" s="375"/>
      <c r="F9" s="376">
        <f>SUMIF(63:63,E9,64:64)-SUMIF(63:63,C9,64:64)+100</f>
        <v>100</v>
      </c>
      <c r="G9" s="375"/>
      <c r="H9" s="129">
        <f>SUMIF(63:63,G9,64:64)-SUMIF(63:63,C9,64:64)+100</f>
        <v>100</v>
      </c>
      <c r="I9" s="375"/>
      <c r="J9" s="129">
        <f>SUMIF(63:63,I9,64:64)-SUMIF(63:63,C9,64:64)+100</f>
        <v>100</v>
      </c>
      <c r="K9" s="566"/>
      <c r="L9" s="2940"/>
      <c r="M9" s="2941"/>
      <c r="N9" s="2941"/>
      <c r="O9" s="2941"/>
      <c r="P9" s="3303"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711">
        <f t="shared" si="5"/>
        <v>1</v>
      </c>
    </row>
    <row r="10" spans="1:29" s="384" customFormat="1" ht="27">
      <c r="A10" s="378"/>
      <c r="B10" s="379" t="s">
        <v>2375</v>
      </c>
      <c r="C10" s="380"/>
      <c r="D10" s="130">
        <v>100</v>
      </c>
      <c r="E10" s="381"/>
      <c r="F10" s="382">
        <f>SUMIF(65:65,E10,66:66)-SUMIF(65:65,C10,66:66)+100</f>
        <v>100</v>
      </c>
      <c r="G10" s="380"/>
      <c r="H10" s="130">
        <f>SUMIF(65:65,G10,66:66)-SUMIF(65:65,C10,66:66)+100</f>
        <v>100</v>
      </c>
      <c r="I10" s="380"/>
      <c r="J10" s="130">
        <f>SUMIF(65:65,I10,66:66)-SUMIF(65:65,C10,66:66)+100</f>
        <v>100</v>
      </c>
      <c r="K10" s="567"/>
      <c r="L10" s="2942"/>
      <c r="M10" s="2943"/>
      <c r="N10" s="2943"/>
      <c r="O10" s="2943"/>
      <c r="P10" s="3303"/>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711">
        <f t="shared" si="5"/>
        <v>1</v>
      </c>
    </row>
    <row r="11" spans="1:29" ht="15">
      <c r="A11" s="385"/>
      <c r="B11" s="379" t="s">
        <v>2376</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4"/>
      <c r="M11" s="2939"/>
      <c r="N11" s="2939"/>
      <c r="O11" s="2939"/>
      <c r="P11" s="3303"/>
      <c r="Q11" s="1525" t="str">
        <f t="shared" si="6"/>
        <v>容积率</v>
      </c>
      <c r="R11" s="708" t="s">
        <v>17</v>
      </c>
      <c r="S11" s="709" t="e">
        <f t="shared" si="0"/>
        <v>#N/A</v>
      </c>
      <c r="T11" s="708" t="s">
        <v>17</v>
      </c>
      <c r="U11" s="709" t="e">
        <f t="shared" si="1"/>
        <v>#N/A</v>
      </c>
      <c r="V11" s="708" t="s">
        <v>17</v>
      </c>
      <c r="W11" s="709" t="e">
        <f t="shared" si="2"/>
        <v>#N/A</v>
      </c>
      <c r="X11" s="710"/>
      <c r="Y11" s="3231"/>
      <c r="Z11" s="54" t="str">
        <f t="shared" si="7"/>
        <v>容积率</v>
      </c>
      <c r="AA11" s="711" t="e">
        <f t="shared" si="3"/>
        <v>#N/A</v>
      </c>
      <c r="AB11" s="711" t="e">
        <f t="shared" si="4"/>
        <v>#N/A</v>
      </c>
      <c r="AC11" s="711" t="e">
        <f t="shared" si="5"/>
        <v>#N/A</v>
      </c>
    </row>
    <row r="12" spans="1:29" s="112" customFormat="1" ht="15">
      <c r="A12" s="388"/>
      <c r="B12" s="2076">
        <v>111</v>
      </c>
      <c r="C12" s="389"/>
      <c r="D12" s="390">
        <v>100</v>
      </c>
      <c r="E12" s="391"/>
      <c r="F12" s="382">
        <f>SUMIF(70:70,E12,71:71)-SUMIF(70:70,C12,71:71)+100</f>
        <v>100</v>
      </c>
      <c r="G12" s="391"/>
      <c r="H12" s="130">
        <f>SUMIF(70:70,G12,71:71)-SUMIF(70:70,C12,71:71)+100</f>
        <v>100</v>
      </c>
      <c r="I12" s="391"/>
      <c r="J12" s="130">
        <f>SUMIF(70:70,I12,71:71)-SUMIF(70:70,C12,71:71)+100</f>
        <v>100</v>
      </c>
      <c r="K12" s="568"/>
      <c r="L12" s="2940"/>
      <c r="M12" s="2941"/>
      <c r="N12" s="2941"/>
      <c r="O12" s="2941"/>
      <c r="P12" s="3303"/>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711">
        <f>D12/J12</f>
        <v>1</v>
      </c>
    </row>
    <row r="13" spans="1:29" ht="15">
      <c r="A13" s="385"/>
      <c r="B13" s="2076">
        <v>111</v>
      </c>
      <c r="C13" s="391"/>
      <c r="D13" s="392">
        <v>100</v>
      </c>
      <c r="E13" s="391"/>
      <c r="F13" s="382">
        <f>SUMIF(72:72,E13,73:73)-SUMIF(72:72,C13,73:73)+100</f>
        <v>100</v>
      </c>
      <c r="G13" s="391"/>
      <c r="H13" s="392">
        <f>SUMIF(72:72,G13,73:73)-SUMIF(72:72,C13,73:73)+100</f>
        <v>100</v>
      </c>
      <c r="I13" s="391"/>
      <c r="J13" s="392">
        <f>SUMIF(72:72,I13,73:73)-SUMIF(72:72,C13,73:73)+100</f>
        <v>100</v>
      </c>
      <c r="K13" s="568"/>
      <c r="L13" s="2945"/>
      <c r="M13" s="2939"/>
      <c r="N13" s="2939"/>
      <c r="O13" s="2939"/>
      <c r="P13" s="3303"/>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711">
        <f t="shared" si="5"/>
        <v>1</v>
      </c>
    </row>
    <row r="14" spans="1:29" ht="15.75" thickBot="1">
      <c r="A14" s="393"/>
      <c r="B14" s="2078">
        <v>111</v>
      </c>
      <c r="C14" s="394"/>
      <c r="D14" s="395">
        <v>100</v>
      </c>
      <c r="E14" s="391"/>
      <c r="F14" s="396">
        <f>SUMIF(74:74,E14,75:75)-SUMIF(74:74,C14,75:75)+100</f>
        <v>100</v>
      </c>
      <c r="G14" s="391"/>
      <c r="H14" s="395">
        <f>SUMIF(74:74,G14,75:75)-SUMIF(74:74,C14,75:75)+100</f>
        <v>100</v>
      </c>
      <c r="I14" s="391"/>
      <c r="J14" s="395">
        <f>SUMIF(74:74,I14,75:75)-SUMIF(74:74,C14,75:75)+100</f>
        <v>100</v>
      </c>
      <c r="K14" s="568"/>
      <c r="L14" s="2945"/>
      <c r="M14" s="2939"/>
      <c r="N14" s="2939"/>
      <c r="O14" s="2939"/>
      <c r="P14" s="3303"/>
      <c r="Q14" s="1525">
        <f t="shared" si="6"/>
        <v>111</v>
      </c>
      <c r="R14" s="708" t="s">
        <v>17</v>
      </c>
      <c r="S14" s="709">
        <f t="shared" si="0"/>
        <v>100</v>
      </c>
      <c r="T14" s="708" t="s">
        <v>17</v>
      </c>
      <c r="U14" s="709">
        <f t="shared" si="1"/>
        <v>100</v>
      </c>
      <c r="V14" s="708" t="s">
        <v>17</v>
      </c>
      <c r="W14" s="709">
        <f t="shared" si="2"/>
        <v>100</v>
      </c>
      <c r="X14" s="710"/>
      <c r="Y14" s="3231"/>
      <c r="Z14" s="54">
        <f t="shared" si="7"/>
        <v>111</v>
      </c>
      <c r="AA14" s="711">
        <f t="shared" si="3"/>
        <v>1</v>
      </c>
      <c r="AB14" s="711">
        <f t="shared" si="4"/>
        <v>1</v>
      </c>
      <c r="AC14" s="711">
        <f t="shared" si="5"/>
        <v>1</v>
      </c>
    </row>
    <row r="15" spans="1:29" ht="71.25">
      <c r="A15" s="397" t="s">
        <v>2377</v>
      </c>
      <c r="B15" s="64" t="s">
        <v>2471</v>
      </c>
      <c r="C15" s="2079"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5"/>
      <c r="M15" s="2939"/>
      <c r="N15" s="2939"/>
      <c r="O15" s="2939"/>
      <c r="P15" s="3339" t="s">
        <v>2378</v>
      </c>
      <c r="Q15" s="1534" t="str">
        <f t="shared" si="6"/>
        <v>商业繁华度</v>
      </c>
      <c r="R15" s="712" t="s">
        <v>17</v>
      </c>
      <c r="S15" s="713">
        <f t="shared" si="0"/>
        <v>100</v>
      </c>
      <c r="T15" s="712" t="s">
        <v>17</v>
      </c>
      <c r="U15" s="713">
        <f t="shared" si="1"/>
        <v>100</v>
      </c>
      <c r="V15" s="712" t="s">
        <v>17</v>
      </c>
      <c r="W15" s="713">
        <f t="shared" si="2"/>
        <v>100</v>
      </c>
      <c r="X15" s="1537"/>
      <c r="Y15" s="3294" t="s">
        <v>2378</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5"/>
      <c r="M16" s="2939"/>
      <c r="N16" s="2939"/>
      <c r="O16" s="2939"/>
      <c r="P16" s="3340"/>
      <c r="Q16" s="1534"/>
      <c r="R16" s="712"/>
      <c r="S16" s="713"/>
      <c r="T16" s="712"/>
      <c r="U16" s="713"/>
      <c r="V16" s="712"/>
      <c r="W16" s="713"/>
      <c r="X16" s="1537"/>
      <c r="Y16" s="3295"/>
      <c r="Z16" s="1538"/>
      <c r="AA16" s="1535">
        <v>1</v>
      </c>
      <c r="AB16" s="1535">
        <v>1</v>
      </c>
      <c r="AC16" s="1535">
        <v>1</v>
      </c>
    </row>
    <row r="17" spans="1:29" ht="85.5">
      <c r="A17" s="385"/>
      <c r="B17" s="408" t="s">
        <v>1945</v>
      </c>
      <c r="C17" s="2083"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5"/>
      <c r="M17" s="2939"/>
      <c r="N17" s="2939"/>
      <c r="O17" s="2939"/>
      <c r="P17" s="3340"/>
      <c r="Q17" s="1534" t="str">
        <f>B17</f>
        <v>交通便捷度</v>
      </c>
      <c r="R17" s="712" t="s">
        <v>17</v>
      </c>
      <c r="S17" s="713">
        <f>F17</f>
        <v>100</v>
      </c>
      <c r="T17" s="712" t="s">
        <v>17</v>
      </c>
      <c r="U17" s="713">
        <f>H17</f>
        <v>100</v>
      </c>
      <c r="V17" s="712" t="s">
        <v>17</v>
      </c>
      <c r="W17" s="713">
        <f>J17</f>
        <v>100</v>
      </c>
      <c r="X17" s="1537"/>
      <c r="Y17" s="3295"/>
      <c r="Z17" s="1538" t="str">
        <f>Q17</f>
        <v>交通便捷度</v>
      </c>
      <c r="AA17" s="1535">
        <f t="shared" si="3"/>
        <v>1</v>
      </c>
      <c r="AB17" s="1535">
        <f t="shared" si="4"/>
        <v>1</v>
      </c>
      <c r="AC17" s="1535">
        <f t="shared" si="5"/>
        <v>1</v>
      </c>
    </row>
    <row r="18" spans="1:29" ht="15">
      <c r="A18" s="385"/>
      <c r="B18" s="413"/>
      <c r="C18" s="2084"/>
      <c r="D18" s="407"/>
      <c r="E18" s="2086"/>
      <c r="F18" s="410"/>
      <c r="G18" s="2085"/>
      <c r="H18" s="405"/>
      <c r="I18" s="2086"/>
      <c r="J18" s="405"/>
      <c r="K18" s="570"/>
      <c r="L18" s="2945"/>
      <c r="M18" s="2939"/>
      <c r="N18" s="2939"/>
      <c r="O18" s="2939"/>
      <c r="P18" s="3340"/>
      <c r="Q18" s="1534"/>
      <c r="R18" s="712"/>
      <c r="S18" s="713"/>
      <c r="T18" s="712"/>
      <c r="U18" s="713"/>
      <c r="V18" s="712"/>
      <c r="W18" s="713"/>
      <c r="X18" s="1537"/>
      <c r="Y18" s="3295"/>
      <c r="Z18" s="1538"/>
      <c r="AA18" s="1535">
        <v>1</v>
      </c>
      <c r="AB18" s="1535">
        <v>1</v>
      </c>
      <c r="AC18" s="1535">
        <v>1</v>
      </c>
    </row>
    <row r="19" spans="1:29" ht="42.75">
      <c r="A19" s="385"/>
      <c r="B19" s="408" t="s">
        <v>2472</v>
      </c>
      <c r="C19" s="2083"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5"/>
      <c r="M19" s="2939"/>
      <c r="N19" s="2939"/>
      <c r="O19" s="2939"/>
      <c r="P19" s="3340"/>
      <c r="Q19" s="1534" t="str">
        <f>B19</f>
        <v>公共配套设施</v>
      </c>
      <c r="R19" s="712" t="s">
        <v>17</v>
      </c>
      <c r="S19" s="713">
        <f>F19</f>
        <v>100</v>
      </c>
      <c r="T19" s="712" t="s">
        <v>17</v>
      </c>
      <c r="U19" s="713">
        <f>H19</f>
        <v>100</v>
      </c>
      <c r="V19" s="712" t="s">
        <v>17</v>
      </c>
      <c r="W19" s="713">
        <f>J19</f>
        <v>100</v>
      </c>
      <c r="X19" s="1537"/>
      <c r="Y19" s="3295"/>
      <c r="Z19" s="1538" t="str">
        <f>Q19</f>
        <v>公共配套设施</v>
      </c>
      <c r="AA19" s="1535">
        <f t="shared" si="3"/>
        <v>1</v>
      </c>
      <c r="AB19" s="1535">
        <f t="shared" si="4"/>
        <v>1</v>
      </c>
      <c r="AC19" s="1535">
        <f t="shared" si="5"/>
        <v>1</v>
      </c>
    </row>
    <row r="20" spans="1:29" ht="15">
      <c r="A20" s="385"/>
      <c r="B20" s="413"/>
      <c r="C20" s="404"/>
      <c r="D20" s="405"/>
      <c r="E20" s="2081"/>
      <c r="F20" s="406"/>
      <c r="G20" s="2080"/>
      <c r="H20" s="405"/>
      <c r="I20" s="2081"/>
      <c r="J20" s="405"/>
      <c r="K20" s="570"/>
      <c r="L20" s="2945"/>
      <c r="M20" s="2939"/>
      <c r="N20" s="2939"/>
      <c r="O20" s="2939"/>
      <c r="P20" s="3340"/>
      <c r="Q20" s="1534"/>
      <c r="R20" s="712"/>
      <c r="S20" s="713"/>
      <c r="T20" s="712"/>
      <c r="U20" s="713"/>
      <c r="V20" s="712"/>
      <c r="W20" s="713"/>
      <c r="X20" s="1537"/>
      <c r="Y20" s="3295"/>
      <c r="Z20" s="1538"/>
      <c r="AA20" s="1535">
        <v>1</v>
      </c>
      <c r="AB20" s="1535">
        <v>1</v>
      </c>
      <c r="AC20" s="1535">
        <v>1</v>
      </c>
    </row>
    <row r="21" spans="1:29" ht="28.5">
      <c r="A21" s="385"/>
      <c r="B21" s="1291" t="s">
        <v>2473</v>
      </c>
      <c r="C21" s="2083"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5"/>
      <c r="M21" s="2939"/>
      <c r="N21" s="2939"/>
      <c r="O21" s="2939"/>
      <c r="P21" s="3340"/>
      <c r="Q21" s="1534" t="str">
        <f>B21</f>
        <v>基础设施水平</v>
      </c>
      <c r="R21" s="712" t="s">
        <v>17</v>
      </c>
      <c r="S21" s="713">
        <f>F21</f>
        <v>100</v>
      </c>
      <c r="T21" s="712" t="s">
        <v>17</v>
      </c>
      <c r="U21" s="713">
        <f>H21</f>
        <v>100</v>
      </c>
      <c r="V21" s="712" t="s">
        <v>17</v>
      </c>
      <c r="W21" s="713">
        <f>J21</f>
        <v>100</v>
      </c>
      <c r="X21" s="1537"/>
      <c r="Y21" s="3295"/>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6"/>
      <c r="G22" s="404"/>
      <c r="H22" s="405"/>
      <c r="I22" s="404"/>
      <c r="J22" s="405"/>
      <c r="K22" s="1290"/>
      <c r="L22" s="2945"/>
      <c r="M22" s="2939"/>
      <c r="N22" s="2939"/>
      <c r="O22" s="2939"/>
      <c r="P22" s="3340"/>
      <c r="Q22" s="1534"/>
      <c r="R22" s="712"/>
      <c r="S22" s="713"/>
      <c r="T22" s="712"/>
      <c r="U22" s="713"/>
      <c r="V22" s="712"/>
      <c r="W22" s="713"/>
      <c r="X22" s="1537"/>
      <c r="Y22" s="3295"/>
      <c r="Z22" s="1538"/>
      <c r="AA22" s="1535">
        <v>1</v>
      </c>
      <c r="AB22" s="1535">
        <v>1</v>
      </c>
      <c r="AC22" s="1535">
        <v>1</v>
      </c>
    </row>
    <row r="23" spans="1:29" ht="57">
      <c r="A23" s="385"/>
      <c r="B23" s="408" t="s">
        <v>1947</v>
      </c>
      <c r="C23" s="2138"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5"/>
      <c r="M23" s="2939"/>
      <c r="N23" s="2939"/>
      <c r="O23" s="2939"/>
      <c r="P23" s="3340"/>
      <c r="Q23" s="1534" t="str">
        <f>B23</f>
        <v>自然及人文环境</v>
      </c>
      <c r="R23" s="712" t="s">
        <v>17</v>
      </c>
      <c r="S23" s="713">
        <f>F23</f>
        <v>100</v>
      </c>
      <c r="T23" s="712" t="s">
        <v>17</v>
      </c>
      <c r="U23" s="713">
        <f>H23</f>
        <v>100</v>
      </c>
      <c r="V23" s="712" t="s">
        <v>17</v>
      </c>
      <c r="W23" s="713">
        <f>J23</f>
        <v>100</v>
      </c>
      <c r="X23" s="1537"/>
      <c r="Y23" s="3295"/>
      <c r="Z23" s="1538" t="str">
        <f>Q23</f>
        <v>自然及人文环境</v>
      </c>
      <c r="AA23" s="1535">
        <f t="shared" si="3"/>
        <v>1</v>
      </c>
      <c r="AB23" s="1535">
        <f t="shared" si="4"/>
        <v>1</v>
      </c>
      <c r="AC23" s="1535">
        <f t="shared" si="5"/>
        <v>1</v>
      </c>
    </row>
    <row r="24" spans="1:29" ht="15">
      <c r="A24" s="385"/>
      <c r="B24" s="413"/>
      <c r="C24" s="404"/>
      <c r="D24" s="405"/>
      <c r="E24" s="2081"/>
      <c r="F24" s="406"/>
      <c r="G24" s="2080"/>
      <c r="H24" s="405"/>
      <c r="I24" s="2081"/>
      <c r="J24" s="405"/>
      <c r="K24" s="570"/>
      <c r="L24" s="2945"/>
      <c r="M24" s="2939"/>
      <c r="N24" s="2939"/>
      <c r="O24" s="2939"/>
      <c r="P24" s="3340"/>
      <c r="Q24" s="1534"/>
      <c r="R24" s="712"/>
      <c r="S24" s="713"/>
      <c r="T24" s="712"/>
      <c r="U24" s="713"/>
      <c r="V24" s="712"/>
      <c r="W24" s="713"/>
      <c r="X24" s="1537"/>
      <c r="Y24" s="3295"/>
      <c r="Z24" s="1538"/>
      <c r="AA24" s="1535">
        <v>1</v>
      </c>
      <c r="AB24" s="1535">
        <v>1</v>
      </c>
      <c r="AC24" s="1535">
        <v>1</v>
      </c>
    </row>
    <row r="25" spans="1:29" ht="15">
      <c r="A25" s="385"/>
      <c r="B25" s="379" t="s">
        <v>2474</v>
      </c>
      <c r="C25" s="571"/>
      <c r="D25" s="392">
        <v>100</v>
      </c>
      <c r="E25" s="571"/>
      <c r="F25" s="418">
        <f>SUMIF(86:86,E25,87:87)-SUMIF(86:86,C25,87:87)+100</f>
        <v>100</v>
      </c>
      <c r="G25" s="571"/>
      <c r="H25" s="392">
        <f>SUMIF(86:86,G25,87:87)-SUMIF(86:86,C25,87:87)+100</f>
        <v>100</v>
      </c>
      <c r="I25" s="571"/>
      <c r="J25" s="392">
        <f>SUMIF(86:86,I25,87:87)-SUMIF(86:86,C25,87:87)+100</f>
        <v>100</v>
      </c>
      <c r="K25" s="567"/>
      <c r="L25" s="2945"/>
      <c r="M25" s="2939"/>
      <c r="N25" s="2939"/>
      <c r="O25" s="2939"/>
      <c r="P25" s="3340"/>
      <c r="Q25" s="1534" t="str">
        <f t="shared" ref="Q25:Q46" si="11">B25</f>
        <v>临街状况</v>
      </c>
      <c r="R25" s="712" t="s">
        <v>17</v>
      </c>
      <c r="S25" s="713">
        <f>F25</f>
        <v>100</v>
      </c>
      <c r="T25" s="712" t="s">
        <v>17</v>
      </c>
      <c r="U25" s="713">
        <f>H25</f>
        <v>100</v>
      </c>
      <c r="V25" s="712" t="s">
        <v>17</v>
      </c>
      <c r="W25" s="713">
        <f>J25</f>
        <v>100</v>
      </c>
      <c r="X25" s="1537"/>
      <c r="Y25" s="3295"/>
      <c r="Z25" s="1538" t="str">
        <f>Q25</f>
        <v>临街状况</v>
      </c>
      <c r="AA25" s="1535">
        <f t="shared" si="3"/>
        <v>1</v>
      </c>
      <c r="AB25" s="1535">
        <f t="shared" si="4"/>
        <v>1</v>
      </c>
      <c r="AC25" s="1535">
        <f t="shared" si="5"/>
        <v>1</v>
      </c>
    </row>
    <row r="26" spans="1:29" ht="15">
      <c r="A26" s="385"/>
      <c r="B26" s="1293" t="s">
        <v>2475</v>
      </c>
      <c r="C26" s="391"/>
      <c r="D26" s="392">
        <v>100</v>
      </c>
      <c r="E26" s="391"/>
      <c r="F26" s="418">
        <f>SUMIF(88:88,E26,89:89)-SUMIF(88:88,C26,89:89)+100</f>
        <v>100</v>
      </c>
      <c r="G26" s="391"/>
      <c r="H26" s="392">
        <f>SUMIF(88:88,G26,89:89)-SUMIF(88:88,C26,89:89)+100</f>
        <v>100</v>
      </c>
      <c r="I26" s="391"/>
      <c r="J26" s="392">
        <f>SUMIF(88:88,I26,89:89)-SUMIF(88:88,C26,89:89)+100</f>
        <v>100</v>
      </c>
      <c r="K26" s="568"/>
      <c r="L26" s="2945"/>
      <c r="M26" s="2939"/>
      <c r="N26" s="2939"/>
      <c r="O26" s="2939"/>
      <c r="P26" s="3340"/>
      <c r="Q26" s="1534" t="str">
        <f t="shared" si="11"/>
        <v>平面位置/可视性</v>
      </c>
      <c r="R26" s="712" t="s">
        <v>17</v>
      </c>
      <c r="S26" s="713">
        <f>F26</f>
        <v>100</v>
      </c>
      <c r="T26" s="712" t="s">
        <v>17</v>
      </c>
      <c r="U26" s="713">
        <f>H26</f>
        <v>100</v>
      </c>
      <c r="V26" s="712" t="s">
        <v>17</v>
      </c>
      <c r="W26" s="713">
        <f>J26</f>
        <v>100</v>
      </c>
      <c r="X26" s="1537"/>
      <c r="Y26" s="3295"/>
      <c r="Z26" s="1538" t="str">
        <f>Q26</f>
        <v>平面位置/可视性</v>
      </c>
      <c r="AA26" s="1535">
        <f t="shared" si="3"/>
        <v>1</v>
      </c>
      <c r="AB26" s="1535">
        <f t="shared" si="4"/>
        <v>1</v>
      </c>
      <c r="AC26" s="1535">
        <f t="shared" si="5"/>
        <v>1</v>
      </c>
    </row>
    <row r="27" spans="1:29" s="112" customFormat="1" ht="15">
      <c r="A27" s="388"/>
      <c r="B27" s="408" t="s">
        <v>2476</v>
      </c>
      <c r="C27" s="2139"/>
      <c r="D27" s="419">
        <v>100</v>
      </c>
      <c r="E27" s="2139"/>
      <c r="F27" s="421">
        <f>SUMIF(90:90,E27,91:91)-SUMIF(90:90,C27,91:91)+100</f>
        <v>100</v>
      </c>
      <c r="G27" s="2139"/>
      <c r="H27" s="419">
        <f>SUMIF(90:90,G27,91:91)-SUMIF(90:90,C27,91:91)+100</f>
        <v>100</v>
      </c>
      <c r="I27" s="2139"/>
      <c r="J27" s="419">
        <f>SUMIF(90:90,I27,91:91)-SUMIF(90:90,C27,91:91)+100</f>
        <v>100</v>
      </c>
      <c r="K27" s="567"/>
      <c r="L27" s="2940"/>
      <c r="M27" s="2941"/>
      <c r="N27" s="2941"/>
      <c r="O27" s="2941"/>
      <c r="P27" s="3340"/>
      <c r="Q27" s="1525" t="str">
        <f t="shared" si="11"/>
        <v>人流量</v>
      </c>
      <c r="R27" s="708" t="s">
        <v>17</v>
      </c>
      <c r="S27" s="709">
        <f>F27</f>
        <v>100</v>
      </c>
      <c r="T27" s="708" t="s">
        <v>17</v>
      </c>
      <c r="U27" s="709">
        <f>H27</f>
        <v>100</v>
      </c>
      <c r="V27" s="708" t="s">
        <v>17</v>
      </c>
      <c r="W27" s="709">
        <f>J27</f>
        <v>100</v>
      </c>
      <c r="X27" s="710"/>
      <c r="Y27" s="3295"/>
      <c r="Z27" s="54" t="str">
        <f>Q27</f>
        <v>人流量</v>
      </c>
      <c r="AA27" s="1535">
        <f>D27/F27</f>
        <v>1</v>
      </c>
      <c r="AB27" s="1535">
        <f>D27/H27</f>
        <v>1</v>
      </c>
      <c r="AC27" s="1535">
        <f>D27/J27</f>
        <v>1</v>
      </c>
    </row>
    <row r="28" spans="1:29" ht="15">
      <c r="A28" s="385"/>
      <c r="B28" s="379" t="s">
        <v>2477</v>
      </c>
      <c r="C28" s="571"/>
      <c r="D28" s="392">
        <v>100</v>
      </c>
      <c r="E28" s="571"/>
      <c r="F28" s="418">
        <f>SUMIF(92:92,E28,93:93)-SUMIF(92:92,C28,93:93)+100</f>
        <v>100</v>
      </c>
      <c r="G28" s="571"/>
      <c r="H28" s="392">
        <f>SUMIF(92:92,G28,93:93)-SUMIF(92:92,C28,93:93)+100</f>
        <v>100</v>
      </c>
      <c r="I28" s="571"/>
      <c r="J28" s="392">
        <f>SUMIF(92:92,I28,93:93)-SUMIF(92:92,C28,93:93)+100</f>
        <v>100</v>
      </c>
      <c r="K28" s="568"/>
      <c r="L28" s="2945"/>
      <c r="M28" s="2939"/>
      <c r="N28" s="2939"/>
      <c r="O28" s="2939"/>
      <c r="P28" s="3340"/>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295"/>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5"/>
      <c r="M29" s="2939"/>
      <c r="N29" s="2939"/>
      <c r="O29" s="2939"/>
      <c r="P29" s="3340"/>
      <c r="Q29" s="1534">
        <f t="shared" si="11"/>
        <v>111</v>
      </c>
      <c r="R29" s="712" t="s">
        <v>17</v>
      </c>
      <c r="S29" s="713">
        <f t="shared" si="12"/>
        <v>100</v>
      </c>
      <c r="T29" s="712" t="s">
        <v>17</v>
      </c>
      <c r="U29" s="713">
        <f t="shared" si="13"/>
        <v>100</v>
      </c>
      <c r="V29" s="712" t="s">
        <v>17</v>
      </c>
      <c r="W29" s="713">
        <f t="shared" si="14"/>
        <v>100</v>
      </c>
      <c r="X29" s="1537"/>
      <c r="Y29" s="3295"/>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5"/>
      <c r="M30" s="2939"/>
      <c r="N30" s="2939"/>
      <c r="O30" s="2939"/>
      <c r="P30" s="3340"/>
      <c r="Q30" s="1534">
        <f t="shared" si="11"/>
        <v>111</v>
      </c>
      <c r="R30" s="712" t="s">
        <v>17</v>
      </c>
      <c r="S30" s="713">
        <f t="shared" si="12"/>
        <v>100</v>
      </c>
      <c r="T30" s="712" t="s">
        <v>17</v>
      </c>
      <c r="U30" s="713">
        <f t="shared" si="13"/>
        <v>100</v>
      </c>
      <c r="V30" s="712" t="s">
        <v>17</v>
      </c>
      <c r="W30" s="713">
        <f t="shared" si="14"/>
        <v>100</v>
      </c>
      <c r="X30" s="1537"/>
      <c r="Y30" s="3295"/>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5"/>
      <c r="M31" s="2939"/>
      <c r="N31" s="2939"/>
      <c r="O31" s="2939"/>
      <c r="P31" s="3340"/>
      <c r="Q31" s="1534">
        <f t="shared" si="11"/>
        <v>111</v>
      </c>
      <c r="R31" s="712" t="s">
        <v>17</v>
      </c>
      <c r="S31" s="713">
        <f t="shared" si="12"/>
        <v>100</v>
      </c>
      <c r="T31" s="712" t="s">
        <v>17</v>
      </c>
      <c r="U31" s="713">
        <f t="shared" si="13"/>
        <v>100</v>
      </c>
      <c r="V31" s="712" t="s">
        <v>17</v>
      </c>
      <c r="W31" s="713">
        <f t="shared" si="14"/>
        <v>100</v>
      </c>
      <c r="X31" s="1537"/>
      <c r="Y31" s="3295"/>
      <c r="Z31" s="1538">
        <f t="shared" si="15"/>
        <v>111</v>
      </c>
      <c r="AA31" s="1535">
        <f t="shared" si="3"/>
        <v>1</v>
      </c>
      <c r="AB31" s="1535">
        <f t="shared" si="4"/>
        <v>1</v>
      </c>
      <c r="AC31" s="1535">
        <f t="shared" si="5"/>
        <v>1</v>
      </c>
    </row>
    <row r="32" spans="1:29" ht="15">
      <c r="A32" s="397" t="s">
        <v>2381</v>
      </c>
      <c r="B32" s="66" t="s">
        <v>2478</v>
      </c>
      <c r="C32" s="2093"/>
      <c r="D32" s="424">
        <v>100</v>
      </c>
      <c r="E32" s="2093"/>
      <c r="F32" s="418">
        <f>SUMIF(100:100,E32,101:101)-SUMIF(100:100,C32,101:101)+100</f>
        <v>100</v>
      </c>
      <c r="G32" s="2093"/>
      <c r="H32" s="392">
        <f>SUMIF(100:100,G32,101:101)-SUMIF(100:100,C32,101:101)+100</f>
        <v>100</v>
      </c>
      <c r="I32" s="2093"/>
      <c r="J32" s="424">
        <f>SUMIF(100:100,I32,101:101)-SUMIF(100:100,C32,101:101)+100</f>
        <v>100</v>
      </c>
      <c r="K32" s="567"/>
      <c r="L32" s="2945"/>
      <c r="M32" s="2939"/>
      <c r="N32" s="2939"/>
      <c r="O32" s="2939"/>
      <c r="P32" s="3335" t="s">
        <v>2383</v>
      </c>
      <c r="Q32" s="1534" t="str">
        <f t="shared" si="11"/>
        <v>商业类型</v>
      </c>
      <c r="R32" s="712" t="s">
        <v>17</v>
      </c>
      <c r="S32" s="713">
        <f t="shared" si="12"/>
        <v>100</v>
      </c>
      <c r="T32" s="712" t="s">
        <v>17</v>
      </c>
      <c r="U32" s="713">
        <f t="shared" si="13"/>
        <v>100</v>
      </c>
      <c r="V32" s="712" t="s">
        <v>17</v>
      </c>
      <c r="W32" s="713">
        <f t="shared" si="14"/>
        <v>100</v>
      </c>
      <c r="X32" s="1537"/>
      <c r="Y32" s="3297" t="s">
        <v>2383</v>
      </c>
      <c r="Z32" s="1538" t="str">
        <f t="shared" si="15"/>
        <v>商业类型</v>
      </c>
      <c r="AA32" s="1535">
        <f t="shared" si="3"/>
        <v>1</v>
      </c>
      <c r="AB32" s="1535">
        <f t="shared" si="4"/>
        <v>1</v>
      </c>
      <c r="AC32" s="1535">
        <f t="shared" si="5"/>
        <v>1</v>
      </c>
    </row>
    <row r="33" spans="1:29" s="428" customFormat="1" ht="15">
      <c r="A33" s="425"/>
      <c r="B33" s="379" t="s">
        <v>2384</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4"/>
      <c r="M33" s="2946"/>
      <c r="N33" s="2946"/>
      <c r="O33" s="2946"/>
      <c r="P33" s="3336"/>
      <c r="Q33" s="714" t="str">
        <f t="shared" si="11"/>
        <v>项目建筑规模</v>
      </c>
      <c r="R33" s="715" t="s">
        <v>17</v>
      </c>
      <c r="S33" s="716" t="e">
        <f t="shared" si="12"/>
        <v>#N/A</v>
      </c>
      <c r="T33" s="715" t="s">
        <v>17</v>
      </c>
      <c r="U33" s="716" t="e">
        <f t="shared" si="13"/>
        <v>#N/A</v>
      </c>
      <c r="V33" s="715" t="s">
        <v>17</v>
      </c>
      <c r="W33" s="716" t="e">
        <f t="shared" si="14"/>
        <v>#N/A</v>
      </c>
      <c r="X33" s="717"/>
      <c r="Y33" s="3297"/>
      <c r="Z33" s="718" t="str">
        <f t="shared" si="15"/>
        <v>项目建筑规模</v>
      </c>
      <c r="AA33" s="1535" t="e">
        <f t="shared" si="3"/>
        <v>#N/A</v>
      </c>
      <c r="AB33" s="1535" t="e">
        <f t="shared" si="4"/>
        <v>#N/A</v>
      </c>
      <c r="AC33" s="1535" t="e">
        <f t="shared" si="5"/>
        <v>#N/A</v>
      </c>
    </row>
    <row r="34" spans="1:29" ht="15">
      <c r="A34" s="429"/>
      <c r="B34" s="379" t="s">
        <v>2385</v>
      </c>
      <c r="C34" s="2095"/>
      <c r="D34" s="392">
        <v>100</v>
      </c>
      <c r="E34" s="2095"/>
      <c r="F34" s="418">
        <f>SUMIF(105:105,E34,106:106)-SUMIF(105:105,C34,106:106)+100</f>
        <v>100</v>
      </c>
      <c r="G34" s="2095"/>
      <c r="H34" s="392">
        <f>SUMIF(105:105,G34,106:106)-SUMIF(105:105,C34,106:106)+100</f>
        <v>100</v>
      </c>
      <c r="I34" s="2095"/>
      <c r="J34" s="392">
        <f>SUMIF(105:105,I34,106:106)-SUMIF(105:105,C34,106:106)+100</f>
        <v>100</v>
      </c>
      <c r="K34" s="567"/>
      <c r="L34" s="2945"/>
      <c r="M34" s="2939"/>
      <c r="N34" s="2939"/>
      <c r="O34" s="2939"/>
      <c r="P34" s="3336"/>
      <c r="Q34" s="1534" t="str">
        <f t="shared" si="11"/>
        <v>建筑结构</v>
      </c>
      <c r="R34" s="712" t="s">
        <v>17</v>
      </c>
      <c r="S34" s="713">
        <f t="shared" si="12"/>
        <v>100</v>
      </c>
      <c r="T34" s="712" t="s">
        <v>17</v>
      </c>
      <c r="U34" s="713">
        <f t="shared" si="13"/>
        <v>100</v>
      </c>
      <c r="V34" s="712" t="s">
        <v>17</v>
      </c>
      <c r="W34" s="713">
        <f t="shared" si="14"/>
        <v>100</v>
      </c>
      <c r="X34" s="1537"/>
      <c r="Y34" s="3297"/>
      <c r="Z34" s="1538" t="str">
        <f t="shared" si="15"/>
        <v>建筑结构</v>
      </c>
      <c r="AA34" s="1535">
        <f t="shared" si="3"/>
        <v>1</v>
      </c>
      <c r="AB34" s="1535">
        <f t="shared" si="4"/>
        <v>1</v>
      </c>
      <c r="AC34" s="1535">
        <f t="shared" si="5"/>
        <v>1</v>
      </c>
    </row>
    <row r="35" spans="1:29" ht="15">
      <c r="A35" s="429"/>
      <c r="B35" s="379" t="s">
        <v>2479</v>
      </c>
      <c r="C35" s="2089"/>
      <c r="D35" s="392">
        <v>100</v>
      </c>
      <c r="E35" s="2089"/>
      <c r="F35" s="418">
        <f>SUMIF(107:107,E35,108:108)-SUMIF(107:107,C35,108:108)+100</f>
        <v>100</v>
      </c>
      <c r="G35" s="2089"/>
      <c r="H35" s="392">
        <f>SUMIF(107:107,G35,108:108)-SUMIF(107:107,C35,108:108)+100</f>
        <v>100</v>
      </c>
      <c r="I35" s="2089"/>
      <c r="J35" s="392">
        <f>SUMIF(107:107,I35,108:108)-SUMIF(107:107,C35,108:108)+100</f>
        <v>100</v>
      </c>
      <c r="K35" s="567"/>
      <c r="L35" s="2945"/>
      <c r="M35" s="2939"/>
      <c r="N35" s="2939"/>
      <c r="O35" s="2939"/>
      <c r="P35" s="3336"/>
      <c r="Q35" s="1534" t="str">
        <f t="shared" si="11"/>
        <v>公共部分装修</v>
      </c>
      <c r="R35" s="712" t="s">
        <v>17</v>
      </c>
      <c r="S35" s="713">
        <f t="shared" si="12"/>
        <v>100</v>
      </c>
      <c r="T35" s="712" t="s">
        <v>17</v>
      </c>
      <c r="U35" s="713">
        <f t="shared" si="13"/>
        <v>100</v>
      </c>
      <c r="V35" s="712" t="s">
        <v>17</v>
      </c>
      <c r="W35" s="713">
        <f t="shared" si="14"/>
        <v>100</v>
      </c>
      <c r="X35" s="1537"/>
      <c r="Y35" s="3297"/>
      <c r="Z35" s="1538" t="str">
        <f t="shared" si="15"/>
        <v>公共部分装修</v>
      </c>
      <c r="AA35" s="1535">
        <f t="shared" si="3"/>
        <v>1</v>
      </c>
      <c r="AB35" s="1535">
        <f t="shared" si="4"/>
        <v>1</v>
      </c>
      <c r="AC35" s="1535">
        <f t="shared" si="5"/>
        <v>1</v>
      </c>
    </row>
    <row r="36" spans="1:29" ht="15">
      <c r="A36" s="429"/>
      <c r="B36" s="379" t="s">
        <v>2480</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5"/>
      <c r="M36" s="2939"/>
      <c r="N36" s="2939"/>
      <c r="O36" s="2939"/>
      <c r="P36" s="3336"/>
      <c r="Q36" s="1534" t="str">
        <f t="shared" si="11"/>
        <v>成新度</v>
      </c>
      <c r="R36" s="712" t="s">
        <v>17</v>
      </c>
      <c r="S36" s="713" t="e">
        <f t="shared" si="12"/>
        <v>#N/A</v>
      </c>
      <c r="T36" s="712" t="s">
        <v>17</v>
      </c>
      <c r="U36" s="713" t="e">
        <f t="shared" si="13"/>
        <v>#N/A</v>
      </c>
      <c r="V36" s="712" t="s">
        <v>17</v>
      </c>
      <c r="W36" s="713" t="e">
        <f t="shared" si="14"/>
        <v>#N/A</v>
      </c>
      <c r="X36" s="1537"/>
      <c r="Y36" s="3297"/>
      <c r="Z36" s="1538" t="str">
        <f t="shared" si="15"/>
        <v>成新度</v>
      </c>
      <c r="AA36" s="1535" t="e">
        <f t="shared" si="3"/>
        <v>#N/A</v>
      </c>
      <c r="AB36" s="1535" t="e">
        <f t="shared" si="4"/>
        <v>#N/A</v>
      </c>
      <c r="AC36" s="1535" t="e">
        <f t="shared" si="5"/>
        <v>#N/A</v>
      </c>
    </row>
    <row r="37" spans="1:29" s="112" customFormat="1" ht="15">
      <c r="A37" s="430"/>
      <c r="B37" s="379" t="s">
        <v>2481</v>
      </c>
      <c r="C37" s="2089"/>
      <c r="D37" s="130">
        <v>100</v>
      </c>
      <c r="E37" s="2089"/>
      <c r="F37" s="418">
        <f>SUMIF(112:112,E37,113:113)-SUMIF(112:112,C37,113:113)+100</f>
        <v>100</v>
      </c>
      <c r="G37" s="2089"/>
      <c r="H37" s="392">
        <f>SUMIF(112:112,G37,113:113)-SUMIF(112:112,C37,113:113)+100</f>
        <v>100</v>
      </c>
      <c r="I37" s="2089"/>
      <c r="J37" s="392">
        <f>SUMIF(112:112,I37,113:113)-SUMIF(112:112,C37,113:113)+100</f>
        <v>100</v>
      </c>
      <c r="K37" s="567"/>
      <c r="L37" s="2940"/>
      <c r="M37" s="2941"/>
      <c r="N37" s="2941"/>
      <c r="O37" s="2941"/>
      <c r="P37" s="3336"/>
      <c r="Q37" s="1525" t="str">
        <f t="shared" si="11"/>
        <v>市政基础设施</v>
      </c>
      <c r="R37" s="708" t="s">
        <v>17</v>
      </c>
      <c r="S37" s="709">
        <f t="shared" si="12"/>
        <v>100</v>
      </c>
      <c r="T37" s="708" t="s">
        <v>17</v>
      </c>
      <c r="U37" s="709">
        <f t="shared" si="13"/>
        <v>100</v>
      </c>
      <c r="V37" s="708" t="s">
        <v>17</v>
      </c>
      <c r="W37" s="709">
        <f t="shared" si="14"/>
        <v>100</v>
      </c>
      <c r="X37" s="710"/>
      <c r="Y37" s="3297"/>
      <c r="Z37" s="54" t="str">
        <f t="shared" si="15"/>
        <v>市政基础设施</v>
      </c>
      <c r="AA37" s="711">
        <f t="shared" si="3"/>
        <v>1</v>
      </c>
      <c r="AB37" s="711">
        <f t="shared" si="4"/>
        <v>1</v>
      </c>
      <c r="AC37" s="711">
        <f t="shared" si="5"/>
        <v>1</v>
      </c>
    </row>
    <row r="38" spans="1:29" ht="15">
      <c r="A38" s="429"/>
      <c r="B38" s="379" t="s">
        <v>2482</v>
      </c>
      <c r="C38" s="2089"/>
      <c r="D38" s="392">
        <v>100</v>
      </c>
      <c r="E38" s="2089"/>
      <c r="F38" s="418">
        <f>SUMIF(114:114,E38,115:115)-SUMIF(114:114,C38,115:115)+100</f>
        <v>100</v>
      </c>
      <c r="G38" s="2089"/>
      <c r="H38" s="392">
        <f>SUMIF(114:114,G38,115:115)-SUMIF(114:114,C38,115:115)+100</f>
        <v>100</v>
      </c>
      <c r="I38" s="2089"/>
      <c r="J38" s="392">
        <f>SUMIF(114:114,I38,115:115)-SUMIF(114:114,C38,115:115)+100</f>
        <v>100</v>
      </c>
      <c r="K38" s="567"/>
      <c r="L38" s="2945"/>
      <c r="M38" s="2939"/>
      <c r="N38" s="2939"/>
      <c r="O38" s="2939"/>
      <c r="P38" s="3336" t="s">
        <v>2383</v>
      </c>
      <c r="Q38" s="1534" t="str">
        <f t="shared" si="11"/>
        <v>业态</v>
      </c>
      <c r="R38" s="712" t="s">
        <v>17</v>
      </c>
      <c r="S38" s="713">
        <f t="shared" si="12"/>
        <v>100</v>
      </c>
      <c r="T38" s="712" t="s">
        <v>17</v>
      </c>
      <c r="U38" s="713">
        <f t="shared" si="13"/>
        <v>100</v>
      </c>
      <c r="V38" s="712" t="s">
        <v>17</v>
      </c>
      <c r="W38" s="713">
        <f t="shared" si="14"/>
        <v>100</v>
      </c>
      <c r="X38" s="1537"/>
      <c r="Y38" s="3297" t="s">
        <v>2383</v>
      </c>
      <c r="Z38" s="1538" t="str">
        <f t="shared" si="15"/>
        <v>业态</v>
      </c>
      <c r="AA38" s="1535">
        <f t="shared" si="3"/>
        <v>1</v>
      </c>
      <c r="AB38" s="1535">
        <f t="shared" si="4"/>
        <v>1</v>
      </c>
      <c r="AC38" s="1535">
        <f t="shared" si="5"/>
        <v>1</v>
      </c>
    </row>
    <row r="39" spans="1:29" ht="15">
      <c r="A39" s="429"/>
      <c r="B39" s="379" t="s">
        <v>2483</v>
      </c>
      <c r="C39" s="2089"/>
      <c r="D39" s="392">
        <v>100</v>
      </c>
      <c r="E39" s="2089"/>
      <c r="F39" s="418">
        <f>SUMIF(116:116,E39,117:117)-SUMIF(116:116,C39,117:117)+100</f>
        <v>100</v>
      </c>
      <c r="G39" s="2089"/>
      <c r="H39" s="392">
        <f>SUMIF(116:116,G39,117:117)-SUMIF(116:116,C39,117:117)+100</f>
        <v>100</v>
      </c>
      <c r="I39" s="2089"/>
      <c r="J39" s="392">
        <f>SUMIF(116:116,I39,117:117)-SUMIF(116:116,C39,117:117)+100</f>
        <v>100</v>
      </c>
      <c r="K39" s="567"/>
      <c r="L39" s="2945"/>
      <c r="M39" s="2939"/>
      <c r="N39" s="2939"/>
      <c r="O39" s="2939"/>
      <c r="P39" s="3336"/>
      <c r="Q39" s="1534" t="str">
        <f t="shared" si="11"/>
        <v>层高</v>
      </c>
      <c r="R39" s="712" t="s">
        <v>17</v>
      </c>
      <c r="S39" s="713">
        <f t="shared" si="12"/>
        <v>100</v>
      </c>
      <c r="T39" s="712" t="s">
        <v>17</v>
      </c>
      <c r="U39" s="713">
        <f t="shared" si="13"/>
        <v>100</v>
      </c>
      <c r="V39" s="712" t="s">
        <v>17</v>
      </c>
      <c r="W39" s="713">
        <f t="shared" si="14"/>
        <v>100</v>
      </c>
      <c r="X39" s="1537"/>
      <c r="Y39" s="3297"/>
      <c r="Z39" s="1538" t="str">
        <f t="shared" si="15"/>
        <v>层高</v>
      </c>
      <c r="AA39" s="1535">
        <f t="shared" si="3"/>
        <v>1</v>
      </c>
      <c r="AB39" s="1535">
        <f t="shared" si="4"/>
        <v>1</v>
      </c>
      <c r="AC39" s="1535">
        <f t="shared" si="5"/>
        <v>1</v>
      </c>
    </row>
    <row r="40" spans="1:29" ht="15">
      <c r="A40" s="429"/>
      <c r="B40" s="379" t="s">
        <v>2484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5"/>
      <c r="M40" s="2939"/>
      <c r="N40" s="2939"/>
      <c r="O40" s="2939"/>
      <c r="P40" s="3336"/>
      <c r="Q40" s="1534" t="str">
        <f t="shared" si="11"/>
        <v>单套建筑面积</v>
      </c>
      <c r="R40" s="712" t="s">
        <v>17</v>
      </c>
      <c r="S40" s="713">
        <f t="shared" si="12"/>
        <v>100</v>
      </c>
      <c r="T40" s="712" t="s">
        <v>17</v>
      </c>
      <c r="U40" s="713">
        <f t="shared" si="13"/>
        <v>100</v>
      </c>
      <c r="V40" s="712" t="s">
        <v>17</v>
      </c>
      <c r="W40" s="713">
        <f t="shared" si="14"/>
        <v>100</v>
      </c>
      <c r="X40" s="1537"/>
      <c r="Y40" s="3297"/>
      <c r="Z40" s="1538" t="str">
        <f t="shared" si="15"/>
        <v>单套建筑面积</v>
      </c>
      <c r="AA40" s="1535">
        <f t="shared" si="3"/>
        <v>1</v>
      </c>
      <c r="AB40" s="1535">
        <f t="shared" si="4"/>
        <v>1</v>
      </c>
      <c r="AC40" s="1535">
        <f t="shared" si="5"/>
        <v>1</v>
      </c>
    </row>
    <row r="41" spans="1:29" s="428" customFormat="1" ht="15">
      <c r="A41" s="425"/>
      <c r="B41" s="1536" t="s">
        <v>2485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4"/>
      <c r="M41" s="2946"/>
      <c r="N41" s="2946"/>
      <c r="O41" s="2946"/>
      <c r="P41" s="3336"/>
      <c r="Q41" s="714" t="str">
        <f t="shared" si="11"/>
        <v>进深比</v>
      </c>
      <c r="R41" s="715" t="s">
        <v>17</v>
      </c>
      <c r="S41" s="716">
        <f t="shared" si="12"/>
        <v>100</v>
      </c>
      <c r="T41" s="715" t="s">
        <v>17</v>
      </c>
      <c r="U41" s="716">
        <f t="shared" si="13"/>
        <v>100</v>
      </c>
      <c r="V41" s="715" t="s">
        <v>17</v>
      </c>
      <c r="W41" s="716">
        <f t="shared" si="14"/>
        <v>100</v>
      </c>
      <c r="X41" s="717"/>
      <c r="Y41" s="3297"/>
      <c r="Z41" s="718" t="str">
        <f t="shared" si="15"/>
        <v>进深比</v>
      </c>
      <c r="AA41" s="1535">
        <f t="shared" si="3"/>
        <v>1</v>
      </c>
      <c r="AB41" s="1535">
        <f t="shared" si="4"/>
        <v>1</v>
      </c>
      <c r="AC41" s="1535">
        <f t="shared" si="5"/>
        <v>1</v>
      </c>
    </row>
    <row r="42" spans="1:29" ht="15">
      <c r="A42" s="429"/>
      <c r="B42" s="379" t="s">
        <v>2486</v>
      </c>
      <c r="C42" s="2089"/>
      <c r="D42" s="392">
        <v>100</v>
      </c>
      <c r="E42" s="2089"/>
      <c r="F42" s="418">
        <f>SUMIF(122:122,E42,123:123)-SUMIF(122:122,C42,123:123)+100</f>
        <v>100</v>
      </c>
      <c r="G42" s="2089"/>
      <c r="H42" s="392">
        <f>SUMIF(122:122,G42,123:123)-SUMIF(122:122,C42,123:123)+100</f>
        <v>100</v>
      </c>
      <c r="I42" s="2089"/>
      <c r="J42" s="392">
        <f>SUMIF(122:122,I42,123:123)-SUMIF(122:122,C42,123:123)+100</f>
        <v>100</v>
      </c>
      <c r="K42" s="567"/>
      <c r="L42" s="2945"/>
      <c r="M42" s="2939"/>
      <c r="N42" s="2939"/>
      <c r="O42" s="2939"/>
      <c r="P42" s="3336"/>
      <c r="Q42" s="1534" t="str">
        <f t="shared" si="11"/>
        <v>内部装修</v>
      </c>
      <c r="R42" s="712" t="s">
        <v>17</v>
      </c>
      <c r="S42" s="713">
        <f t="shared" si="12"/>
        <v>100</v>
      </c>
      <c r="T42" s="712" t="s">
        <v>17</v>
      </c>
      <c r="U42" s="713">
        <f t="shared" si="13"/>
        <v>100</v>
      </c>
      <c r="V42" s="712" t="s">
        <v>17</v>
      </c>
      <c r="W42" s="713">
        <f t="shared" si="14"/>
        <v>100</v>
      </c>
      <c r="X42" s="1537"/>
      <c r="Y42" s="3297"/>
      <c r="Z42" s="1538" t="str">
        <f t="shared" si="15"/>
        <v>内部装修</v>
      </c>
      <c r="AA42" s="1535">
        <f t="shared" si="3"/>
        <v>1</v>
      </c>
      <c r="AB42" s="1535">
        <f t="shared" si="4"/>
        <v>1</v>
      </c>
      <c r="AC42" s="1535">
        <f t="shared" si="5"/>
        <v>1</v>
      </c>
    </row>
    <row r="43" spans="1:29" ht="15">
      <c r="A43" s="429"/>
      <c r="B43" s="379" t="s">
        <v>2394</v>
      </c>
      <c r="C43" s="2089"/>
      <c r="D43" s="392">
        <v>100</v>
      </c>
      <c r="E43" s="2089"/>
      <c r="F43" s="418">
        <f>SUMIF(124:124,E43,125:125)-SUMIF(124:124,C43,125:125)+100</f>
        <v>100</v>
      </c>
      <c r="G43" s="2089"/>
      <c r="H43" s="392">
        <f>SUMIF(124:124,G43,125:125)-SUMIF(124:124,C43,125:125)+100</f>
        <v>100</v>
      </c>
      <c r="I43" s="2089"/>
      <c r="J43" s="392">
        <f>SUMIF(124:124,I43,125:125)-SUMIF(124:124,C43,125:125)+100</f>
        <v>100</v>
      </c>
      <c r="K43" s="567"/>
      <c r="L43" s="2945"/>
      <c r="M43" s="2939"/>
      <c r="N43" s="2939"/>
      <c r="O43" s="2939"/>
      <c r="P43" s="3336"/>
      <c r="Q43" s="1534" t="str">
        <f t="shared" si="11"/>
        <v>内部装修维护情况</v>
      </c>
      <c r="R43" s="712" t="s">
        <v>17</v>
      </c>
      <c r="S43" s="713">
        <f t="shared" si="12"/>
        <v>100</v>
      </c>
      <c r="T43" s="712" t="s">
        <v>17</v>
      </c>
      <c r="U43" s="713">
        <f t="shared" si="13"/>
        <v>100</v>
      </c>
      <c r="V43" s="712" t="s">
        <v>17</v>
      </c>
      <c r="W43" s="713">
        <f t="shared" si="14"/>
        <v>100</v>
      </c>
      <c r="X43" s="1537"/>
      <c r="Y43" s="3297"/>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0"/>
      <c r="M44" s="2941"/>
      <c r="N44" s="2941"/>
      <c r="O44" s="2941"/>
      <c r="P44" s="3336"/>
      <c r="Q44" s="1525">
        <f t="shared" si="11"/>
        <v>111</v>
      </c>
      <c r="R44" s="708" t="s">
        <v>17</v>
      </c>
      <c r="S44" s="709">
        <f t="shared" si="12"/>
        <v>100</v>
      </c>
      <c r="T44" s="708" t="s">
        <v>17</v>
      </c>
      <c r="U44" s="709">
        <f t="shared" si="13"/>
        <v>100</v>
      </c>
      <c r="V44" s="708" t="s">
        <v>17</v>
      </c>
      <c r="W44" s="709">
        <f t="shared" si="14"/>
        <v>100</v>
      </c>
      <c r="X44" s="710"/>
      <c r="Y44" s="3297"/>
      <c r="Z44" s="54">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5"/>
      <c r="M45" s="2939"/>
      <c r="N45" s="2939"/>
      <c r="O45" s="2939"/>
      <c r="P45" s="3336"/>
      <c r="Q45" s="1534">
        <f t="shared" si="11"/>
        <v>111</v>
      </c>
      <c r="R45" s="712" t="s">
        <v>17</v>
      </c>
      <c r="S45" s="713">
        <f t="shared" si="12"/>
        <v>100</v>
      </c>
      <c r="T45" s="712" t="s">
        <v>17</v>
      </c>
      <c r="U45" s="713">
        <f t="shared" si="13"/>
        <v>100</v>
      </c>
      <c r="V45" s="712" t="s">
        <v>17</v>
      </c>
      <c r="W45" s="713">
        <f t="shared" si="14"/>
        <v>100</v>
      </c>
      <c r="X45" s="1537"/>
      <c r="Y45" s="3297"/>
      <c r="Z45" s="1538">
        <f t="shared" si="15"/>
        <v>111</v>
      </c>
      <c r="AA45" s="1535">
        <f t="shared" si="3"/>
        <v>1</v>
      </c>
      <c r="AB45" s="1535">
        <f t="shared" si="4"/>
        <v>1</v>
      </c>
      <c r="AC45" s="1535">
        <f t="shared" si="5"/>
        <v>1</v>
      </c>
    </row>
    <row r="46" spans="1:29" ht="15.75" thickBot="1">
      <c r="A46" s="435"/>
      <c r="B46" s="2078">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5"/>
      <c r="M46" s="2939"/>
      <c r="N46" s="2939"/>
      <c r="O46" s="2939"/>
      <c r="P46" s="3337"/>
      <c r="Q46" s="1534">
        <f t="shared" si="11"/>
        <v>111</v>
      </c>
      <c r="R46" s="712" t="s">
        <v>17</v>
      </c>
      <c r="S46" s="713">
        <f t="shared" si="12"/>
        <v>100</v>
      </c>
      <c r="T46" s="712" t="s">
        <v>17</v>
      </c>
      <c r="U46" s="713">
        <f t="shared" si="13"/>
        <v>100</v>
      </c>
      <c r="V46" s="712" t="s">
        <v>17</v>
      </c>
      <c r="W46" s="713">
        <f t="shared" si="14"/>
        <v>100</v>
      </c>
      <c r="X46" s="1537"/>
      <c r="Y46" s="3338"/>
      <c r="Z46" s="1538">
        <f t="shared" si="15"/>
        <v>111</v>
      </c>
      <c r="AA46" s="1535">
        <f t="shared" si="3"/>
        <v>1</v>
      </c>
      <c r="AB46" s="1535">
        <f t="shared" si="4"/>
        <v>1</v>
      </c>
      <c r="AC46" s="1535">
        <f t="shared" si="5"/>
        <v>1</v>
      </c>
    </row>
    <row r="47" spans="1:29" ht="15">
      <c r="A47" s="436" t="s">
        <v>2395</v>
      </c>
      <c r="B47" s="437"/>
      <c r="C47" s="1314" t="s">
        <v>1</v>
      </c>
      <c r="D47" s="1315"/>
      <c r="E47" s="1316"/>
      <c r="F47" s="1317"/>
      <c r="G47" s="1318"/>
      <c r="H47" s="1319"/>
      <c r="I47" s="1316"/>
      <c r="J47" s="1319"/>
      <c r="K47" s="721"/>
      <c r="L47" s="2947"/>
      <c r="M47" s="2948"/>
      <c r="N47" s="2939"/>
      <c r="O47" s="2948"/>
      <c r="P47" s="3279" t="str">
        <f>A47</f>
        <v>成交单价（元/平方米）</v>
      </c>
      <c r="Q47" s="3279"/>
      <c r="R47" s="3292">
        <f>E47</f>
        <v>0</v>
      </c>
      <c r="S47" s="3292"/>
      <c r="T47" s="3292">
        <f>G47</f>
        <v>0</v>
      </c>
      <c r="U47" s="3292"/>
      <c r="V47" s="3292">
        <f>I47</f>
        <v>0</v>
      </c>
      <c r="W47" s="3292"/>
      <c r="X47" s="697"/>
      <c r="Y47" s="719"/>
      <c r="Z47" s="697"/>
      <c r="AA47" s="697"/>
      <c r="AB47" s="697"/>
      <c r="AC47" s="697"/>
    </row>
    <row r="48" spans="1:29" ht="15.75" thickBot="1">
      <c r="A48" s="443" t="s">
        <v>2487</v>
      </c>
      <c r="B48" s="444"/>
      <c r="C48" s="1320" t="e">
        <f>R49</f>
        <v>#DIV/0!</v>
      </c>
      <c r="D48" s="2535" t="s">
        <v>2876</v>
      </c>
      <c r="E48" s="1321" t="e">
        <f>R48</f>
        <v>#DIV/0!</v>
      </c>
      <c r="F48" s="2536"/>
      <c r="G48" s="1320" t="e">
        <f>T48</f>
        <v>#DIV/0!</v>
      </c>
      <c r="H48" s="2536"/>
      <c r="I48" s="1321" t="e">
        <f>V48</f>
        <v>#DIV/0!</v>
      </c>
      <c r="J48" s="2536"/>
      <c r="K48" s="2538">
        <f>F48+H48+J48</f>
        <v>0</v>
      </c>
      <c r="L48" s="2947"/>
      <c r="M48" s="2948"/>
      <c r="N48" s="2939"/>
      <c r="O48" s="2948"/>
      <c r="P48" s="3279" t="str">
        <f>A48</f>
        <v>比较价值（元/平方米）</v>
      </c>
      <c r="Q48" s="3279"/>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7"/>
      <c r="Y48" s="697"/>
      <c r="Z48" s="697"/>
      <c r="AA48" s="697"/>
      <c r="AB48" s="697"/>
      <c r="AC48" s="697"/>
    </row>
    <row r="49" spans="1:29" ht="15.75" thickBot="1">
      <c r="A49" s="447" t="s">
        <v>2488</v>
      </c>
      <c r="B49" s="448"/>
      <c r="C49" s="1323" t="e">
        <f>R49</f>
        <v>#DIV/0!</v>
      </c>
      <c r="D49" s="1323"/>
      <c r="E49" s="1323"/>
      <c r="F49" s="1323"/>
      <c r="G49" s="1323"/>
      <c r="H49" s="1323"/>
      <c r="I49" s="1323"/>
      <c r="J49" s="1323"/>
      <c r="K49" s="722"/>
      <c r="L49" s="2947"/>
      <c r="M49" s="2948"/>
      <c r="N49" s="2939"/>
      <c r="O49" s="2948"/>
      <c r="P49" s="3299" t="str">
        <f>A49</f>
        <v>估价对象XX用房的比较价值（楼面单价，元/平方米）</v>
      </c>
      <c r="Q49" s="3300"/>
      <c r="R49" s="3333" t="e">
        <f>IF(F1="售价",ROUND(IF(D48="简单平均",AVERAGE(R48:V48),R48*F48+T48*H48+V48*J48),0),ROUND(IF(D48="简单平均",AVERAGE(R48:V48),R48*F48+T48*H48+V48*J48),1))</f>
        <v>#DIV/0!</v>
      </c>
      <c r="S49" s="3333"/>
      <c r="T49" s="3333"/>
      <c r="U49" s="3333"/>
      <c r="V49" s="3333"/>
      <c r="W49" s="3333"/>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2" t="s">
        <v>2489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2" t="s">
        <v>2490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7" customFormat="1" ht="13.5" customHeight="1">
      <c r="A54" s="2951"/>
      <c r="B54" s="2951"/>
      <c r="C54" s="452" t="s">
        <v>2491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7"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1" t="s">
        <v>2492</v>
      </c>
      <c r="B57" s="697"/>
      <c r="C57" s="702"/>
      <c r="D57" s="702"/>
      <c r="E57" s="702"/>
      <c r="F57" s="703"/>
      <c r="G57" s="703"/>
      <c r="H57" s="702"/>
      <c r="I57" s="702"/>
      <c r="J57" s="702"/>
      <c r="K57" s="704"/>
      <c r="L57" s="1071"/>
      <c r="M57" s="1069"/>
      <c r="N57" s="1069"/>
      <c r="O57" s="1069"/>
      <c r="P57" s="2961"/>
      <c r="Q57" s="2962"/>
      <c r="R57" s="2948"/>
      <c r="S57" s="2948"/>
      <c r="T57" s="2948"/>
      <c r="U57" s="2948"/>
      <c r="V57" s="2948"/>
      <c r="W57" s="2948"/>
      <c r="X57" s="2948"/>
      <c r="Y57" s="2948"/>
      <c r="Z57" s="2948"/>
      <c r="AA57" s="2948"/>
      <c r="AB57" s="2948"/>
      <c r="AC57" s="2948"/>
    </row>
    <row r="58" spans="1:29" s="463" customFormat="1" ht="15">
      <c r="A58" s="460" t="s">
        <v>2366</v>
      </c>
      <c r="B58" s="461"/>
      <c r="C58" s="1343" t="str">
        <f>YEAR(C7)&amp;"-"&amp;MONTH(C7)</f>
        <v>2021-4</v>
      </c>
      <c r="D58" s="1344">
        <f>EDATE(C58,-1)</f>
        <v>44256</v>
      </c>
      <c r="E58" s="1344">
        <f t="shared" ref="E58:N58" si="16">EDATE(D58,-1)</f>
        <v>44228</v>
      </c>
      <c r="F58" s="1344">
        <f t="shared" si="16"/>
        <v>44197</v>
      </c>
      <c r="G58" s="1344">
        <f t="shared" si="16"/>
        <v>44166</v>
      </c>
      <c r="H58" s="1344">
        <f t="shared" si="16"/>
        <v>44136</v>
      </c>
      <c r="I58" s="1344">
        <f t="shared" si="16"/>
        <v>44105</v>
      </c>
      <c r="J58" s="1344">
        <f t="shared" si="16"/>
        <v>44075</v>
      </c>
      <c r="K58" s="1344">
        <f t="shared" si="16"/>
        <v>44044</v>
      </c>
      <c r="L58" s="1344">
        <f t="shared" si="16"/>
        <v>44013</v>
      </c>
      <c r="M58" s="1344">
        <f t="shared" si="16"/>
        <v>43983</v>
      </c>
      <c r="N58" s="1344">
        <f t="shared" si="16"/>
        <v>43952</v>
      </c>
      <c r="O58" s="1344">
        <f>EDATE(N58,-1)</f>
        <v>43922</v>
      </c>
      <c r="P58" s="2963"/>
      <c r="Q58" s="2964"/>
      <c r="R58" s="2964"/>
      <c r="S58" s="2964"/>
      <c r="T58" s="2964"/>
      <c r="U58" s="2964"/>
      <c r="V58" s="2964"/>
      <c r="W58" s="2964"/>
      <c r="X58" s="2964"/>
      <c r="Y58" s="2964"/>
      <c r="Z58" s="2964"/>
      <c r="AA58" s="2964"/>
      <c r="AB58" s="2964"/>
      <c r="AC58" s="2964"/>
    </row>
    <row r="59" spans="1:29" s="112" customFormat="1" ht="15">
      <c r="A59" s="464"/>
      <c r="B59" s="465"/>
      <c r="C59" s="1342">
        <v>100</v>
      </c>
      <c r="D59" s="467"/>
      <c r="E59" s="467"/>
      <c r="F59" s="467"/>
      <c r="G59" s="467"/>
      <c r="H59" s="467"/>
      <c r="I59" s="467"/>
      <c r="J59" s="467"/>
      <c r="K59" s="467"/>
      <c r="L59" s="467"/>
      <c r="M59" s="468"/>
      <c r="N59" s="467"/>
      <c r="O59" s="468"/>
      <c r="P59" s="2965"/>
      <c r="Q59" s="2882"/>
      <c r="R59" s="2882"/>
      <c r="S59" s="2882"/>
      <c r="T59" s="2882"/>
      <c r="U59" s="2882"/>
      <c r="V59" s="2882"/>
      <c r="W59" s="2882"/>
      <c r="X59" s="2882"/>
      <c r="Y59" s="2882"/>
      <c r="Z59" s="2882"/>
      <c r="AA59" s="2882"/>
      <c r="AB59" s="2882"/>
      <c r="AC59" s="2882"/>
    </row>
    <row r="60" spans="1:29" s="112" customFormat="1" ht="15.75" thickBot="1">
      <c r="A60" s="470" t="s">
        <v>2403</v>
      </c>
      <c r="B60" s="471"/>
      <c r="C60" s="472"/>
      <c r="D60" s="473"/>
      <c r="E60" s="473"/>
      <c r="F60" s="473"/>
      <c r="G60" s="473"/>
      <c r="H60" s="473"/>
      <c r="I60" s="473"/>
      <c r="J60" s="473"/>
      <c r="K60" s="473"/>
      <c r="L60" s="473"/>
      <c r="M60" s="474"/>
      <c r="N60" s="473"/>
      <c r="O60" s="474"/>
      <c r="P60" s="2965"/>
      <c r="Q60" s="2962"/>
      <c r="R60" s="2882"/>
      <c r="S60" s="2882"/>
      <c r="T60" s="2882"/>
      <c r="U60" s="2882"/>
      <c r="V60" s="2882"/>
      <c r="W60" s="2882"/>
      <c r="X60" s="2882"/>
      <c r="Y60" s="2882"/>
      <c r="Z60" s="2882"/>
      <c r="AA60" s="2882"/>
      <c r="AB60" s="2882"/>
      <c r="AC60" s="2882"/>
    </row>
    <row r="61" spans="1:29" s="112" customFormat="1" ht="15">
      <c r="A61" s="476" t="s">
        <v>2368</v>
      </c>
      <c r="B61" s="465"/>
      <c r="C61" s="477" t="s">
        <v>2470</v>
      </c>
      <c r="D61" s="478"/>
      <c r="E61" s="478"/>
      <c r="F61" s="478"/>
      <c r="G61" s="478"/>
      <c r="H61" s="478"/>
      <c r="I61" s="478"/>
      <c r="J61" s="478"/>
      <c r="K61" s="478"/>
      <c r="L61" s="479"/>
      <c r="M61" s="480"/>
      <c r="N61" s="2975"/>
      <c r="O61" s="2975"/>
      <c r="P61" s="2966"/>
      <c r="Q61" s="2962"/>
      <c r="R61" s="2882"/>
      <c r="S61" s="2882"/>
      <c r="T61" s="2882"/>
      <c r="U61" s="2882"/>
      <c r="V61" s="2882"/>
      <c r="W61" s="2882"/>
      <c r="X61" s="2882"/>
      <c r="Y61" s="2882"/>
      <c r="Z61" s="2882"/>
      <c r="AA61" s="2882"/>
      <c r="AB61" s="2882"/>
      <c r="AC61" s="2882"/>
    </row>
    <row r="62" spans="1:29" s="112" customFormat="1" ht="15.75" thickBot="1">
      <c r="A62" s="476"/>
      <c r="B62" s="465"/>
      <c r="C62" s="466">
        <v>100</v>
      </c>
      <c r="D62" s="467"/>
      <c r="E62" s="467"/>
      <c r="F62" s="467"/>
      <c r="G62" s="467"/>
      <c r="H62" s="467"/>
      <c r="I62" s="467"/>
      <c r="J62" s="467"/>
      <c r="K62" s="467"/>
      <c r="L62" s="467"/>
      <c r="M62" s="469"/>
      <c r="N62" s="2975"/>
      <c r="O62" s="2975"/>
      <c r="P62" s="2965"/>
      <c r="Q62" s="2962"/>
      <c r="R62" s="2882"/>
      <c r="S62" s="2882"/>
      <c r="T62" s="2882"/>
      <c r="U62" s="2882"/>
      <c r="V62" s="2882"/>
      <c r="W62" s="2882"/>
      <c r="X62" s="2882"/>
      <c r="Y62" s="2882"/>
      <c r="Z62" s="2882"/>
      <c r="AA62" s="2882"/>
      <c r="AB62" s="2882"/>
      <c r="AC62" s="2882"/>
    </row>
    <row r="63" spans="1:29">
      <c r="A63" s="482" t="s">
        <v>2406</v>
      </c>
      <c r="B63" s="483" t="s">
        <v>2372</v>
      </c>
      <c r="C63" s="484">
        <f>C9</f>
        <v>0</v>
      </c>
      <c r="D63" s="485"/>
      <c r="E63" s="485"/>
      <c r="F63" s="485"/>
      <c r="G63" s="485"/>
      <c r="H63" s="485"/>
      <c r="I63" s="485"/>
      <c r="J63" s="485"/>
      <c r="K63" s="486"/>
      <c r="L63" s="487"/>
      <c r="M63" s="488"/>
      <c r="N63" s="2976"/>
      <c r="O63" s="2976"/>
      <c r="P63" s="2967"/>
      <c r="Q63" s="2962"/>
      <c r="R63" s="2948"/>
      <c r="S63" s="2948"/>
      <c r="T63" s="2948"/>
      <c r="U63" s="2948"/>
      <c r="V63" s="2948"/>
      <c r="W63" s="2948"/>
      <c r="X63" s="2948"/>
      <c r="Y63" s="2948"/>
      <c r="Z63" s="2948"/>
      <c r="AA63" s="2948"/>
      <c r="AB63" s="2948"/>
      <c r="AC63" s="2948"/>
    </row>
    <row r="64" spans="1:29" ht="15.75" thickBot="1">
      <c r="A64" s="489"/>
      <c r="B64" s="490"/>
      <c r="C64" s="491">
        <v>100</v>
      </c>
      <c r="D64" s="491"/>
      <c r="E64" s="491"/>
      <c r="F64" s="491"/>
      <c r="G64" s="491"/>
      <c r="H64" s="491"/>
      <c r="I64" s="491"/>
      <c r="J64" s="491"/>
      <c r="K64" s="491"/>
      <c r="L64" s="491"/>
      <c r="M64" s="492"/>
      <c r="N64" s="2977"/>
      <c r="O64" s="2977"/>
      <c r="P64" s="2967"/>
      <c r="Q64" s="2962"/>
      <c r="R64" s="2948"/>
      <c r="S64" s="2948"/>
      <c r="T64" s="2948"/>
      <c r="U64" s="2948"/>
      <c r="V64" s="2948"/>
      <c r="W64" s="2948"/>
      <c r="X64" s="2948"/>
      <c r="Y64" s="2948"/>
      <c r="Z64" s="2948"/>
      <c r="AA64" s="2948"/>
      <c r="AB64" s="2948"/>
      <c r="AC64" s="2948"/>
    </row>
    <row r="65" spans="1:29" ht="27.75" thickTop="1">
      <c r="A65" s="489"/>
      <c r="B65" s="493" t="s">
        <v>2375</v>
      </c>
      <c r="C65" s="494" t="s">
        <v>2407</v>
      </c>
      <c r="D65" s="494" t="s">
        <v>2408</v>
      </c>
      <c r="E65" s="494" t="s">
        <v>2409</v>
      </c>
      <c r="F65" s="494" t="s">
        <v>2410</v>
      </c>
      <c r="G65" s="494" t="s">
        <v>2411</v>
      </c>
      <c r="H65" s="494" t="s">
        <v>2412</v>
      </c>
      <c r="I65" s="494" t="s">
        <v>2413</v>
      </c>
      <c r="J65" s="494"/>
      <c r="K65" s="495"/>
      <c r="L65" s="496"/>
      <c r="M65" s="497"/>
      <c r="N65" s="2976"/>
      <c r="O65" s="2976"/>
      <c r="P65" s="2967"/>
      <c r="Q65" s="2962"/>
      <c r="R65" s="2948"/>
      <c r="S65" s="2948"/>
      <c r="T65" s="2948"/>
      <c r="U65" s="2948"/>
      <c r="V65" s="2948"/>
      <c r="W65" s="2948"/>
      <c r="X65" s="2948"/>
      <c r="Y65" s="2948"/>
      <c r="Z65" s="2948"/>
      <c r="AA65" s="2948"/>
      <c r="AB65" s="2948"/>
      <c r="AC65" s="2948"/>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7"/>
      <c r="O66" s="2977"/>
      <c r="P66" s="2967"/>
      <c r="Q66" s="2962"/>
      <c r="R66" s="2948"/>
      <c r="S66" s="2948"/>
      <c r="T66" s="2948"/>
      <c r="U66" s="2948"/>
      <c r="V66" s="2948"/>
      <c r="W66" s="2948"/>
      <c r="X66" s="2948"/>
      <c r="Y66" s="2948"/>
      <c r="Z66" s="2948"/>
      <c r="AA66" s="2948"/>
      <c r="AB66" s="2948"/>
      <c r="AC66" s="2948"/>
    </row>
    <row r="67" spans="1:29" ht="15.75" thickTop="1">
      <c r="A67" s="489"/>
      <c r="B67" s="501" t="s">
        <v>2376</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89"/>
      <c r="B68" s="503"/>
      <c r="C68" s="504"/>
      <c r="D68" s="504"/>
      <c r="E68" s="504"/>
      <c r="F68" s="504"/>
      <c r="G68" s="504"/>
      <c r="H68" s="504"/>
      <c r="I68" s="504"/>
      <c r="J68" s="504"/>
      <c r="K68" s="505"/>
      <c r="L68" s="506"/>
      <c r="M68" s="507"/>
      <c r="N68" s="2976"/>
      <c r="O68" s="2976"/>
      <c r="P68" s="2967"/>
      <c r="Q68" s="2962"/>
      <c r="R68" s="2948"/>
      <c r="S68" s="2948"/>
      <c r="T68" s="2948"/>
      <c r="U68" s="2948"/>
      <c r="V68" s="2948"/>
      <c r="W68" s="2948"/>
      <c r="X68" s="2948"/>
      <c r="Y68" s="2948"/>
      <c r="Z68" s="2948"/>
      <c r="AA68" s="2948"/>
      <c r="AB68" s="2948"/>
      <c r="AC68" s="2948"/>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7"/>
      <c r="O69" s="2977"/>
      <c r="P69" s="2967"/>
      <c r="Q69" s="2962"/>
      <c r="R69" s="2948"/>
      <c r="S69" s="2948"/>
      <c r="T69" s="2948"/>
      <c r="U69" s="2948"/>
      <c r="V69" s="2948"/>
      <c r="W69" s="2948"/>
      <c r="X69" s="2948"/>
      <c r="Y69" s="2948"/>
      <c r="Z69" s="2948"/>
      <c r="AA69" s="2948"/>
      <c r="AB69" s="2948"/>
      <c r="AC69" s="2948"/>
    </row>
    <row r="70" spans="1:29" s="428" customFormat="1" ht="15.75" thickTop="1">
      <c r="A70" s="508"/>
      <c r="B70" s="493">
        <f>B12</f>
        <v>111</v>
      </c>
      <c r="C70" s="509"/>
      <c r="D70" s="509"/>
      <c r="E70" s="509"/>
      <c r="F70" s="509"/>
      <c r="G70" s="509"/>
      <c r="H70" s="510"/>
      <c r="I70" s="510"/>
      <c r="J70" s="510"/>
      <c r="K70" s="510"/>
      <c r="L70" s="511"/>
      <c r="M70" s="512"/>
      <c r="N70" s="2978"/>
      <c r="O70" s="2978"/>
      <c r="P70" s="2968"/>
      <c r="Q70" s="2969"/>
      <c r="R70" s="2970"/>
      <c r="S70" s="2970"/>
      <c r="T70" s="2970"/>
      <c r="U70" s="2970"/>
      <c r="V70" s="2970"/>
      <c r="W70" s="2970"/>
      <c r="X70" s="2970"/>
      <c r="Y70" s="2970"/>
      <c r="Z70" s="2970"/>
      <c r="AA70" s="2970"/>
      <c r="AB70" s="2970"/>
      <c r="AC70" s="2970"/>
    </row>
    <row r="71" spans="1:29" s="428" customFormat="1" ht="15.75" thickBot="1">
      <c r="A71" s="508"/>
      <c r="B71" s="498"/>
      <c r="C71" s="515"/>
      <c r="D71" s="491"/>
      <c r="E71" s="491"/>
      <c r="F71" s="491"/>
      <c r="G71" s="491"/>
      <c r="H71" s="491"/>
      <c r="I71" s="491"/>
      <c r="J71" s="491"/>
      <c r="K71" s="491"/>
      <c r="L71" s="491"/>
      <c r="M71" s="492"/>
      <c r="N71" s="2977"/>
      <c r="O71" s="2977"/>
      <c r="P71" s="2968"/>
      <c r="Q71" s="2969"/>
      <c r="R71" s="2970"/>
      <c r="S71" s="2970"/>
      <c r="T71" s="2970"/>
      <c r="U71" s="2970"/>
      <c r="V71" s="2970"/>
      <c r="W71" s="2970"/>
      <c r="X71" s="2970"/>
      <c r="Y71" s="2970"/>
      <c r="Z71" s="2970"/>
      <c r="AA71" s="2970"/>
      <c r="AB71" s="2970"/>
      <c r="AC71" s="2970"/>
    </row>
    <row r="72" spans="1:29" s="428" customFormat="1" ht="15.75" thickTop="1">
      <c r="A72" s="508"/>
      <c r="B72" s="493">
        <f>B13</f>
        <v>111</v>
      </c>
      <c r="C72" s="509"/>
      <c r="D72" s="509"/>
      <c r="E72" s="509"/>
      <c r="F72" s="509"/>
      <c r="G72" s="509"/>
      <c r="H72" s="510"/>
      <c r="I72" s="510"/>
      <c r="J72" s="510"/>
      <c r="K72" s="510"/>
      <c r="L72" s="511"/>
      <c r="M72" s="512"/>
      <c r="N72" s="2978"/>
      <c r="O72" s="2978"/>
      <c r="P72" s="2971"/>
      <c r="Q72" s="2972"/>
      <c r="R72" s="2970"/>
      <c r="S72" s="2970"/>
      <c r="T72" s="2970"/>
      <c r="U72" s="2970"/>
      <c r="V72" s="2970"/>
      <c r="W72" s="2970"/>
      <c r="X72" s="2970"/>
      <c r="Y72" s="2970"/>
      <c r="Z72" s="2970"/>
      <c r="AA72" s="2970"/>
      <c r="AB72" s="2970"/>
      <c r="AC72" s="2970"/>
    </row>
    <row r="73" spans="1:29" s="428" customFormat="1" ht="15.75" thickBot="1">
      <c r="A73" s="508"/>
      <c r="B73" s="498"/>
      <c r="C73" s="515"/>
      <c r="D73" s="491"/>
      <c r="E73" s="491"/>
      <c r="F73" s="491"/>
      <c r="G73" s="515"/>
      <c r="H73" s="517"/>
      <c r="I73" s="517"/>
      <c r="J73" s="517"/>
      <c r="K73" s="517"/>
      <c r="L73" s="517"/>
      <c r="M73" s="518"/>
      <c r="N73" s="2978"/>
      <c r="O73" s="2978"/>
      <c r="P73" s="2968"/>
      <c r="Q73" s="2969"/>
      <c r="R73" s="2970"/>
      <c r="S73" s="2970"/>
      <c r="T73" s="2970"/>
      <c r="U73" s="2970"/>
      <c r="V73" s="2970"/>
      <c r="W73" s="2970"/>
      <c r="X73" s="2970"/>
      <c r="Y73" s="2970"/>
      <c r="Z73" s="2970"/>
      <c r="AA73" s="2970"/>
      <c r="AB73" s="2970"/>
      <c r="AC73" s="2970"/>
    </row>
    <row r="74" spans="1:29" s="428" customFormat="1" ht="15.75" thickTop="1">
      <c r="A74" s="508"/>
      <c r="B74" s="501">
        <f>B14</f>
        <v>111</v>
      </c>
      <c r="C74" s="509"/>
      <c r="D74" s="509"/>
      <c r="E74" s="509"/>
      <c r="F74" s="509"/>
      <c r="G74" s="478"/>
      <c r="H74" s="519"/>
      <c r="I74" s="519"/>
      <c r="J74" s="519"/>
      <c r="K74" s="519"/>
      <c r="L74" s="520"/>
      <c r="M74" s="521"/>
      <c r="N74" s="2978"/>
      <c r="O74" s="2978"/>
      <c r="P74" s="2973"/>
      <c r="Q74" s="2969"/>
      <c r="R74" s="2970"/>
      <c r="S74" s="2970"/>
      <c r="T74" s="2970"/>
      <c r="U74" s="2970"/>
      <c r="V74" s="2970"/>
      <c r="W74" s="2970"/>
      <c r="X74" s="2970"/>
      <c r="Y74" s="2970"/>
      <c r="Z74" s="2970"/>
      <c r="AA74" s="2970"/>
      <c r="AB74" s="2970"/>
      <c r="AC74" s="2970"/>
    </row>
    <row r="75" spans="1:29" s="428" customFormat="1" ht="15.75" thickBot="1">
      <c r="A75" s="523"/>
      <c r="B75" s="524"/>
      <c r="C75" s="525"/>
      <c r="D75" s="525"/>
      <c r="E75" s="525"/>
      <c r="F75" s="525"/>
      <c r="G75" s="525"/>
      <c r="H75" s="526"/>
      <c r="I75" s="526"/>
      <c r="J75" s="526"/>
      <c r="K75" s="526"/>
      <c r="L75" s="526"/>
      <c r="M75" s="527"/>
      <c r="N75" s="2978"/>
      <c r="O75" s="2978"/>
      <c r="P75" s="2968"/>
      <c r="Q75" s="2969"/>
      <c r="R75" s="2970"/>
      <c r="S75" s="2970"/>
      <c r="T75" s="2970"/>
      <c r="U75" s="2970"/>
      <c r="V75" s="2970"/>
      <c r="W75" s="2970"/>
      <c r="X75" s="2970"/>
      <c r="Y75" s="2970"/>
      <c r="Z75" s="2970"/>
      <c r="AA75" s="2970"/>
      <c r="AB75" s="2970"/>
      <c r="AC75" s="2970"/>
    </row>
    <row r="76" spans="1:29">
      <c r="A76" s="482" t="s">
        <v>2377</v>
      </c>
      <c r="B76" s="483" t="s">
        <v>2414</v>
      </c>
      <c r="C76" s="528" t="s">
        <v>2415</v>
      </c>
      <c r="D76" s="528" t="s">
        <v>2416</v>
      </c>
      <c r="E76" s="528" t="s">
        <v>2417</v>
      </c>
      <c r="F76" s="528" t="s">
        <v>2418</v>
      </c>
      <c r="G76" s="528" t="s">
        <v>2419</v>
      </c>
      <c r="H76" s="484"/>
      <c r="I76" s="484"/>
      <c r="J76" s="484"/>
      <c r="K76" s="529"/>
      <c r="L76" s="530"/>
      <c r="M76" s="531"/>
      <c r="N76" s="2976"/>
      <c r="O76" s="2976"/>
      <c r="P76" s="2974"/>
      <c r="Q76" s="2962"/>
      <c r="R76" s="2948"/>
      <c r="S76" s="2948"/>
      <c r="T76" s="2948"/>
      <c r="U76" s="2948"/>
      <c r="V76" s="2948"/>
      <c r="W76" s="2948"/>
      <c r="X76" s="2948"/>
      <c r="Y76" s="2948"/>
      <c r="Z76" s="2948"/>
      <c r="AA76" s="2948"/>
      <c r="AB76" s="2948"/>
      <c r="AC76" s="2948"/>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7"/>
      <c r="O77" s="2977"/>
      <c r="P77" s="2967"/>
      <c r="Q77" s="2962"/>
      <c r="R77" s="2948"/>
      <c r="S77" s="2948"/>
      <c r="T77" s="2948"/>
      <c r="U77" s="2948"/>
      <c r="V77" s="2948"/>
      <c r="W77" s="2948"/>
      <c r="X77" s="2948"/>
      <c r="Y77" s="2948"/>
      <c r="Z77" s="2948"/>
      <c r="AA77" s="2948"/>
      <c r="AB77" s="2948"/>
      <c r="AC77" s="2948"/>
    </row>
    <row r="78" spans="1:29" ht="15.75" thickTop="1">
      <c r="A78" s="489"/>
      <c r="B78" s="493" t="s">
        <v>2420</v>
      </c>
      <c r="C78" s="533" t="s">
        <v>2415</v>
      </c>
      <c r="D78" s="533" t="s">
        <v>2416</v>
      </c>
      <c r="E78" s="533" t="s">
        <v>2417</v>
      </c>
      <c r="F78" s="533" t="s">
        <v>2418</v>
      </c>
      <c r="G78" s="533" t="s">
        <v>2419</v>
      </c>
      <c r="H78" s="494"/>
      <c r="I78" s="494"/>
      <c r="J78" s="494"/>
      <c r="K78" s="495"/>
      <c r="L78" s="496"/>
      <c r="M78" s="497"/>
      <c r="N78" s="2976"/>
      <c r="O78" s="2976"/>
      <c r="P78" s="2967"/>
      <c r="Q78" s="2962"/>
      <c r="R78" s="2948"/>
      <c r="S78" s="2948"/>
      <c r="T78" s="2948"/>
      <c r="U78" s="2948"/>
      <c r="V78" s="2948"/>
      <c r="W78" s="2948"/>
      <c r="X78" s="2948"/>
      <c r="Y78" s="2948"/>
      <c r="Z78" s="2948"/>
      <c r="AA78" s="2948"/>
      <c r="AB78" s="2948"/>
      <c r="AC78" s="2948"/>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7"/>
      <c r="O79" s="2977"/>
      <c r="P79" s="2967"/>
      <c r="Q79" s="2962"/>
      <c r="R79" s="2948"/>
      <c r="S79" s="2948"/>
      <c r="T79" s="2948"/>
      <c r="U79" s="2948"/>
      <c r="V79" s="2948"/>
      <c r="W79" s="2948"/>
      <c r="X79" s="2948"/>
      <c r="Y79" s="2948"/>
      <c r="Z79" s="2948"/>
      <c r="AA79" s="2948"/>
      <c r="AB79" s="2948"/>
      <c r="AC79" s="2948"/>
    </row>
    <row r="80" spans="1:29" ht="15.75" thickTop="1">
      <c r="A80" s="489"/>
      <c r="B80" s="493" t="s">
        <v>2421</v>
      </c>
      <c r="C80" s="533" t="s">
        <v>2415</v>
      </c>
      <c r="D80" s="533" t="s">
        <v>2416</v>
      </c>
      <c r="E80" s="533" t="s">
        <v>2417</v>
      </c>
      <c r="F80" s="533" t="s">
        <v>2418</v>
      </c>
      <c r="G80" s="533" t="s">
        <v>2419</v>
      </c>
      <c r="H80" s="494"/>
      <c r="I80" s="494"/>
      <c r="J80" s="494"/>
      <c r="K80" s="495"/>
      <c r="L80" s="496"/>
      <c r="M80" s="497"/>
      <c r="N80" s="2976"/>
      <c r="O80" s="2976"/>
      <c r="P80" s="2967"/>
      <c r="Q80" s="2962"/>
      <c r="R80" s="2948"/>
      <c r="S80" s="2948"/>
      <c r="T80" s="2948"/>
      <c r="U80" s="2948"/>
      <c r="V80" s="2948"/>
      <c r="W80" s="2948"/>
      <c r="X80" s="2948"/>
      <c r="Y80" s="2948"/>
      <c r="Z80" s="2948"/>
      <c r="AA80" s="2948"/>
      <c r="AB80" s="2948"/>
      <c r="AC80" s="2948"/>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7"/>
      <c r="O81" s="2977"/>
      <c r="P81" s="2967"/>
      <c r="Q81" s="2962"/>
      <c r="R81" s="2948"/>
      <c r="S81" s="2948"/>
      <c r="T81" s="2948"/>
      <c r="U81" s="2948"/>
      <c r="V81" s="2948"/>
      <c r="W81" s="2948"/>
      <c r="X81" s="2948"/>
      <c r="Y81" s="2948"/>
      <c r="Z81" s="2948"/>
      <c r="AA81" s="2948"/>
      <c r="AB81" s="2948"/>
      <c r="AC81" s="2948"/>
    </row>
    <row r="82" spans="1:29" ht="15.75" thickTop="1">
      <c r="A82" s="489"/>
      <c r="B82" s="501" t="s">
        <v>2473</v>
      </c>
      <c r="C82" s="614" t="s">
        <v>2493</v>
      </c>
      <c r="D82" s="614" t="s">
        <v>2494</v>
      </c>
      <c r="E82" s="614" t="s">
        <v>2495</v>
      </c>
      <c r="F82" s="614" t="s">
        <v>2496</v>
      </c>
      <c r="G82" s="614" t="s">
        <v>2497</v>
      </c>
      <c r="H82" s="494"/>
      <c r="I82" s="494"/>
      <c r="J82" s="494"/>
      <c r="K82" s="494"/>
      <c r="L82" s="494"/>
      <c r="M82" s="1289"/>
      <c r="N82" s="2977"/>
      <c r="O82" s="2977"/>
      <c r="P82" s="2967"/>
      <c r="Q82" s="2962"/>
      <c r="R82" s="2948"/>
      <c r="S82" s="2948"/>
      <c r="T82" s="2948"/>
      <c r="U82" s="2948"/>
      <c r="V82" s="2948"/>
      <c r="W82" s="2948"/>
      <c r="X82" s="2948"/>
      <c r="Y82" s="2948"/>
      <c r="Z82" s="2948"/>
      <c r="AA82" s="2948"/>
      <c r="AB82" s="2948"/>
      <c r="AC82" s="2948"/>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7"/>
      <c r="O83" s="2977"/>
      <c r="P83" s="2967"/>
      <c r="Q83" s="2962"/>
      <c r="R83" s="2948"/>
      <c r="S83" s="2948"/>
      <c r="T83" s="2948"/>
      <c r="U83" s="2948"/>
      <c r="V83" s="2948"/>
      <c r="W83" s="2948"/>
      <c r="X83" s="2948"/>
      <c r="Y83" s="2948"/>
      <c r="Z83" s="2948"/>
      <c r="AA83" s="2948"/>
      <c r="AB83" s="2948"/>
      <c r="AC83" s="2948"/>
    </row>
    <row r="84" spans="1:29" ht="15.75" thickTop="1">
      <c r="A84" s="489"/>
      <c r="B84" s="493" t="s">
        <v>2427</v>
      </c>
      <c r="C84" s="533" t="s">
        <v>2415</v>
      </c>
      <c r="D84" s="533" t="s">
        <v>2416</v>
      </c>
      <c r="E84" s="533" t="s">
        <v>2417</v>
      </c>
      <c r="F84" s="533" t="s">
        <v>2418</v>
      </c>
      <c r="G84" s="533" t="s">
        <v>2419</v>
      </c>
      <c r="H84" s="494"/>
      <c r="I84" s="494"/>
      <c r="J84" s="494"/>
      <c r="K84" s="495"/>
      <c r="L84" s="496"/>
      <c r="M84" s="497"/>
      <c r="N84" s="2976"/>
      <c r="O84" s="2976"/>
      <c r="P84" s="2967"/>
      <c r="Q84" s="2962"/>
      <c r="R84" s="2948"/>
      <c r="S84" s="2948"/>
      <c r="T84" s="2948"/>
      <c r="U84" s="2948"/>
      <c r="V84" s="2948"/>
      <c r="W84" s="2948"/>
      <c r="X84" s="2948"/>
      <c r="Y84" s="2948"/>
      <c r="Z84" s="2948"/>
      <c r="AA84" s="2948"/>
      <c r="AB84" s="2948"/>
      <c r="AC84" s="2948"/>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7"/>
      <c r="O85" s="2977"/>
      <c r="P85" s="2967"/>
      <c r="Q85" s="2962"/>
      <c r="R85" s="2948"/>
      <c r="S85" s="2948"/>
      <c r="T85" s="2948"/>
      <c r="U85" s="2948"/>
      <c r="V85" s="2948"/>
      <c r="W85" s="2948"/>
      <c r="X85" s="2948"/>
      <c r="Y85" s="2948"/>
      <c r="Z85" s="2948"/>
      <c r="AA85" s="2948"/>
      <c r="AB85" s="2948"/>
      <c r="AC85" s="2948"/>
    </row>
    <row r="86" spans="1:29" s="112" customFormat="1" ht="15.75" thickTop="1">
      <c r="A86" s="534"/>
      <c r="B86" s="493" t="s">
        <v>2498</v>
      </c>
      <c r="C86" s="509"/>
      <c r="D86" s="509"/>
      <c r="E86" s="509"/>
      <c r="F86" s="509"/>
      <c r="G86" s="509"/>
      <c r="H86" s="509"/>
      <c r="I86" s="509"/>
      <c r="J86" s="509"/>
      <c r="K86" s="509"/>
      <c r="L86" s="535"/>
      <c r="M86" s="536"/>
      <c r="N86" s="2975"/>
      <c r="O86" s="2975"/>
      <c r="P86" s="2967"/>
      <c r="Q86" s="2962"/>
      <c r="R86" s="2882"/>
      <c r="S86" s="2882"/>
      <c r="T86" s="2882"/>
      <c r="U86" s="2882"/>
      <c r="V86" s="2882"/>
      <c r="W86" s="2882"/>
      <c r="X86" s="2882"/>
      <c r="Y86" s="2882"/>
      <c r="Z86" s="2882"/>
      <c r="AA86" s="2882"/>
      <c r="AB86" s="2882"/>
      <c r="AC86" s="2882"/>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7"/>
      <c r="O87" s="2977"/>
      <c r="P87" s="2967"/>
      <c r="Q87" s="2962"/>
      <c r="R87" s="2882"/>
      <c r="S87" s="2882"/>
      <c r="T87" s="2882"/>
      <c r="U87" s="2882"/>
      <c r="V87" s="2882"/>
      <c r="W87" s="2882"/>
      <c r="X87" s="2882"/>
      <c r="Y87" s="2882"/>
      <c r="Z87" s="2882"/>
      <c r="AA87" s="2882"/>
      <c r="AB87" s="2882"/>
      <c r="AC87" s="2882"/>
    </row>
    <row r="88" spans="1:29" s="112" customFormat="1" ht="15.75" thickTop="1">
      <c r="A88" s="534"/>
      <c r="B88" s="493" t="str">
        <f>B26</f>
        <v>平面位置/可视性</v>
      </c>
      <c r="C88" s="509"/>
      <c r="D88" s="509"/>
      <c r="E88" s="509"/>
      <c r="F88" s="2110"/>
      <c r="G88" s="509"/>
      <c r="H88" s="509"/>
      <c r="I88" s="509"/>
      <c r="J88" s="509"/>
      <c r="K88" s="509"/>
      <c r="L88" s="509"/>
      <c r="M88" s="536"/>
      <c r="N88" s="2975"/>
      <c r="O88" s="2975"/>
      <c r="P88" s="2967"/>
      <c r="Q88" s="2962"/>
      <c r="R88" s="2882"/>
      <c r="S88" s="2882"/>
      <c r="T88" s="2882"/>
      <c r="U88" s="2882"/>
      <c r="V88" s="2882"/>
      <c r="W88" s="2882"/>
      <c r="X88" s="2882"/>
      <c r="Y88" s="2882"/>
      <c r="Z88" s="2882"/>
      <c r="AA88" s="2882"/>
      <c r="AB88" s="2882"/>
      <c r="AC88" s="2882"/>
    </row>
    <row r="89" spans="1:29" s="112" customFormat="1" ht="15.75" thickBot="1">
      <c r="A89" s="534"/>
      <c r="B89" s="498"/>
      <c r="C89" s="515"/>
      <c r="D89" s="491"/>
      <c r="E89" s="491"/>
      <c r="F89" s="491"/>
      <c r="G89" s="491"/>
      <c r="H89" s="491"/>
      <c r="I89" s="491"/>
      <c r="J89" s="491"/>
      <c r="K89" s="491"/>
      <c r="L89" s="491"/>
      <c r="M89" s="491"/>
      <c r="N89" s="2977"/>
      <c r="O89" s="2977"/>
      <c r="P89" s="2967"/>
      <c r="Q89" s="2962"/>
      <c r="R89" s="2882"/>
      <c r="S89" s="2882"/>
      <c r="T89" s="2882"/>
      <c r="U89" s="2882"/>
      <c r="V89" s="2882"/>
      <c r="W89" s="2882"/>
      <c r="X89" s="2882"/>
      <c r="Y89" s="2882"/>
      <c r="Z89" s="2882"/>
      <c r="AA89" s="2882"/>
      <c r="AB89" s="2882"/>
      <c r="AC89" s="2882"/>
    </row>
    <row r="90" spans="1:29" s="428" customFormat="1" ht="15.75" thickTop="1">
      <c r="A90" s="508"/>
      <c r="B90" s="493" t="str">
        <f>B27</f>
        <v>人流量</v>
      </c>
      <c r="C90" s="509"/>
      <c r="D90" s="509"/>
      <c r="E90" s="509"/>
      <c r="F90" s="509"/>
      <c r="G90" s="509"/>
      <c r="H90" s="510"/>
      <c r="I90" s="510"/>
      <c r="J90" s="510"/>
      <c r="K90" s="510"/>
      <c r="L90" s="511"/>
      <c r="M90" s="512"/>
      <c r="N90" s="2978"/>
      <c r="O90" s="2978"/>
      <c r="P90" s="2968"/>
      <c r="Q90" s="2969"/>
      <c r="R90" s="2970"/>
      <c r="S90" s="2970"/>
      <c r="T90" s="2970"/>
      <c r="U90" s="2970"/>
      <c r="V90" s="2970"/>
      <c r="W90" s="2970"/>
      <c r="X90" s="2970"/>
      <c r="Y90" s="2970"/>
      <c r="Z90" s="2970"/>
      <c r="AA90" s="2970"/>
      <c r="AB90" s="2970"/>
      <c r="AC90" s="2970"/>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89"/>
      <c r="B92" s="493" t="str">
        <f>B28</f>
        <v>楼层</v>
      </c>
      <c r="C92" s="509"/>
      <c r="D92" s="509"/>
      <c r="E92" s="509"/>
      <c r="F92" s="509"/>
      <c r="G92" s="509"/>
      <c r="H92" s="509"/>
      <c r="I92" s="509"/>
      <c r="J92" s="509"/>
      <c r="K92" s="509"/>
      <c r="L92" s="535"/>
      <c r="M92" s="536"/>
      <c r="N92" s="2976"/>
      <c r="O92" s="2976"/>
      <c r="P92" s="2967"/>
      <c r="Q92" s="2962"/>
      <c r="R92" s="2948"/>
      <c r="S92" s="2948"/>
      <c r="T92" s="2948"/>
      <c r="U92" s="2948"/>
      <c r="V92" s="2948"/>
      <c r="W92" s="2948"/>
      <c r="X92" s="2948"/>
      <c r="Y92" s="2948"/>
      <c r="Z92" s="2948"/>
      <c r="AA92" s="2948"/>
      <c r="AB92" s="2948"/>
      <c r="AC92" s="2948"/>
    </row>
    <row r="93" spans="1:29" ht="15.75" thickBot="1">
      <c r="A93" s="489"/>
      <c r="B93" s="498"/>
      <c r="C93" s="491"/>
      <c r="D93" s="491"/>
      <c r="E93" s="491"/>
      <c r="F93" s="491"/>
      <c r="G93" s="491"/>
      <c r="H93" s="491"/>
      <c r="I93" s="491"/>
      <c r="J93" s="491"/>
      <c r="K93" s="491"/>
      <c r="L93" s="491"/>
      <c r="M93" s="492"/>
      <c r="N93" s="2977"/>
      <c r="O93" s="2977"/>
      <c r="P93" s="2967"/>
      <c r="Q93" s="2962"/>
      <c r="R93" s="2948"/>
      <c r="S93" s="2948"/>
      <c r="T93" s="2948"/>
      <c r="U93" s="2948"/>
      <c r="V93" s="2948"/>
      <c r="W93" s="2948"/>
      <c r="X93" s="2948"/>
      <c r="Y93" s="2948"/>
      <c r="Z93" s="2948"/>
      <c r="AA93" s="2948"/>
      <c r="AB93" s="2948"/>
      <c r="AC93" s="2948"/>
    </row>
    <row r="94" spans="1:29" ht="15.75" thickTop="1">
      <c r="A94" s="489"/>
      <c r="B94" s="493">
        <f>B29</f>
        <v>111</v>
      </c>
      <c r="C94" s="509"/>
      <c r="D94" s="509"/>
      <c r="E94" s="509"/>
      <c r="F94" s="509"/>
      <c r="G94" s="538"/>
      <c r="H94" s="538"/>
      <c r="I94" s="538"/>
      <c r="J94" s="538"/>
      <c r="K94" s="539"/>
      <c r="L94" s="540"/>
      <c r="M94" s="541"/>
      <c r="N94" s="2976"/>
      <c r="O94" s="2976"/>
      <c r="P94" s="2967"/>
      <c r="Q94" s="2962"/>
      <c r="R94" s="2948"/>
      <c r="S94" s="2948"/>
      <c r="T94" s="2948"/>
      <c r="U94" s="2948"/>
      <c r="V94" s="2948"/>
      <c r="W94" s="2948"/>
      <c r="X94" s="2948"/>
      <c r="Y94" s="2948"/>
      <c r="Z94" s="2948"/>
      <c r="AA94" s="2948"/>
      <c r="AB94" s="2948"/>
      <c r="AC94" s="2948"/>
    </row>
    <row r="95" spans="1:29" ht="15.75" thickBot="1">
      <c r="A95" s="489"/>
      <c r="B95" s="498"/>
      <c r="C95" s="515"/>
      <c r="D95" s="491"/>
      <c r="E95" s="491"/>
      <c r="F95" s="491"/>
      <c r="G95" s="491"/>
      <c r="H95" s="491"/>
      <c r="I95" s="491"/>
      <c r="J95" s="491"/>
      <c r="K95" s="491"/>
      <c r="L95" s="491"/>
      <c r="M95" s="492"/>
      <c r="N95" s="2977"/>
      <c r="O95" s="2977"/>
      <c r="P95" s="2967"/>
      <c r="Q95" s="2962"/>
      <c r="R95" s="2948"/>
      <c r="S95" s="2948"/>
      <c r="T95" s="2948"/>
      <c r="U95" s="2948"/>
      <c r="V95" s="2948"/>
      <c r="W95" s="2948"/>
      <c r="X95" s="2948"/>
      <c r="Y95" s="2948"/>
      <c r="Z95" s="2948"/>
      <c r="AA95" s="2948"/>
      <c r="AB95" s="2948"/>
      <c r="AC95" s="2948"/>
    </row>
    <row r="96" spans="1:29" ht="15.75" thickTop="1">
      <c r="A96" s="489"/>
      <c r="B96" s="493">
        <f>B30</f>
        <v>111</v>
      </c>
      <c r="C96" s="509"/>
      <c r="D96" s="509"/>
      <c r="E96" s="509"/>
      <c r="F96" s="509"/>
      <c r="G96" s="538"/>
      <c r="H96" s="538"/>
      <c r="I96" s="538"/>
      <c r="J96" s="538"/>
      <c r="K96" s="539"/>
      <c r="L96" s="540"/>
      <c r="M96" s="541"/>
      <c r="N96" s="2976"/>
      <c r="O96" s="2976"/>
      <c r="P96" s="2967"/>
      <c r="Q96" s="2962"/>
      <c r="R96" s="2948"/>
      <c r="S96" s="2948"/>
      <c r="T96" s="2948"/>
      <c r="U96" s="2948"/>
      <c r="V96" s="2948"/>
      <c r="W96" s="2948"/>
      <c r="X96" s="2948"/>
      <c r="Y96" s="2948"/>
      <c r="Z96" s="2948"/>
      <c r="AA96" s="2948"/>
      <c r="AB96" s="2948"/>
      <c r="AC96" s="2948"/>
    </row>
    <row r="97" spans="1:29" ht="15.75" thickBot="1">
      <c r="A97" s="489"/>
      <c r="B97" s="498"/>
      <c r="C97" s="515"/>
      <c r="D97" s="491"/>
      <c r="E97" s="491"/>
      <c r="F97" s="491"/>
      <c r="G97" s="491"/>
      <c r="H97" s="491"/>
      <c r="I97" s="491"/>
      <c r="J97" s="491"/>
      <c r="K97" s="491"/>
      <c r="L97" s="491"/>
      <c r="M97" s="492"/>
      <c r="N97" s="2977"/>
      <c r="O97" s="2977"/>
      <c r="P97" s="2967"/>
      <c r="Q97" s="2962"/>
      <c r="R97" s="2948"/>
      <c r="S97" s="2948"/>
      <c r="T97" s="2948"/>
      <c r="U97" s="2948"/>
      <c r="V97" s="2948"/>
      <c r="W97" s="2948"/>
      <c r="X97" s="2948"/>
      <c r="Y97" s="2948"/>
      <c r="Z97" s="2948"/>
      <c r="AA97" s="2948"/>
      <c r="AB97" s="2948"/>
      <c r="AC97" s="2948"/>
    </row>
    <row r="98" spans="1:29" ht="15.75" thickTop="1">
      <c r="A98" s="489"/>
      <c r="B98" s="501">
        <f>B31</f>
        <v>111</v>
      </c>
      <c r="C98" s="509"/>
      <c r="D98" s="509"/>
      <c r="E98" s="509"/>
      <c r="F98" s="509"/>
      <c r="G98" s="542"/>
      <c r="H98" s="542"/>
      <c r="I98" s="542"/>
      <c r="J98" s="542"/>
      <c r="K98" s="543"/>
      <c r="L98" s="544"/>
      <c r="M98" s="545"/>
      <c r="N98" s="2976"/>
      <c r="O98" s="2976"/>
      <c r="P98" s="2967"/>
      <c r="Q98" s="2962"/>
      <c r="R98" s="2948"/>
      <c r="S98" s="2948"/>
      <c r="T98" s="2948"/>
      <c r="U98" s="2948"/>
      <c r="V98" s="2948"/>
      <c r="W98" s="2948"/>
      <c r="X98" s="2948"/>
      <c r="Y98" s="2948"/>
      <c r="Z98" s="2948"/>
      <c r="AA98" s="2948"/>
      <c r="AB98" s="2948"/>
      <c r="AC98" s="2948"/>
    </row>
    <row r="99" spans="1:29" ht="15.75" thickBot="1">
      <c r="A99" s="2111"/>
      <c r="B99" s="524"/>
      <c r="C99" s="525"/>
      <c r="D99" s="525"/>
      <c r="E99" s="525"/>
      <c r="F99" s="525"/>
      <c r="G99" s="546"/>
      <c r="H99" s="546"/>
      <c r="I99" s="546"/>
      <c r="J99" s="546"/>
      <c r="K99" s="546"/>
      <c r="L99" s="546"/>
      <c r="M99" s="547"/>
      <c r="N99" s="2977"/>
      <c r="O99" s="2977"/>
      <c r="P99" s="2967"/>
      <c r="Q99" s="2962"/>
      <c r="R99" s="2948"/>
      <c r="S99" s="2948"/>
      <c r="T99" s="2948"/>
      <c r="U99" s="2948"/>
      <c r="V99" s="2948"/>
      <c r="W99" s="2948"/>
      <c r="X99" s="2948"/>
      <c r="Y99" s="2948"/>
      <c r="Z99" s="2948"/>
      <c r="AA99" s="2948"/>
      <c r="AB99" s="2948"/>
      <c r="AC99" s="2948"/>
    </row>
    <row r="100" spans="1:29">
      <c r="A100" s="482" t="s">
        <v>2381</v>
      </c>
      <c r="B100" s="483" t="s">
        <v>2499</v>
      </c>
      <c r="C100" s="485"/>
      <c r="D100" s="485"/>
      <c r="E100" s="485"/>
      <c r="F100" s="485"/>
      <c r="G100" s="485"/>
      <c r="H100" s="485"/>
      <c r="I100" s="485"/>
      <c r="J100" s="485"/>
      <c r="K100" s="486"/>
      <c r="L100" s="487"/>
      <c r="M100" s="488"/>
      <c r="N100" s="2976"/>
      <c r="O100" s="2976"/>
      <c r="P100" s="2967"/>
      <c r="Q100" s="2962"/>
      <c r="R100" s="2948"/>
      <c r="S100" s="2948"/>
      <c r="T100" s="2948"/>
      <c r="U100" s="2948"/>
      <c r="V100" s="2948"/>
      <c r="W100" s="2948"/>
      <c r="X100" s="2948"/>
      <c r="Y100" s="2948"/>
      <c r="Z100" s="2948"/>
      <c r="AA100" s="2948"/>
      <c r="AB100" s="2948"/>
      <c r="AC100" s="2948"/>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89"/>
      <c r="B102" s="493" t="s">
        <v>2431</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8" customFormat="1">
      <c r="A103" s="548"/>
      <c r="B103" s="549"/>
      <c r="C103" s="550"/>
      <c r="D103" s="550"/>
      <c r="E103" s="550"/>
      <c r="F103" s="550"/>
      <c r="G103" s="550"/>
      <c r="H103" s="550"/>
      <c r="I103" s="550"/>
      <c r="J103" s="551"/>
      <c r="K103" s="551"/>
      <c r="L103" s="552"/>
      <c r="M103" s="553"/>
      <c r="N103" s="2978"/>
      <c r="O103" s="2978"/>
      <c r="P103" s="2968"/>
      <c r="Q103" s="2969"/>
      <c r="R103" s="2970"/>
      <c r="S103" s="2970"/>
      <c r="T103" s="2970"/>
      <c r="U103" s="2970"/>
      <c r="V103" s="2970"/>
      <c r="W103" s="2970"/>
      <c r="X103" s="2970"/>
      <c r="Y103" s="2970"/>
      <c r="Z103" s="2970"/>
      <c r="AA103" s="2970"/>
      <c r="AB103" s="2970"/>
      <c r="AC103" s="2970"/>
    </row>
    <row r="104" spans="1:29" s="428" customFormat="1" ht="15.75" thickBot="1">
      <c r="A104" s="508"/>
      <c r="B104" s="498"/>
      <c r="C104" s="515"/>
      <c r="D104" s="491"/>
      <c r="E104" s="491"/>
      <c r="F104" s="491"/>
      <c r="G104" s="491"/>
      <c r="H104" s="491"/>
      <c r="I104" s="491"/>
      <c r="J104" s="491"/>
      <c r="K104" s="491"/>
      <c r="L104" s="491"/>
      <c r="M104" s="492"/>
      <c r="N104" s="2977"/>
      <c r="O104" s="2977"/>
      <c r="P104" s="2968"/>
      <c r="Q104" s="2969"/>
      <c r="R104" s="2970"/>
      <c r="S104" s="2970"/>
      <c r="T104" s="2970"/>
      <c r="U104" s="2970"/>
      <c r="V104" s="2970"/>
      <c r="W104" s="2970"/>
      <c r="X104" s="2970"/>
      <c r="Y104" s="2970"/>
      <c r="Z104" s="2970"/>
      <c r="AA104" s="2970"/>
      <c r="AB104" s="2970"/>
      <c r="AC104" s="2970"/>
    </row>
    <row r="105" spans="1:29" ht="15" thickTop="1">
      <c r="A105" s="554"/>
      <c r="B105" s="493" t="s">
        <v>2432</v>
      </c>
      <c r="C105" s="509"/>
      <c r="D105" s="509"/>
      <c r="E105" s="538"/>
      <c r="F105" s="538"/>
      <c r="G105" s="538"/>
      <c r="H105" s="538"/>
      <c r="I105" s="538"/>
      <c r="J105" s="538"/>
      <c r="K105" s="539"/>
      <c r="L105" s="540"/>
      <c r="M105" s="541"/>
      <c r="N105" s="2976"/>
      <c r="O105" s="2976"/>
      <c r="P105" s="2967"/>
      <c r="Q105" s="2962"/>
      <c r="R105" s="2948"/>
      <c r="S105" s="2948"/>
      <c r="T105" s="2948"/>
      <c r="U105" s="2948"/>
      <c r="V105" s="2948"/>
      <c r="W105" s="2948"/>
      <c r="X105" s="2948"/>
      <c r="Y105" s="2948"/>
      <c r="Z105" s="2948"/>
      <c r="AA105" s="2948"/>
      <c r="AB105" s="2948"/>
      <c r="AC105" s="2948"/>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4"/>
      <c r="B107" s="493" t="s">
        <v>2434</v>
      </c>
      <c r="C107" s="509"/>
      <c r="D107" s="509"/>
      <c r="E107" s="509"/>
      <c r="F107" s="538"/>
      <c r="G107" s="538"/>
      <c r="H107" s="538"/>
      <c r="I107" s="538"/>
      <c r="J107" s="538"/>
      <c r="K107" s="539"/>
      <c r="L107" s="540"/>
      <c r="M107" s="541"/>
      <c r="N107" s="2976"/>
      <c r="O107" s="2976"/>
      <c r="P107" s="2967"/>
      <c r="Q107" s="2962"/>
      <c r="R107" s="2948"/>
      <c r="S107" s="2948"/>
      <c r="T107" s="2948"/>
      <c r="U107" s="2948"/>
      <c r="V107" s="2948"/>
      <c r="W107" s="2948"/>
      <c r="X107" s="2948"/>
      <c r="Y107" s="2948"/>
      <c r="Z107" s="2948"/>
      <c r="AA107" s="2948"/>
      <c r="AB107" s="2948"/>
      <c r="AC107" s="2948"/>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6"/>
      <c r="O109" s="2976"/>
      <c r="P109" s="2967"/>
      <c r="Q109" s="2962"/>
      <c r="R109" s="2948"/>
      <c r="S109" s="2948"/>
      <c r="T109" s="2948"/>
      <c r="U109" s="2948"/>
      <c r="V109" s="2948"/>
      <c r="W109" s="2948"/>
      <c r="X109" s="2948"/>
      <c r="Y109" s="2948"/>
      <c r="Z109" s="2948"/>
      <c r="AA109" s="2948"/>
      <c r="AB109" s="2948"/>
      <c r="AC109" s="2948"/>
    </row>
    <row r="110" spans="1:29">
      <c r="A110" s="554"/>
      <c r="B110" s="501"/>
      <c r="C110" s="558">
        <v>0.5</v>
      </c>
      <c r="D110" s="558">
        <v>0.6</v>
      </c>
      <c r="E110" s="558">
        <v>0.7</v>
      </c>
      <c r="F110" s="558">
        <v>0.8</v>
      </c>
      <c r="G110" s="558">
        <v>0.9</v>
      </c>
      <c r="H110" s="558">
        <v>1.0001</v>
      </c>
      <c r="I110" s="577"/>
      <c r="J110" s="577"/>
      <c r="K110" s="578"/>
      <c r="L110" s="579"/>
      <c r="M110" s="580"/>
      <c r="N110" s="2976"/>
      <c r="O110" s="2976"/>
      <c r="P110" s="2967"/>
      <c r="Q110" s="2962"/>
      <c r="R110" s="2948"/>
      <c r="S110" s="2948"/>
      <c r="T110" s="2948"/>
      <c r="U110" s="2948"/>
      <c r="V110" s="2948"/>
      <c r="W110" s="2948"/>
      <c r="X110" s="2948"/>
      <c r="Y110" s="2948"/>
      <c r="Z110" s="2948"/>
      <c r="AA110" s="2948"/>
      <c r="AB110" s="2948"/>
      <c r="AC110" s="2948"/>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7"/>
      <c r="O111" s="2977"/>
      <c r="P111" s="2967"/>
      <c r="Q111" s="2962"/>
      <c r="R111" s="2948"/>
      <c r="S111" s="2948"/>
      <c r="T111" s="2948"/>
      <c r="U111" s="2948"/>
      <c r="V111" s="2948"/>
      <c r="W111" s="2948"/>
      <c r="X111" s="2948"/>
      <c r="Y111" s="2948"/>
      <c r="Z111" s="2948"/>
      <c r="AA111" s="2948"/>
      <c r="AB111" s="2948"/>
      <c r="AC111" s="2948"/>
    </row>
    <row r="112" spans="1:29" s="428" customFormat="1" ht="15" thickTop="1">
      <c r="A112" s="548"/>
      <c r="B112" s="493" t="s">
        <v>2436</v>
      </c>
      <c r="C112" s="509"/>
      <c r="D112" s="509"/>
      <c r="E112" s="509"/>
      <c r="F112" s="509"/>
      <c r="G112" s="509"/>
      <c r="H112" s="538"/>
      <c r="I112" s="538"/>
      <c r="J112" s="538"/>
      <c r="K112" s="539"/>
      <c r="L112" s="540"/>
      <c r="M112" s="541"/>
      <c r="N112" s="2978"/>
      <c r="O112" s="2978"/>
      <c r="P112" s="2968"/>
      <c r="Q112" s="2969"/>
      <c r="R112" s="2970"/>
      <c r="S112" s="2970"/>
      <c r="T112" s="2970"/>
      <c r="U112" s="2970"/>
      <c r="V112" s="2970"/>
      <c r="W112" s="2970"/>
      <c r="X112" s="2970"/>
      <c r="Y112" s="2970"/>
      <c r="Z112" s="2970"/>
      <c r="AA112" s="2970"/>
      <c r="AB112" s="2970"/>
      <c r="AC112" s="2970"/>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4"/>
      <c r="B114" s="493" t="s">
        <v>2500</v>
      </c>
      <c r="C114" s="509"/>
      <c r="D114" s="509"/>
      <c r="E114" s="538"/>
      <c r="F114" s="538"/>
      <c r="G114" s="538"/>
      <c r="H114" s="538"/>
      <c r="I114" s="538"/>
      <c r="J114" s="538"/>
      <c r="K114" s="539"/>
      <c r="L114" s="540"/>
      <c r="M114" s="541"/>
      <c r="N114" s="2976"/>
      <c r="O114" s="2976"/>
      <c r="P114" s="2967"/>
      <c r="Q114" s="2962"/>
      <c r="R114" s="2948"/>
      <c r="S114" s="2948"/>
      <c r="T114" s="2948"/>
      <c r="U114" s="2948"/>
      <c r="V114" s="2948"/>
      <c r="W114" s="2948"/>
      <c r="X114" s="2948"/>
      <c r="Y114" s="2948"/>
      <c r="Z114" s="2948"/>
      <c r="AA114" s="2948"/>
      <c r="AB114" s="2948"/>
      <c r="AC114" s="2948"/>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4"/>
      <c r="B116" s="493" t="s">
        <v>2501</v>
      </c>
      <c r="C116" s="509"/>
      <c r="D116" s="509"/>
      <c r="E116" s="509"/>
      <c r="F116" s="509"/>
      <c r="G116" s="509"/>
      <c r="H116" s="538"/>
      <c r="I116" s="538"/>
      <c r="J116" s="538"/>
      <c r="K116" s="539"/>
      <c r="L116" s="540"/>
      <c r="M116" s="541"/>
      <c r="N116" s="2976"/>
      <c r="O116" s="2976"/>
      <c r="P116" s="2967"/>
      <c r="Q116" s="2962"/>
      <c r="R116" s="2948"/>
      <c r="S116" s="2948"/>
      <c r="T116" s="2948"/>
      <c r="U116" s="2948"/>
      <c r="V116" s="2948"/>
      <c r="W116" s="2948"/>
      <c r="X116" s="2948"/>
      <c r="Y116" s="2948"/>
      <c r="Z116" s="2948"/>
      <c r="AA116" s="2948"/>
      <c r="AB116" s="2948"/>
      <c r="AC116" s="2948"/>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7"/>
      <c r="O117" s="2977"/>
      <c r="P117" s="2967"/>
      <c r="Q117" s="2962"/>
      <c r="R117" s="2948"/>
      <c r="S117" s="2948"/>
      <c r="T117" s="2948"/>
      <c r="U117" s="2948"/>
      <c r="V117" s="2948"/>
      <c r="W117" s="2948"/>
      <c r="X117" s="2948"/>
      <c r="Y117" s="2948"/>
      <c r="Z117" s="2948"/>
      <c r="AA117" s="2948"/>
      <c r="AB117" s="2948"/>
      <c r="AC117" s="2948"/>
    </row>
    <row r="118" spans="1:29" ht="15" thickTop="1">
      <c r="A118" s="554"/>
      <c r="B118" s="493" t="s">
        <v>2502</v>
      </c>
      <c r="C118" s="581"/>
      <c r="D118" s="581"/>
      <c r="E118" s="581"/>
      <c r="F118" s="581"/>
      <c r="G118" s="581"/>
      <c r="H118" s="510"/>
      <c r="I118" s="510"/>
      <c r="J118" s="510"/>
      <c r="K118" s="510"/>
      <c r="L118" s="511"/>
      <c r="M118" s="512"/>
      <c r="N118" s="2976"/>
      <c r="O118" s="2976"/>
      <c r="P118" s="2967"/>
      <c r="Q118" s="2962"/>
      <c r="R118" s="2948"/>
      <c r="S118" s="2948"/>
      <c r="T118" s="2948"/>
      <c r="U118" s="2948"/>
      <c r="V118" s="2948"/>
      <c r="W118" s="2948"/>
      <c r="X118" s="2948"/>
      <c r="Y118" s="2948"/>
      <c r="Z118" s="2948"/>
      <c r="AA118" s="2948"/>
      <c r="AB118" s="2948"/>
      <c r="AC118" s="2948"/>
    </row>
    <row r="119" spans="1:29" ht="15.75" thickBot="1">
      <c r="A119" s="489"/>
      <c r="B119" s="498"/>
      <c r="C119" s="515"/>
      <c r="D119" s="491"/>
      <c r="E119" s="491"/>
      <c r="F119" s="491"/>
      <c r="G119" s="491"/>
      <c r="H119" s="491"/>
      <c r="I119" s="491"/>
      <c r="J119" s="491"/>
      <c r="K119" s="491"/>
      <c r="L119" s="491"/>
      <c r="M119" s="492"/>
      <c r="N119" s="2977"/>
      <c r="O119" s="2977"/>
      <c r="P119" s="2967"/>
      <c r="Q119" s="2962"/>
      <c r="R119" s="2948"/>
      <c r="S119" s="2948"/>
      <c r="T119" s="2948"/>
      <c r="U119" s="2948"/>
      <c r="V119" s="2948"/>
      <c r="W119" s="2948"/>
      <c r="X119" s="2948"/>
      <c r="Y119" s="2948"/>
      <c r="Z119" s="2948"/>
      <c r="AA119" s="2948"/>
      <c r="AB119" s="2948"/>
      <c r="AC119" s="2948"/>
    </row>
    <row r="120" spans="1:29" s="428" customFormat="1" ht="15" thickTop="1">
      <c r="A120" s="548"/>
      <c r="B120" s="493" t="s">
        <v>2503</v>
      </c>
      <c r="C120" s="538"/>
      <c r="D120" s="538"/>
      <c r="E120" s="538"/>
      <c r="F120" s="538"/>
      <c r="G120" s="510"/>
      <c r="H120" s="510"/>
      <c r="I120" s="510"/>
      <c r="J120" s="510"/>
      <c r="K120" s="510"/>
      <c r="L120" s="511"/>
      <c r="M120" s="512"/>
      <c r="N120" s="2978"/>
      <c r="O120" s="2978"/>
      <c r="P120" s="2968"/>
      <c r="Q120" s="2969"/>
      <c r="R120" s="2970"/>
      <c r="S120" s="2970"/>
      <c r="T120" s="2970"/>
      <c r="U120" s="2970"/>
      <c r="V120" s="2970"/>
      <c r="W120" s="2970"/>
      <c r="X120" s="2970"/>
      <c r="Y120" s="2970"/>
      <c r="Z120" s="2970"/>
      <c r="AA120" s="2970"/>
      <c r="AB120" s="2970"/>
      <c r="AC120" s="2970"/>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4"/>
      <c r="B122" s="493" t="s">
        <v>2438</v>
      </c>
      <c r="C122" s="509"/>
      <c r="D122" s="509"/>
      <c r="E122" s="509"/>
      <c r="F122" s="538"/>
      <c r="G122" s="538"/>
      <c r="H122" s="538"/>
      <c r="I122" s="538"/>
      <c r="J122" s="538"/>
      <c r="K122" s="539"/>
      <c r="L122" s="540"/>
      <c r="M122" s="541"/>
      <c r="N122" s="2976"/>
      <c r="O122" s="2976"/>
      <c r="P122" s="2967"/>
      <c r="Q122" s="2962"/>
      <c r="R122" s="2948"/>
      <c r="S122" s="2948"/>
      <c r="T122" s="2948"/>
      <c r="U122" s="2948"/>
      <c r="V122" s="2948"/>
      <c r="W122" s="2948"/>
      <c r="X122" s="2948"/>
      <c r="Y122" s="2948"/>
      <c r="Z122" s="2948"/>
      <c r="AA122" s="2948"/>
      <c r="AB122" s="2948"/>
      <c r="AC122" s="2948"/>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4"/>
      <c r="B124" s="493" t="s">
        <v>2439</v>
      </c>
      <c r="C124" s="533" t="s">
        <v>2415</v>
      </c>
      <c r="D124" s="533" t="s">
        <v>2416</v>
      </c>
      <c r="E124" s="533" t="s">
        <v>2417</v>
      </c>
      <c r="F124" s="533" t="s">
        <v>2418</v>
      </c>
      <c r="G124" s="533" t="s">
        <v>2419</v>
      </c>
      <c r="H124" s="494"/>
      <c r="I124" s="494"/>
      <c r="J124" s="494"/>
      <c r="K124" s="495"/>
      <c r="L124" s="496"/>
      <c r="M124" s="497"/>
      <c r="N124" s="2976"/>
      <c r="O124" s="2976"/>
      <c r="P124" s="2968"/>
      <c r="Q124" s="2962"/>
      <c r="R124" s="2948"/>
      <c r="S124" s="2948"/>
      <c r="T124" s="2948"/>
      <c r="U124" s="2948"/>
      <c r="V124" s="2948"/>
      <c r="W124" s="2948"/>
      <c r="X124" s="2948"/>
      <c r="Y124" s="2948"/>
      <c r="Z124" s="2948"/>
      <c r="AA124" s="2948"/>
      <c r="AB124" s="2948"/>
      <c r="AC124" s="2948"/>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7"/>
      <c r="O125" s="2977"/>
      <c r="P125" s="2967"/>
      <c r="Q125" s="2962"/>
      <c r="R125" s="2948"/>
      <c r="S125" s="2948"/>
      <c r="T125" s="2948"/>
      <c r="U125" s="2948"/>
      <c r="V125" s="2948"/>
      <c r="W125" s="2948"/>
      <c r="X125" s="2948"/>
      <c r="Y125" s="2948"/>
      <c r="Z125" s="2948"/>
      <c r="AA125" s="2948"/>
      <c r="AB125" s="2948"/>
      <c r="AC125" s="2948"/>
    </row>
    <row r="126" spans="1:29" s="428" customFormat="1" ht="15" thickTop="1">
      <c r="A126" s="548"/>
      <c r="B126" s="493">
        <f>B44</f>
        <v>111</v>
      </c>
      <c r="C126" s="509"/>
      <c r="D126" s="509"/>
      <c r="E126" s="509"/>
      <c r="F126" s="509"/>
      <c r="G126" s="509"/>
      <c r="H126" s="510"/>
      <c r="I126" s="510"/>
      <c r="J126" s="510"/>
      <c r="K126" s="510"/>
      <c r="L126" s="511"/>
      <c r="M126" s="512"/>
      <c r="N126" s="2978"/>
      <c r="O126" s="2978"/>
      <c r="P126" s="2968"/>
      <c r="Q126" s="2969"/>
      <c r="R126" s="2970"/>
      <c r="S126" s="2970"/>
      <c r="T126" s="2970"/>
      <c r="U126" s="2970"/>
      <c r="V126" s="2970"/>
      <c r="W126" s="2970"/>
      <c r="X126" s="2970"/>
      <c r="Y126" s="2970"/>
      <c r="Z126" s="2970"/>
      <c r="AA126" s="2970"/>
      <c r="AB126" s="2970"/>
      <c r="AC126" s="2970"/>
    </row>
    <row r="127" spans="1:29" s="428" customFormat="1" ht="15.75" thickBot="1">
      <c r="A127" s="508"/>
      <c r="B127" s="498"/>
      <c r="C127" s="515"/>
      <c r="D127" s="491"/>
      <c r="E127" s="491"/>
      <c r="F127" s="491"/>
      <c r="G127" s="515"/>
      <c r="H127" s="517"/>
      <c r="I127" s="517"/>
      <c r="J127" s="517"/>
      <c r="K127" s="517"/>
      <c r="L127" s="517"/>
      <c r="M127" s="518"/>
      <c r="N127" s="2978"/>
      <c r="O127" s="2978"/>
      <c r="P127" s="2968"/>
      <c r="Q127" s="2969"/>
      <c r="R127" s="2970"/>
      <c r="S127" s="2970"/>
      <c r="T127" s="2970"/>
      <c r="U127" s="2970"/>
      <c r="V127" s="2970"/>
      <c r="W127" s="2970"/>
      <c r="X127" s="2970"/>
      <c r="Y127" s="2970"/>
      <c r="Z127" s="2970"/>
      <c r="AA127" s="2970"/>
      <c r="AB127" s="2970"/>
      <c r="AC127" s="2970"/>
    </row>
    <row r="128" spans="1:29" ht="15" thickTop="1">
      <c r="A128" s="554"/>
      <c r="B128" s="493">
        <f>B45</f>
        <v>111</v>
      </c>
      <c r="C128" s="509"/>
      <c r="D128" s="509"/>
      <c r="E128" s="509"/>
      <c r="F128" s="509"/>
      <c r="G128" s="538"/>
      <c r="H128" s="538"/>
      <c r="I128" s="538"/>
      <c r="J128" s="538"/>
      <c r="K128" s="539"/>
      <c r="L128" s="540"/>
      <c r="M128" s="541"/>
      <c r="N128" s="2976"/>
      <c r="O128" s="2976"/>
      <c r="P128" s="2967"/>
      <c r="Q128" s="2962"/>
      <c r="R128" s="2948"/>
      <c r="S128" s="2948"/>
      <c r="T128" s="2948"/>
      <c r="U128" s="2948"/>
      <c r="V128" s="2948"/>
      <c r="W128" s="2948"/>
      <c r="X128" s="2948"/>
      <c r="Y128" s="2948"/>
      <c r="Z128" s="2948"/>
      <c r="AA128" s="2948"/>
      <c r="AB128" s="2948"/>
      <c r="AC128" s="2948"/>
    </row>
    <row r="129" spans="1:29" ht="15.75" thickBot="1">
      <c r="A129" s="489"/>
      <c r="B129" s="498"/>
      <c r="C129" s="515"/>
      <c r="D129" s="491"/>
      <c r="E129" s="491"/>
      <c r="F129" s="491"/>
      <c r="G129" s="491"/>
      <c r="H129" s="491"/>
      <c r="I129" s="491"/>
      <c r="J129" s="491"/>
      <c r="K129" s="491"/>
      <c r="L129" s="491"/>
      <c r="M129" s="492"/>
      <c r="N129" s="2977"/>
      <c r="O129" s="2977"/>
      <c r="P129" s="2967"/>
      <c r="Q129" s="2962"/>
      <c r="R129" s="2948"/>
      <c r="S129" s="2948"/>
      <c r="T129" s="2948"/>
      <c r="U129" s="2948"/>
      <c r="V129" s="2948"/>
      <c r="W129" s="2948"/>
      <c r="X129" s="2948"/>
      <c r="Y129" s="2948"/>
      <c r="Z129" s="2948"/>
      <c r="AA129" s="2948"/>
      <c r="AB129" s="2948"/>
      <c r="AC129" s="2948"/>
    </row>
    <row r="130" spans="1:29" ht="15" thickTop="1">
      <c r="A130" s="554"/>
      <c r="B130" s="501">
        <f>B46</f>
        <v>111</v>
      </c>
      <c r="C130" s="509"/>
      <c r="D130" s="509"/>
      <c r="E130" s="509"/>
      <c r="F130" s="509"/>
      <c r="G130" s="542"/>
      <c r="H130" s="542"/>
      <c r="I130" s="542"/>
      <c r="J130" s="542"/>
      <c r="K130" s="478"/>
      <c r="L130" s="479"/>
      <c r="M130" s="545"/>
      <c r="N130" s="2976"/>
      <c r="O130" s="2976"/>
      <c r="P130" s="2967"/>
      <c r="Q130" s="2962"/>
      <c r="R130" s="2948"/>
      <c r="S130" s="2948"/>
      <c r="T130" s="2948"/>
      <c r="U130" s="2948"/>
      <c r="V130" s="2948"/>
      <c r="W130" s="2948"/>
      <c r="X130" s="2948"/>
      <c r="Y130" s="2948"/>
      <c r="Z130" s="2948"/>
      <c r="AA130" s="2948"/>
      <c r="AB130" s="2948"/>
      <c r="AC130" s="2948"/>
    </row>
    <row r="131" spans="1:29" ht="15.75" thickBot="1">
      <c r="A131" s="2111"/>
      <c r="B131" s="524"/>
      <c r="C131" s="525"/>
      <c r="D131" s="525"/>
      <c r="E131" s="525"/>
      <c r="F131" s="525"/>
      <c r="G131" s="546"/>
      <c r="H131" s="546"/>
      <c r="I131" s="546"/>
      <c r="J131" s="546"/>
      <c r="K131" s="546"/>
      <c r="L131" s="546"/>
      <c r="M131" s="547"/>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2346</v>
      </c>
      <c r="B1" s="2140" t="s">
        <v>2504</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2145</v>
      </c>
      <c r="B2" s="1324" t="e">
        <f ca="1">IF(C2="——",ROUND(C50*D3/10000,0),ROUND(C50*D3/10000,0)-D2)</f>
        <v>#DIV/0!</v>
      </c>
      <c r="C2" s="2064"/>
      <c r="D2" s="1273" t="e">
        <f ca="1">SUMIF(INDIRECT("'"&amp;F2&amp;"'"&amp;"!A:A"),"承租人权益价值",INDIRECT("'"&amp;F2&amp;"'"&amp;"!c:c"))</f>
        <v>#REF!</v>
      </c>
      <c r="E2" s="2065" t="s">
        <v>2146</v>
      </c>
      <c r="F2" s="2066"/>
      <c r="G2" s="1037"/>
      <c r="H2" s="1037"/>
      <c r="I2" s="1037"/>
      <c r="J2" s="1037"/>
      <c r="K2" s="1037"/>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2147</v>
      </c>
      <c r="B3" s="564" t="e">
        <f ca="1">IF(C2="——",C50,ROUND(B2*10000/D3,0))</f>
        <v>#DIV/0!</v>
      </c>
      <c r="C3" s="358" t="s">
        <v>2462</v>
      </c>
      <c r="D3" s="357">
        <f>IF(D1="",'数据-汇总表'!E3,SUMIF('数据-汇总表'!$C19:$C33,D1,'数据-汇总表'!$E19:$E33))</f>
        <v>11601.220000000001</v>
      </c>
      <c r="E3" s="2137"/>
      <c r="F3" s="1038"/>
      <c r="G3" s="1037"/>
      <c r="H3" s="1037"/>
      <c r="I3" s="1037"/>
      <c r="J3" s="1037"/>
      <c r="K3" s="1039"/>
      <c r="L3" s="2957"/>
      <c r="M3" s="2958"/>
      <c r="N3" s="2958"/>
      <c r="O3" s="2958"/>
      <c r="P3" s="706"/>
      <c r="Q3" s="706"/>
      <c r="R3" s="706"/>
      <c r="S3" s="706"/>
      <c r="T3" s="706"/>
      <c r="U3" s="706"/>
      <c r="V3" s="706"/>
      <c r="W3" s="706"/>
      <c r="X3" s="706"/>
      <c r="Y3" s="706"/>
      <c r="Z3" s="706"/>
      <c r="AA3" s="706"/>
      <c r="AB3" s="706"/>
      <c r="AC3" s="707"/>
    </row>
    <row r="4" spans="1:29" ht="15">
      <c r="A4" s="359" t="s">
        <v>2463</v>
      </c>
      <c r="B4" s="360"/>
      <c r="C4" s="3280" t="s">
        <v>2464</v>
      </c>
      <c r="D4" s="3281"/>
      <c r="E4" s="3282" t="s">
        <v>2465</v>
      </c>
      <c r="F4" s="3283"/>
      <c r="G4" s="3280" t="s">
        <v>2466</v>
      </c>
      <c r="H4" s="3281"/>
      <c r="I4" s="3280" t="s">
        <v>2467</v>
      </c>
      <c r="J4" s="3281"/>
      <c r="K4" s="565" t="s">
        <v>2468</v>
      </c>
      <c r="L4" s="2938"/>
      <c r="M4" s="2939"/>
      <c r="N4" s="2939"/>
      <c r="O4" s="2939"/>
      <c r="P4" s="3347" t="s">
        <v>2469</v>
      </c>
      <c r="Q4" s="3348"/>
      <c r="R4" s="3342" t="s">
        <v>2465</v>
      </c>
      <c r="S4" s="3343"/>
      <c r="T4" s="3342" t="s">
        <v>2466</v>
      </c>
      <c r="U4" s="3343"/>
      <c r="V4" s="3351" t="s">
        <v>2467</v>
      </c>
      <c r="W4" s="3351"/>
      <c r="X4" s="2141"/>
      <c r="Y4" s="3342" t="s">
        <v>2469</v>
      </c>
      <c r="Z4" s="3343"/>
      <c r="AA4" s="3341" t="s">
        <v>2465</v>
      </c>
      <c r="AB4" s="3341" t="s">
        <v>2466</v>
      </c>
      <c r="AC4" s="3344" t="s">
        <v>2467</v>
      </c>
    </row>
    <row r="5" spans="1:29" ht="15">
      <c r="A5" s="362"/>
      <c r="B5" s="363"/>
      <c r="C5" s="3273" t="s">
        <v>2360</v>
      </c>
      <c r="D5" s="3274"/>
      <c r="E5" s="3271" t="s">
        <v>2361</v>
      </c>
      <c r="F5" s="3272"/>
      <c r="G5" s="3273" t="s">
        <v>2362</v>
      </c>
      <c r="H5" s="3274"/>
      <c r="I5" s="3273" t="s">
        <v>2363</v>
      </c>
      <c r="J5" s="3274"/>
      <c r="K5" s="565"/>
      <c r="L5" s="2938"/>
      <c r="M5" s="2939"/>
      <c r="N5" s="2939"/>
      <c r="O5" s="2939"/>
      <c r="P5" s="3349"/>
      <c r="Q5" s="3287"/>
      <c r="R5" s="3269"/>
      <c r="S5" s="3270"/>
      <c r="T5" s="3269"/>
      <c r="U5" s="3270"/>
      <c r="V5" s="3292"/>
      <c r="W5" s="3292"/>
      <c r="X5" s="1537"/>
      <c r="Y5" s="3269"/>
      <c r="Z5" s="3270"/>
      <c r="AA5" s="3263"/>
      <c r="AB5" s="3263"/>
      <c r="AC5" s="3345"/>
    </row>
    <row r="6" spans="1:29" ht="15.75" thickBot="1">
      <c r="A6" s="364"/>
      <c r="B6" s="365"/>
      <c r="C6" s="3275" t="s">
        <v>2364</v>
      </c>
      <c r="D6" s="3276"/>
      <c r="E6" s="3277" t="s">
        <v>2364</v>
      </c>
      <c r="F6" s="3278"/>
      <c r="G6" s="3275" t="s">
        <v>2364</v>
      </c>
      <c r="H6" s="3276"/>
      <c r="I6" s="3275" t="s">
        <v>2364</v>
      </c>
      <c r="J6" s="3276"/>
      <c r="K6" s="565" t="s">
        <v>2365</v>
      </c>
      <c r="L6" s="2938"/>
      <c r="M6" s="2939"/>
      <c r="N6" s="2939"/>
      <c r="O6" s="2939"/>
      <c r="P6" s="3350"/>
      <c r="Q6" s="3289"/>
      <c r="R6" s="3269"/>
      <c r="S6" s="3270"/>
      <c r="T6" s="3290"/>
      <c r="U6" s="3291"/>
      <c r="V6" s="3292"/>
      <c r="W6" s="3292"/>
      <c r="X6" s="1537"/>
      <c r="Y6" s="3290"/>
      <c r="Z6" s="3291"/>
      <c r="AA6" s="3264"/>
      <c r="AB6" s="3264"/>
      <c r="AC6" s="3346"/>
    </row>
    <row r="7" spans="1:29" s="112" customFormat="1" ht="15.75" thickBot="1">
      <c r="A7" s="366" t="s">
        <v>2366</v>
      </c>
      <c r="B7" s="367"/>
      <c r="C7" s="368">
        <f>'数据-取费表'!B2</f>
        <v>44299</v>
      </c>
      <c r="D7" s="369">
        <v>100</v>
      </c>
      <c r="E7" s="370"/>
      <c r="F7" s="371">
        <f>SUMIF(59:59,YEAR(E7)&amp;"-"&amp;MONTH(E7),60:60)</f>
        <v>0</v>
      </c>
      <c r="G7" s="370"/>
      <c r="H7" s="369">
        <f>SUMIF(59:59,YEAR(G7)&amp;"-"&amp;MONTH(G7),60:60)</f>
        <v>0</v>
      </c>
      <c r="I7" s="370"/>
      <c r="J7" s="369">
        <f>SUMIF(59:59,YEAR(I7)&amp;"-"&amp;MONTH(I7),60:60)</f>
        <v>0</v>
      </c>
      <c r="K7" s="566"/>
      <c r="L7" s="2940"/>
      <c r="M7" s="2941"/>
      <c r="N7" s="2941"/>
      <c r="O7" s="2941"/>
      <c r="P7" s="3352" t="s">
        <v>2367</v>
      </c>
      <c r="Q7" s="3293"/>
      <c r="R7" s="708" t="s">
        <v>17</v>
      </c>
      <c r="S7" s="709">
        <f t="shared" ref="S7:S15" si="0">F7</f>
        <v>0</v>
      </c>
      <c r="T7" s="708" t="s">
        <v>17</v>
      </c>
      <c r="U7" s="709">
        <f t="shared" ref="U7:U15" si="1">H7</f>
        <v>0</v>
      </c>
      <c r="V7" s="708" t="s">
        <v>17</v>
      </c>
      <c r="W7" s="709">
        <f t="shared" ref="W7:W15" si="2">J7</f>
        <v>0</v>
      </c>
      <c r="X7" s="710"/>
      <c r="Y7" s="3265" t="s">
        <v>2367</v>
      </c>
      <c r="Z7" s="3266"/>
      <c r="AA7" s="711" t="e">
        <f>D7/F7</f>
        <v>#DIV/0!</v>
      </c>
      <c r="AB7" s="711" t="e">
        <f>D7/H7</f>
        <v>#DIV/0!</v>
      </c>
      <c r="AC7" s="2142" t="e">
        <f>D7/J7</f>
        <v>#DIV/0!</v>
      </c>
    </row>
    <row r="8" spans="1:29" s="112" customFormat="1" ht="15.75" thickBot="1">
      <c r="A8" s="366" t="s">
        <v>2368</v>
      </c>
      <c r="B8" s="367"/>
      <c r="C8" s="372" t="s">
        <v>2470</v>
      </c>
      <c r="D8" s="369">
        <v>100</v>
      </c>
      <c r="E8" s="372"/>
      <c r="F8" s="371">
        <f>SUMIF(62:62,E8,63:63)-SUMIF(62:62,C8,63:63)+100</f>
        <v>0</v>
      </c>
      <c r="G8" s="372"/>
      <c r="H8" s="369">
        <f>SUMIF(62:62,G8,63:63)-SUMIF(62:62,C8,63:63)+100</f>
        <v>0</v>
      </c>
      <c r="I8" s="372"/>
      <c r="J8" s="369">
        <f>SUMIF(62:62,I8,63:63)-SUMIF(62:62,C8,63:63)+100</f>
        <v>0</v>
      </c>
      <c r="K8" s="566"/>
      <c r="L8" s="2940"/>
      <c r="M8" s="2941"/>
      <c r="N8" s="2941"/>
      <c r="O8" s="2941"/>
      <c r="P8" s="3352" t="s">
        <v>2370</v>
      </c>
      <c r="Q8" s="3266"/>
      <c r="R8" s="708" t="s">
        <v>17</v>
      </c>
      <c r="S8" s="709">
        <f t="shared" si="0"/>
        <v>0</v>
      </c>
      <c r="T8" s="708" t="s">
        <v>17</v>
      </c>
      <c r="U8" s="709">
        <f t="shared" si="1"/>
        <v>0</v>
      </c>
      <c r="V8" s="708" t="s">
        <v>17</v>
      </c>
      <c r="W8" s="709">
        <f t="shared" si="2"/>
        <v>0</v>
      </c>
      <c r="X8" s="710"/>
      <c r="Y8" s="3265" t="s">
        <v>2370</v>
      </c>
      <c r="Z8" s="3266"/>
      <c r="AA8" s="711" t="e">
        <f t="shared" ref="AA8:AA47" si="3">D8/F8</f>
        <v>#DIV/0!</v>
      </c>
      <c r="AB8" s="711" t="e">
        <f t="shared" ref="AB8:AB47" si="4">D8/H8</f>
        <v>#DIV/0!</v>
      </c>
      <c r="AC8" s="2142" t="e">
        <f t="shared" ref="AC8:AC47" si="5">D8/J8</f>
        <v>#DIV/0!</v>
      </c>
    </row>
    <row r="9" spans="1:29" s="112" customFormat="1">
      <c r="A9" s="373" t="s">
        <v>2371</v>
      </c>
      <c r="B9" s="66" t="s">
        <v>2372</v>
      </c>
      <c r="C9" s="374"/>
      <c r="D9" s="129">
        <v>100</v>
      </c>
      <c r="E9" s="377"/>
      <c r="F9" s="129">
        <f>SUMIF(64:64,E9,65:65)-SUMIF(64:64,C9,65:65)+100</f>
        <v>100</v>
      </c>
      <c r="G9" s="375"/>
      <c r="H9" s="129">
        <f>SUMIF(64:64,G9,65:65)-SUMIF(64:64,C9,65:65)+100</f>
        <v>100</v>
      </c>
      <c r="I9" s="375"/>
      <c r="J9" s="129">
        <f>SUMIF(64:64,I9,65:65)-SUMIF(64:64,C9,65:65)+100</f>
        <v>100</v>
      </c>
      <c r="K9" s="566"/>
      <c r="L9" s="2940"/>
      <c r="M9" s="2941"/>
      <c r="N9" s="2941"/>
      <c r="O9" s="2941"/>
      <c r="P9" s="3303"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2142">
        <f t="shared" si="5"/>
        <v>1</v>
      </c>
    </row>
    <row r="10" spans="1:29" s="384" customFormat="1" ht="27">
      <c r="A10" s="378"/>
      <c r="B10" s="379" t="s">
        <v>2375</v>
      </c>
      <c r="C10" s="380"/>
      <c r="D10" s="130">
        <v>100</v>
      </c>
      <c r="E10" s="380"/>
      <c r="F10" s="130">
        <f>SUMIF(66:66,E10,67:67)-SUMIF(66:66,C10,67:67)+100</f>
        <v>100</v>
      </c>
      <c r="G10" s="381"/>
      <c r="H10" s="130">
        <f>SUMIF(66:66,G10,67:67)-SUMIF(66:66,C10,67:67)+100</f>
        <v>100</v>
      </c>
      <c r="I10" s="380"/>
      <c r="J10" s="130">
        <f>SUMIF(66:66,I10,67:67)-SUMIF(66:66,C10,67:67)+100</f>
        <v>100</v>
      </c>
      <c r="K10" s="567"/>
      <c r="L10" s="2942"/>
      <c r="M10" s="2943"/>
      <c r="N10" s="2943"/>
      <c r="O10" s="2943"/>
      <c r="P10" s="3303"/>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2142">
        <f t="shared" si="5"/>
        <v>1</v>
      </c>
    </row>
    <row r="11" spans="1:29" ht="15">
      <c r="A11" s="385"/>
      <c r="B11" s="379" t="s">
        <v>2376</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4"/>
      <c r="M11" s="2939"/>
      <c r="N11" s="2939"/>
      <c r="O11" s="2939"/>
      <c r="P11" s="3303"/>
      <c r="Q11" s="1525" t="str">
        <f t="shared" si="6"/>
        <v>容积率</v>
      </c>
      <c r="R11" s="708" t="s">
        <v>17</v>
      </c>
      <c r="S11" s="709" t="e">
        <f t="shared" si="0"/>
        <v>#N/A</v>
      </c>
      <c r="T11" s="708" t="s">
        <v>17</v>
      </c>
      <c r="U11" s="709" t="e">
        <f t="shared" si="1"/>
        <v>#N/A</v>
      </c>
      <c r="V11" s="708" t="s">
        <v>17</v>
      </c>
      <c r="W11" s="709" t="e">
        <f t="shared" si="2"/>
        <v>#N/A</v>
      </c>
      <c r="X11" s="710"/>
      <c r="Y11" s="3231"/>
      <c r="Z11" s="54" t="str">
        <f t="shared" si="7"/>
        <v>容积率</v>
      </c>
      <c r="AA11" s="711" t="e">
        <f t="shared" si="3"/>
        <v>#N/A</v>
      </c>
      <c r="AB11" s="711" t="e">
        <f t="shared" si="4"/>
        <v>#N/A</v>
      </c>
      <c r="AC11" s="2142" t="e">
        <f t="shared" si="5"/>
        <v>#N/A</v>
      </c>
    </row>
    <row r="12" spans="1:29" s="112" customFormat="1" ht="15">
      <c r="A12" s="388"/>
      <c r="B12" s="2076">
        <v>111</v>
      </c>
      <c r="C12" s="389"/>
      <c r="D12" s="390">
        <v>100</v>
      </c>
      <c r="E12" s="389"/>
      <c r="F12" s="130">
        <f>SUMIF(71:71,E12,72:72)-SUMIF(71:71,C12,72:72)+100</f>
        <v>100</v>
      </c>
      <c r="G12" s="2143"/>
      <c r="H12" s="130">
        <f>SUMIF(71:71,G12,72:72)-SUMIF(71:71,C12,72:72)+100</f>
        <v>100</v>
      </c>
      <c r="I12" s="389"/>
      <c r="J12" s="130">
        <f>SUMIF(71:71,I12,72:72)-SUMIF(71:71,C12,72:72)+100</f>
        <v>100</v>
      </c>
      <c r="K12" s="568"/>
      <c r="L12" s="2940"/>
      <c r="M12" s="2941"/>
      <c r="N12" s="2941"/>
      <c r="O12" s="2941"/>
      <c r="P12" s="3303"/>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2142">
        <f>D12/J12</f>
        <v>1</v>
      </c>
    </row>
    <row r="13" spans="1:29" ht="15">
      <c r="A13" s="385"/>
      <c r="B13" s="2076">
        <v>111</v>
      </c>
      <c r="C13" s="391"/>
      <c r="D13" s="392">
        <v>100</v>
      </c>
      <c r="E13" s="389"/>
      <c r="F13" s="130">
        <f>SUMIF(73:73,E13,74:74)-SUMIF(73:73,C13,74:74)+100</f>
        <v>100</v>
      </c>
      <c r="G13" s="2143"/>
      <c r="H13" s="392">
        <f>SUMIF(73:73,G13,74:74)-SUMIF(73:73,C13,74:74)+100</f>
        <v>100</v>
      </c>
      <c r="I13" s="389"/>
      <c r="J13" s="392">
        <f>SUMIF(73:73,I13,74:74)-SUMIF(73:73,C13,74:74)+100</f>
        <v>100</v>
      </c>
      <c r="K13" s="568"/>
      <c r="L13" s="2945"/>
      <c r="M13" s="2939"/>
      <c r="N13" s="2939"/>
      <c r="O13" s="2939"/>
      <c r="P13" s="3303"/>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2142">
        <f t="shared" si="5"/>
        <v>1</v>
      </c>
    </row>
    <row r="14" spans="1:29" ht="15.75" thickBot="1">
      <c r="A14" s="393"/>
      <c r="B14" s="2078">
        <v>111</v>
      </c>
      <c r="C14" s="394"/>
      <c r="D14" s="395">
        <v>100</v>
      </c>
      <c r="E14" s="582"/>
      <c r="F14" s="395">
        <f>SUMIF(75:75,E14,76:76)-SUMIF(75:75,C14,76:76)+100</f>
        <v>100</v>
      </c>
      <c r="G14" s="2143"/>
      <c r="H14" s="395">
        <f>SUMIF(75:75,G14,76:76)-SUMIF(75:75,C14,76:76)+100</f>
        <v>100</v>
      </c>
      <c r="I14" s="389"/>
      <c r="J14" s="395">
        <f>SUMIF(75:75,I14,76:76)-SUMIF(75:75,C14,76:76)+100</f>
        <v>100</v>
      </c>
      <c r="K14" s="568"/>
      <c r="L14" s="2945"/>
      <c r="M14" s="2939"/>
      <c r="N14" s="2939"/>
      <c r="O14" s="2939"/>
      <c r="P14" s="3303"/>
      <c r="Q14" s="1525">
        <f t="shared" si="6"/>
        <v>111</v>
      </c>
      <c r="R14" s="708" t="s">
        <v>17</v>
      </c>
      <c r="S14" s="709">
        <f t="shared" si="0"/>
        <v>100</v>
      </c>
      <c r="T14" s="708" t="s">
        <v>17</v>
      </c>
      <c r="U14" s="709">
        <f t="shared" si="1"/>
        <v>100</v>
      </c>
      <c r="V14" s="708" t="s">
        <v>17</v>
      </c>
      <c r="W14" s="709">
        <f t="shared" si="2"/>
        <v>100</v>
      </c>
      <c r="X14" s="710"/>
      <c r="Y14" s="3231"/>
      <c r="Z14" s="54">
        <f t="shared" si="7"/>
        <v>111</v>
      </c>
      <c r="AA14" s="711">
        <f t="shared" si="3"/>
        <v>1</v>
      </c>
      <c r="AB14" s="711">
        <f t="shared" si="4"/>
        <v>1</v>
      </c>
      <c r="AC14" s="2142">
        <f t="shared" si="5"/>
        <v>1</v>
      </c>
    </row>
    <row r="15" spans="1:29" ht="71.25">
      <c r="A15" s="397" t="s">
        <v>2377</v>
      </c>
      <c r="B15" s="583" t="s">
        <v>2505</v>
      </c>
      <c r="C15" s="2144"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5"/>
      <c r="M15" s="2939"/>
      <c r="N15" s="2939"/>
      <c r="O15" s="2939"/>
      <c r="P15" s="3339" t="s">
        <v>2378</v>
      </c>
      <c r="Q15" s="1534" t="str">
        <f t="shared" si="6"/>
        <v>办公集聚程度</v>
      </c>
      <c r="R15" s="712" t="s">
        <v>17</v>
      </c>
      <c r="S15" s="713">
        <f t="shared" si="0"/>
        <v>100</v>
      </c>
      <c r="T15" s="712" t="s">
        <v>17</v>
      </c>
      <c r="U15" s="713">
        <f t="shared" si="1"/>
        <v>100</v>
      </c>
      <c r="V15" s="712" t="s">
        <v>17</v>
      </c>
      <c r="W15" s="713">
        <f t="shared" si="2"/>
        <v>100</v>
      </c>
      <c r="X15" s="1537"/>
      <c r="Y15" s="3294" t="s">
        <v>2378</v>
      </c>
      <c r="Z15" s="1538" t="str">
        <f t="shared" si="7"/>
        <v>办公集聚程度</v>
      </c>
      <c r="AA15" s="1535">
        <f t="shared" si="3"/>
        <v>1</v>
      </c>
      <c r="AB15" s="1535">
        <f t="shared" si="4"/>
        <v>1</v>
      </c>
      <c r="AC15" s="2145">
        <f t="shared" si="5"/>
        <v>1</v>
      </c>
    </row>
    <row r="16" spans="1:29" ht="15">
      <c r="A16" s="385"/>
      <c r="B16" s="584"/>
      <c r="C16" s="2087"/>
      <c r="D16" s="405"/>
      <c r="E16" s="404"/>
      <c r="F16" s="405"/>
      <c r="G16" s="2087"/>
      <c r="H16" s="407"/>
      <c r="I16" s="404"/>
      <c r="J16" s="405"/>
      <c r="K16" s="570"/>
      <c r="L16" s="2945"/>
      <c r="M16" s="2939"/>
      <c r="N16" s="2939"/>
      <c r="O16" s="2939"/>
      <c r="P16" s="3340"/>
      <c r="Q16" s="1534"/>
      <c r="R16" s="712"/>
      <c r="S16" s="713"/>
      <c r="T16" s="712"/>
      <c r="U16" s="713"/>
      <c r="V16" s="712"/>
      <c r="W16" s="713"/>
      <c r="X16" s="1537"/>
      <c r="Y16" s="3295"/>
      <c r="Z16" s="1538"/>
      <c r="AA16" s="1535">
        <v>1</v>
      </c>
      <c r="AB16" s="1535">
        <v>1</v>
      </c>
      <c r="AC16" s="2145">
        <v>1</v>
      </c>
    </row>
    <row r="17" spans="1:29" ht="71.25">
      <c r="A17" s="385"/>
      <c r="B17" s="585" t="s">
        <v>1945</v>
      </c>
      <c r="C17" s="2146"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5"/>
      <c r="M17" s="2939"/>
      <c r="N17" s="2939"/>
      <c r="O17" s="2939"/>
      <c r="P17" s="3340"/>
      <c r="Q17" s="1534" t="str">
        <f>B17</f>
        <v>交通便捷度</v>
      </c>
      <c r="R17" s="712" t="s">
        <v>17</v>
      </c>
      <c r="S17" s="713">
        <f>F17</f>
        <v>100</v>
      </c>
      <c r="T17" s="712" t="s">
        <v>17</v>
      </c>
      <c r="U17" s="713">
        <f>H17</f>
        <v>100</v>
      </c>
      <c r="V17" s="712" t="s">
        <v>17</v>
      </c>
      <c r="W17" s="713">
        <f>J17</f>
        <v>100</v>
      </c>
      <c r="X17" s="1537"/>
      <c r="Y17" s="3295"/>
      <c r="Z17" s="1538" t="str">
        <f>Q17</f>
        <v>交通便捷度</v>
      </c>
      <c r="AA17" s="1535">
        <f t="shared" si="3"/>
        <v>1</v>
      </c>
      <c r="AB17" s="1535">
        <f t="shared" si="4"/>
        <v>1</v>
      </c>
      <c r="AC17" s="2145">
        <f t="shared" si="5"/>
        <v>1</v>
      </c>
    </row>
    <row r="18" spans="1:29" ht="15">
      <c r="A18" s="385"/>
      <c r="B18" s="586"/>
      <c r="C18" s="2147"/>
      <c r="D18" s="407"/>
      <c r="E18" s="2085"/>
      <c r="F18" s="407"/>
      <c r="G18" s="2086"/>
      <c r="H18" s="405"/>
      <c r="I18" s="2086"/>
      <c r="J18" s="405"/>
      <c r="K18" s="570"/>
      <c r="L18" s="2945"/>
      <c r="M18" s="2939"/>
      <c r="N18" s="2939"/>
      <c r="O18" s="2939"/>
      <c r="P18" s="3340"/>
      <c r="Q18" s="1534"/>
      <c r="R18" s="712"/>
      <c r="S18" s="713"/>
      <c r="T18" s="712"/>
      <c r="U18" s="713"/>
      <c r="V18" s="712"/>
      <c r="W18" s="713"/>
      <c r="X18" s="1537"/>
      <c r="Y18" s="3295"/>
      <c r="Z18" s="1538"/>
      <c r="AA18" s="1535">
        <v>1</v>
      </c>
      <c r="AB18" s="1535">
        <v>1</v>
      </c>
      <c r="AC18" s="2145">
        <v>1</v>
      </c>
    </row>
    <row r="19" spans="1:29" ht="42.75">
      <c r="A19" s="385"/>
      <c r="B19" s="585" t="s">
        <v>2506</v>
      </c>
      <c r="C19" s="2146"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5"/>
      <c r="M19" s="2939"/>
      <c r="N19" s="2939"/>
      <c r="O19" s="2939"/>
      <c r="P19" s="3340"/>
      <c r="Q19" s="1534" t="str">
        <f>B19</f>
        <v>公共配套设施</v>
      </c>
      <c r="R19" s="712" t="s">
        <v>17</v>
      </c>
      <c r="S19" s="713">
        <f>F19</f>
        <v>100</v>
      </c>
      <c r="T19" s="712" t="s">
        <v>17</v>
      </c>
      <c r="U19" s="713">
        <f>H19</f>
        <v>100</v>
      </c>
      <c r="V19" s="712" t="s">
        <v>17</v>
      </c>
      <c r="W19" s="713">
        <f>J19</f>
        <v>100</v>
      </c>
      <c r="X19" s="1537"/>
      <c r="Y19" s="3295"/>
      <c r="Z19" s="1538" t="str">
        <f>Q19</f>
        <v>公共配套设施</v>
      </c>
      <c r="AA19" s="1535">
        <f t="shared" si="3"/>
        <v>1</v>
      </c>
      <c r="AB19" s="1535">
        <f t="shared" si="4"/>
        <v>1</v>
      </c>
      <c r="AC19" s="2145">
        <f t="shared" si="5"/>
        <v>1</v>
      </c>
    </row>
    <row r="20" spans="1:29" ht="15">
      <c r="A20" s="385"/>
      <c r="B20" s="586"/>
      <c r="C20" s="2087"/>
      <c r="D20" s="405"/>
      <c r="E20" s="2080"/>
      <c r="F20" s="405"/>
      <c r="G20" s="2081"/>
      <c r="H20" s="405"/>
      <c r="I20" s="2081"/>
      <c r="J20" s="405"/>
      <c r="K20" s="570"/>
      <c r="L20" s="2945"/>
      <c r="M20" s="2939"/>
      <c r="N20" s="2939"/>
      <c r="O20" s="2939"/>
      <c r="P20" s="3340"/>
      <c r="Q20" s="1534"/>
      <c r="R20" s="712"/>
      <c r="S20" s="713"/>
      <c r="T20" s="712"/>
      <c r="U20" s="713"/>
      <c r="V20" s="712"/>
      <c r="W20" s="713"/>
      <c r="X20" s="1537"/>
      <c r="Y20" s="3295"/>
      <c r="Z20" s="1538"/>
      <c r="AA20" s="1535">
        <v>1</v>
      </c>
      <c r="AB20" s="1535">
        <v>1</v>
      </c>
      <c r="AC20" s="2145">
        <v>1</v>
      </c>
    </row>
    <row r="21" spans="1:29" ht="28.5">
      <c r="A21" s="385"/>
      <c r="B21" s="587" t="s">
        <v>2507</v>
      </c>
      <c r="C21" s="2146"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5"/>
      <c r="M21" s="2939"/>
      <c r="N21" s="2939"/>
      <c r="O21" s="2939"/>
      <c r="P21" s="3340"/>
      <c r="Q21" s="1534" t="str">
        <f>B21</f>
        <v>基础设施水平</v>
      </c>
      <c r="R21" s="712" t="s">
        <v>17</v>
      </c>
      <c r="S21" s="713">
        <f>F21</f>
        <v>100</v>
      </c>
      <c r="T21" s="712" t="s">
        <v>17</v>
      </c>
      <c r="U21" s="713">
        <f>H21</f>
        <v>100</v>
      </c>
      <c r="V21" s="712" t="s">
        <v>17</v>
      </c>
      <c r="W21" s="713">
        <f>J21</f>
        <v>100</v>
      </c>
      <c r="X21" s="1537"/>
      <c r="Y21" s="3295"/>
      <c r="Z21" s="1538" t="str">
        <f>Q21</f>
        <v>基础设施水平</v>
      </c>
      <c r="AA21" s="1535">
        <f t="shared" ref="AA21" si="8">D21/F21</f>
        <v>1</v>
      </c>
      <c r="AB21" s="1535">
        <f t="shared" ref="AB21" si="9">D21/H21</f>
        <v>1</v>
      </c>
      <c r="AC21" s="2145">
        <f t="shared" ref="AC21" si="10">D21/J21</f>
        <v>1</v>
      </c>
    </row>
    <row r="22" spans="1:29" ht="15">
      <c r="A22" s="385"/>
      <c r="B22" s="587"/>
      <c r="C22" s="2147"/>
      <c r="D22" s="405"/>
      <c r="E22" s="404"/>
      <c r="F22" s="405"/>
      <c r="G22" s="2087"/>
      <c r="H22" s="405"/>
      <c r="I22" s="2087"/>
      <c r="J22" s="405"/>
      <c r="K22" s="1290"/>
      <c r="L22" s="2945"/>
      <c r="M22" s="2939"/>
      <c r="N22" s="2939"/>
      <c r="O22" s="2939"/>
      <c r="P22" s="3340"/>
      <c r="Q22" s="1534"/>
      <c r="R22" s="712"/>
      <c r="S22" s="713"/>
      <c r="T22" s="712"/>
      <c r="U22" s="713"/>
      <c r="V22" s="712"/>
      <c r="W22" s="713"/>
      <c r="X22" s="1537"/>
      <c r="Y22" s="3295"/>
      <c r="Z22" s="1538"/>
      <c r="AA22" s="1535">
        <v>1</v>
      </c>
      <c r="AB22" s="1535">
        <v>1</v>
      </c>
      <c r="AC22" s="2145">
        <v>1</v>
      </c>
    </row>
    <row r="23" spans="1:29" ht="42.75">
      <c r="A23" s="385"/>
      <c r="B23" s="585" t="s">
        <v>2508</v>
      </c>
      <c r="C23" s="2146"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5"/>
      <c r="M23" s="2939"/>
      <c r="N23" s="2939"/>
      <c r="O23" s="2939"/>
      <c r="P23" s="3340"/>
      <c r="Q23" s="1534" t="str">
        <f>B23</f>
        <v>环境质量</v>
      </c>
      <c r="R23" s="712" t="s">
        <v>17</v>
      </c>
      <c r="S23" s="713">
        <f>F23</f>
        <v>100</v>
      </c>
      <c r="T23" s="712" t="s">
        <v>17</v>
      </c>
      <c r="U23" s="713">
        <f>H23</f>
        <v>100</v>
      </c>
      <c r="V23" s="712" t="s">
        <v>17</v>
      </c>
      <c r="W23" s="713">
        <f>J23</f>
        <v>100</v>
      </c>
      <c r="X23" s="1537"/>
      <c r="Y23" s="3295"/>
      <c r="Z23" s="1538" t="str">
        <f>Q23</f>
        <v>环境质量</v>
      </c>
      <c r="AA23" s="1535">
        <f t="shared" si="3"/>
        <v>1</v>
      </c>
      <c r="AB23" s="1535">
        <f t="shared" si="4"/>
        <v>1</v>
      </c>
      <c r="AC23" s="2145">
        <f t="shared" si="5"/>
        <v>1</v>
      </c>
    </row>
    <row r="24" spans="1:29" ht="15">
      <c r="A24" s="385"/>
      <c r="B24" s="587"/>
      <c r="C24" s="2087"/>
      <c r="D24" s="405"/>
      <c r="E24" s="2080"/>
      <c r="F24" s="405"/>
      <c r="G24" s="2081"/>
      <c r="H24" s="405"/>
      <c r="I24" s="2081"/>
      <c r="J24" s="405"/>
      <c r="K24" s="570"/>
      <c r="L24" s="2945"/>
      <c r="M24" s="2939"/>
      <c r="N24" s="2939"/>
      <c r="O24" s="2939"/>
      <c r="P24" s="3340"/>
      <c r="Q24" s="1534"/>
      <c r="R24" s="712"/>
      <c r="S24" s="713"/>
      <c r="T24" s="712"/>
      <c r="U24" s="713"/>
      <c r="V24" s="712"/>
      <c r="W24" s="713"/>
      <c r="X24" s="1537"/>
      <c r="Y24" s="3295"/>
      <c r="Z24" s="1538"/>
      <c r="AA24" s="1535">
        <v>1</v>
      </c>
      <c r="AB24" s="1535">
        <v>1</v>
      </c>
      <c r="AC24" s="2145">
        <v>1</v>
      </c>
    </row>
    <row r="25" spans="1:29" ht="27">
      <c r="A25" s="362"/>
      <c r="B25" s="585" t="s">
        <v>2509</v>
      </c>
      <c r="C25" s="2091"/>
      <c r="D25" s="392">
        <v>100</v>
      </c>
      <c r="E25" s="391"/>
      <c r="F25" s="392">
        <f>SUMIF(87:87,E26,88:88)-SUMIF(87:87,C26,88:88)+100</f>
        <v>100</v>
      </c>
      <c r="G25" s="2091"/>
      <c r="H25" s="392">
        <f>SUMIF(87:87,G26,88:88)-SUMIF(87:87,C26,88:88)+100</f>
        <v>100</v>
      </c>
      <c r="I25" s="391"/>
      <c r="J25" s="392">
        <f>SUMIF(87:87,I26,88:88)-SUMIF(87:87,C26,88:88)+100</f>
        <v>100</v>
      </c>
      <c r="K25" s="569"/>
      <c r="L25" s="2945"/>
      <c r="M25" s="2939"/>
      <c r="N25" s="2939"/>
      <c r="O25" s="2939"/>
      <c r="P25" s="3340"/>
      <c r="Q25" s="1534" t="str">
        <f>B25</f>
        <v>毗邻道路的类型与等级</v>
      </c>
      <c r="R25" s="712" t="s">
        <v>17</v>
      </c>
      <c r="S25" s="713">
        <f>F25</f>
        <v>100</v>
      </c>
      <c r="T25" s="712" t="s">
        <v>17</v>
      </c>
      <c r="U25" s="713">
        <f>H25</f>
        <v>100</v>
      </c>
      <c r="V25" s="712" t="s">
        <v>17</v>
      </c>
      <c r="W25" s="713">
        <f>J25</f>
        <v>100</v>
      </c>
      <c r="X25" s="1537"/>
      <c r="Y25" s="3295"/>
      <c r="Z25" s="1538" t="str">
        <f>Q25</f>
        <v>毗邻道路的类型与等级</v>
      </c>
      <c r="AA25" s="1535">
        <f t="shared" si="3"/>
        <v>1</v>
      </c>
      <c r="AB25" s="1535">
        <f t="shared" si="4"/>
        <v>1</v>
      </c>
      <c r="AC25" s="2145">
        <f t="shared" si="5"/>
        <v>1</v>
      </c>
    </row>
    <row r="26" spans="1:29" ht="15">
      <c r="A26" s="362"/>
      <c r="B26" s="586"/>
      <c r="C26" s="588"/>
      <c r="D26" s="392"/>
      <c r="E26" s="571"/>
      <c r="F26" s="392"/>
      <c r="G26" s="588"/>
      <c r="H26" s="392"/>
      <c r="I26" s="571"/>
      <c r="J26" s="392"/>
      <c r="K26" s="570"/>
      <c r="L26" s="2945"/>
      <c r="M26" s="2939"/>
      <c r="N26" s="2939"/>
      <c r="O26" s="2939"/>
      <c r="P26" s="3340"/>
      <c r="Q26" s="1534"/>
      <c r="R26" s="712"/>
      <c r="S26" s="713"/>
      <c r="T26" s="712"/>
      <c r="U26" s="713"/>
      <c r="V26" s="712"/>
      <c r="W26" s="713"/>
      <c r="X26" s="1537"/>
      <c r="Y26" s="3295"/>
      <c r="Z26" s="1538"/>
      <c r="AA26" s="1535">
        <v>1</v>
      </c>
      <c r="AB26" s="1535">
        <v>1</v>
      </c>
      <c r="AC26" s="2145">
        <v>1</v>
      </c>
    </row>
    <row r="27" spans="1:29" ht="15">
      <c r="A27" s="385"/>
      <c r="B27" s="586" t="s">
        <v>2477</v>
      </c>
      <c r="C27" s="588"/>
      <c r="D27" s="392">
        <v>100</v>
      </c>
      <c r="E27" s="571"/>
      <c r="F27" s="392">
        <f>SUMIF(89:89,E27,90:90)-SUMIF(89:89,C27,90:90)+100</f>
        <v>100</v>
      </c>
      <c r="G27" s="588"/>
      <c r="H27" s="392">
        <f>SUMIF(89:89,G27,90:90)-SUMIF(89:89,C27,90:90)+100</f>
        <v>100</v>
      </c>
      <c r="I27" s="571"/>
      <c r="J27" s="392">
        <f>SUMIF(89:89,I27,90:90)-SUMIF(89:89,C27,90:90)+100</f>
        <v>100</v>
      </c>
      <c r="K27" s="567"/>
      <c r="L27" s="2945"/>
      <c r="M27" s="2939"/>
      <c r="N27" s="2939"/>
      <c r="O27" s="2939"/>
      <c r="P27" s="3340"/>
      <c r="Q27" s="1534" t="str">
        <f t="shared" ref="Q27:Q47" si="11">B27</f>
        <v>楼层</v>
      </c>
      <c r="R27" s="712" t="s">
        <v>17</v>
      </c>
      <c r="S27" s="713">
        <f>F27</f>
        <v>100</v>
      </c>
      <c r="T27" s="712" t="s">
        <v>17</v>
      </c>
      <c r="U27" s="713">
        <f>H27</f>
        <v>100</v>
      </c>
      <c r="V27" s="712" t="s">
        <v>17</v>
      </c>
      <c r="W27" s="713">
        <f>J27</f>
        <v>100</v>
      </c>
      <c r="X27" s="1537"/>
      <c r="Y27" s="3295"/>
      <c r="Z27" s="1538" t="str">
        <f>Q27</f>
        <v>楼层</v>
      </c>
      <c r="AA27" s="1535">
        <f t="shared" si="3"/>
        <v>1</v>
      </c>
      <c r="AB27" s="1535">
        <f t="shared" si="4"/>
        <v>1</v>
      </c>
      <c r="AC27" s="2145">
        <f t="shared" si="5"/>
        <v>1</v>
      </c>
    </row>
    <row r="28" spans="1:29" s="112" customFormat="1" ht="15">
      <c r="A28" s="388"/>
      <c r="B28" s="585" t="s">
        <v>2510</v>
      </c>
      <c r="C28" s="2148"/>
      <c r="D28" s="419">
        <v>100</v>
      </c>
      <c r="E28" s="2139"/>
      <c r="F28" s="419">
        <f>SUMIF(91:91,E28,92:92)-SUMIF(91:91,C28,92:92)+100</f>
        <v>100</v>
      </c>
      <c r="G28" s="2148"/>
      <c r="H28" s="419">
        <f>SUMIF(91:91,G28,92:92)-SUMIF(91:91,C28,92:92)+100</f>
        <v>100</v>
      </c>
      <c r="I28" s="2139"/>
      <c r="J28" s="419">
        <f>SUMIF(91:91,I28,92:92)-SUMIF(91:91,C28,92:92)+100</f>
        <v>100</v>
      </c>
      <c r="K28" s="567"/>
      <c r="L28" s="2940"/>
      <c r="M28" s="2941"/>
      <c r="N28" s="2941"/>
      <c r="O28" s="2941"/>
      <c r="P28" s="3340"/>
      <c r="Q28" s="1525" t="str">
        <f t="shared" si="11"/>
        <v>朝向</v>
      </c>
      <c r="R28" s="708" t="s">
        <v>17</v>
      </c>
      <c r="S28" s="709">
        <f>F28</f>
        <v>100</v>
      </c>
      <c r="T28" s="708" t="s">
        <v>17</v>
      </c>
      <c r="U28" s="709">
        <f>H28</f>
        <v>100</v>
      </c>
      <c r="V28" s="708" t="s">
        <v>17</v>
      </c>
      <c r="W28" s="709">
        <f>J28</f>
        <v>100</v>
      </c>
      <c r="X28" s="710"/>
      <c r="Y28" s="3295"/>
      <c r="Z28" s="54" t="str">
        <f>Q28</f>
        <v>朝向</v>
      </c>
      <c r="AA28" s="1535">
        <f>D28/F28</f>
        <v>1</v>
      </c>
      <c r="AB28" s="1535">
        <f>D28/H28</f>
        <v>1</v>
      </c>
      <c r="AC28" s="2145">
        <f>D28/J28</f>
        <v>1</v>
      </c>
    </row>
    <row r="29" spans="1:29" ht="15">
      <c r="A29" s="385"/>
      <c r="B29" s="2149">
        <v>111</v>
      </c>
      <c r="C29" s="2091"/>
      <c r="D29" s="392">
        <v>100</v>
      </c>
      <c r="E29" s="389"/>
      <c r="F29" s="392">
        <f>SUMIF(93:93,E29,94:94)-SUMIF(93:93,C29,94:94)+100</f>
        <v>100</v>
      </c>
      <c r="G29" s="2143"/>
      <c r="H29" s="392">
        <f>SUMIF(93:93,G29,94:94)-SUMIF(93:93,C29,94:94)+100</f>
        <v>100</v>
      </c>
      <c r="I29" s="389"/>
      <c r="J29" s="392">
        <f>SUMIF(93:93,I29,94:94)-SUMIF(93:93,C29,94:94)+100</f>
        <v>100</v>
      </c>
      <c r="K29" s="568"/>
      <c r="L29" s="2945"/>
      <c r="M29" s="2939"/>
      <c r="N29" s="2939"/>
      <c r="O29" s="2939"/>
      <c r="P29" s="3340"/>
      <c r="Q29" s="1534">
        <f t="shared" si="11"/>
        <v>111</v>
      </c>
      <c r="R29" s="712" t="s">
        <v>17</v>
      </c>
      <c r="S29" s="713">
        <f t="shared" ref="S29:S47" si="12">F29</f>
        <v>100</v>
      </c>
      <c r="T29" s="712" t="s">
        <v>17</v>
      </c>
      <c r="U29" s="713">
        <f t="shared" ref="U29:U47" si="13">H29</f>
        <v>100</v>
      </c>
      <c r="V29" s="712" t="s">
        <v>17</v>
      </c>
      <c r="W29" s="713">
        <f t="shared" ref="W29:W47" si="14">J29</f>
        <v>100</v>
      </c>
      <c r="X29" s="1537"/>
      <c r="Y29" s="3295"/>
      <c r="Z29" s="1538">
        <f t="shared" ref="Z29:Z47" si="15">Q29</f>
        <v>111</v>
      </c>
      <c r="AA29" s="1535">
        <f t="shared" si="3"/>
        <v>1</v>
      </c>
      <c r="AB29" s="1535">
        <f t="shared" si="4"/>
        <v>1</v>
      </c>
      <c r="AC29" s="2145">
        <f t="shared" si="5"/>
        <v>1</v>
      </c>
    </row>
    <row r="30" spans="1:29" ht="15">
      <c r="A30" s="385"/>
      <c r="B30" s="2149">
        <v>111</v>
      </c>
      <c r="C30" s="2091"/>
      <c r="D30" s="392">
        <v>100</v>
      </c>
      <c r="E30" s="389"/>
      <c r="F30" s="392">
        <f>SUMIF(95:95,E30,96:96)-SUMIF(95:95,C30,96:96)+100</f>
        <v>100</v>
      </c>
      <c r="G30" s="2143"/>
      <c r="H30" s="392">
        <f>SUMIF(95:95,G30,96:96)-SUMIF(95:95,C30,96:96)+100</f>
        <v>100</v>
      </c>
      <c r="I30" s="389"/>
      <c r="J30" s="392">
        <f>SUMIF(95:95,I30,96:96)-SUMIF(95:95,C30,96:96)+100</f>
        <v>100</v>
      </c>
      <c r="K30" s="568"/>
      <c r="L30" s="2945"/>
      <c r="M30" s="2939"/>
      <c r="N30" s="2939"/>
      <c r="O30" s="2939"/>
      <c r="P30" s="3340"/>
      <c r="Q30" s="1534">
        <f t="shared" si="11"/>
        <v>111</v>
      </c>
      <c r="R30" s="712" t="s">
        <v>17</v>
      </c>
      <c r="S30" s="713">
        <f t="shared" si="12"/>
        <v>100</v>
      </c>
      <c r="T30" s="712" t="s">
        <v>17</v>
      </c>
      <c r="U30" s="713">
        <f t="shared" si="13"/>
        <v>100</v>
      </c>
      <c r="V30" s="712" t="s">
        <v>17</v>
      </c>
      <c r="W30" s="713">
        <f t="shared" si="14"/>
        <v>100</v>
      </c>
      <c r="X30" s="1537"/>
      <c r="Y30" s="3295"/>
      <c r="Z30" s="1538">
        <f t="shared" si="15"/>
        <v>111</v>
      </c>
      <c r="AA30" s="1535">
        <f t="shared" si="3"/>
        <v>1</v>
      </c>
      <c r="AB30" s="1535">
        <f t="shared" si="4"/>
        <v>1</v>
      </c>
      <c r="AC30" s="2145">
        <f t="shared" si="5"/>
        <v>1</v>
      </c>
    </row>
    <row r="31" spans="1:29" ht="15">
      <c r="A31" s="385"/>
      <c r="B31" s="2149">
        <v>111</v>
      </c>
      <c r="C31" s="2091"/>
      <c r="D31" s="392">
        <v>100</v>
      </c>
      <c r="E31" s="389"/>
      <c r="F31" s="392">
        <f>SUMIF(97:97,E31,98:98)-SUMIF(97:97,C31,98:98)+100</f>
        <v>100</v>
      </c>
      <c r="G31" s="2143"/>
      <c r="H31" s="392">
        <f>SUMIF(97:97,G31,98:98)-SUMIF(97:97,C31,98:98)+100</f>
        <v>100</v>
      </c>
      <c r="I31" s="389"/>
      <c r="J31" s="392">
        <f>SUMIF(97:97,I31,98:98)-SUMIF(97:97,C31,98:98)+100</f>
        <v>100</v>
      </c>
      <c r="K31" s="568"/>
      <c r="L31" s="2945"/>
      <c r="M31" s="2939"/>
      <c r="N31" s="2939"/>
      <c r="O31" s="2939"/>
      <c r="P31" s="3340"/>
      <c r="Q31" s="1534">
        <f t="shared" si="11"/>
        <v>111</v>
      </c>
      <c r="R31" s="712" t="s">
        <v>17</v>
      </c>
      <c r="S31" s="713">
        <f t="shared" si="12"/>
        <v>100</v>
      </c>
      <c r="T31" s="712" t="s">
        <v>17</v>
      </c>
      <c r="U31" s="713">
        <f t="shared" si="13"/>
        <v>100</v>
      </c>
      <c r="V31" s="712" t="s">
        <v>17</v>
      </c>
      <c r="W31" s="713">
        <f t="shared" si="14"/>
        <v>100</v>
      </c>
      <c r="X31" s="1537"/>
      <c r="Y31" s="3295"/>
      <c r="Z31" s="1538">
        <f t="shared" si="15"/>
        <v>111</v>
      </c>
      <c r="AA31" s="1535">
        <f t="shared" si="3"/>
        <v>1</v>
      </c>
      <c r="AB31" s="1535">
        <f t="shared" si="4"/>
        <v>1</v>
      </c>
      <c r="AC31" s="2145">
        <f t="shared" si="5"/>
        <v>1</v>
      </c>
    </row>
    <row r="32" spans="1:29" ht="15.75" thickBot="1">
      <c r="A32" s="393"/>
      <c r="B32" s="589">
        <v>111</v>
      </c>
      <c r="C32" s="2092"/>
      <c r="D32" s="395">
        <v>100</v>
      </c>
      <c r="E32" s="582"/>
      <c r="F32" s="395">
        <f>SUMIF(99:99,E32,100:100)-SUMIF(99:99,C32,100:100)+100</f>
        <v>100</v>
      </c>
      <c r="G32" s="2143"/>
      <c r="H32" s="395">
        <f>SUMIF(99:99,G32,100:100)-SUMIF(99:99,C32,100:100)+100</f>
        <v>100</v>
      </c>
      <c r="I32" s="389"/>
      <c r="J32" s="395">
        <f>SUMIF(99:99,I32,100:100)-SUMIF(99:99,C32,100:100)+100</f>
        <v>100</v>
      </c>
      <c r="K32" s="568"/>
      <c r="L32" s="2945"/>
      <c r="M32" s="2939"/>
      <c r="N32" s="2939"/>
      <c r="O32" s="2939"/>
      <c r="P32" s="3340"/>
      <c r="Q32" s="1534">
        <f t="shared" si="11"/>
        <v>111</v>
      </c>
      <c r="R32" s="712" t="s">
        <v>17</v>
      </c>
      <c r="S32" s="713">
        <f t="shared" si="12"/>
        <v>100</v>
      </c>
      <c r="T32" s="712" t="s">
        <v>17</v>
      </c>
      <c r="U32" s="713">
        <f t="shared" si="13"/>
        <v>100</v>
      </c>
      <c r="V32" s="712" t="s">
        <v>17</v>
      </c>
      <c r="W32" s="713">
        <f t="shared" si="14"/>
        <v>100</v>
      </c>
      <c r="X32" s="1537"/>
      <c r="Y32" s="3295"/>
      <c r="Z32" s="1538">
        <f t="shared" si="15"/>
        <v>111</v>
      </c>
      <c r="AA32" s="1535">
        <f t="shared" si="3"/>
        <v>1</v>
      </c>
      <c r="AB32" s="1535">
        <f t="shared" si="4"/>
        <v>1</v>
      </c>
      <c r="AC32" s="2145">
        <f t="shared" si="5"/>
        <v>1</v>
      </c>
    </row>
    <row r="33" spans="1:29" ht="15">
      <c r="A33" s="397" t="s">
        <v>2381</v>
      </c>
      <c r="B33" s="66" t="s">
        <v>2511</v>
      </c>
      <c r="C33" s="2150"/>
      <c r="D33" s="424">
        <v>100</v>
      </c>
      <c r="E33" s="2150"/>
      <c r="F33" s="418">
        <f>SUMIF(101:101,E33,102:102)-SUMIF(101:101,C33,102:102)+100</f>
        <v>100</v>
      </c>
      <c r="G33" s="2150"/>
      <c r="H33" s="392">
        <f>SUMIF(101:101,G33,102:102)-SUMIF(101:101,C33,102:102)+100</f>
        <v>100</v>
      </c>
      <c r="I33" s="2150"/>
      <c r="J33" s="424">
        <f>SUMIF(101:101,I33,102:102)-SUMIF(101:101,C33,102:102)+100</f>
        <v>100</v>
      </c>
      <c r="K33" s="567"/>
      <c r="L33" s="2945"/>
      <c r="M33" s="2939"/>
      <c r="N33" s="2939"/>
      <c r="O33" s="2939"/>
      <c r="P33" s="3335" t="s">
        <v>2383</v>
      </c>
      <c r="Q33" s="1534" t="str">
        <f t="shared" si="11"/>
        <v>建筑类型</v>
      </c>
      <c r="R33" s="712" t="s">
        <v>17</v>
      </c>
      <c r="S33" s="713">
        <f t="shared" si="12"/>
        <v>100</v>
      </c>
      <c r="T33" s="712" t="s">
        <v>17</v>
      </c>
      <c r="U33" s="713">
        <f t="shared" si="13"/>
        <v>100</v>
      </c>
      <c r="V33" s="712" t="s">
        <v>17</v>
      </c>
      <c r="W33" s="713">
        <f t="shared" si="14"/>
        <v>100</v>
      </c>
      <c r="X33" s="1537"/>
      <c r="Y33" s="3297" t="s">
        <v>2383</v>
      </c>
      <c r="Z33" s="1538" t="str">
        <f t="shared" si="15"/>
        <v>建筑类型</v>
      </c>
      <c r="AA33" s="1535">
        <f t="shared" si="3"/>
        <v>1</v>
      </c>
      <c r="AB33" s="1535">
        <f t="shared" si="4"/>
        <v>1</v>
      </c>
      <c r="AC33" s="2145">
        <f t="shared" si="5"/>
        <v>1</v>
      </c>
    </row>
    <row r="34" spans="1:29" s="428" customFormat="1" ht="15">
      <c r="A34" s="425"/>
      <c r="B34" s="379" t="s">
        <v>2384</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4"/>
      <c r="M34" s="2946"/>
      <c r="N34" s="2946"/>
      <c r="O34" s="2946"/>
      <c r="P34" s="3336"/>
      <c r="Q34" s="714" t="str">
        <f t="shared" si="11"/>
        <v>项目建筑规模</v>
      </c>
      <c r="R34" s="715" t="s">
        <v>17</v>
      </c>
      <c r="S34" s="716" t="e">
        <f t="shared" si="12"/>
        <v>#N/A</v>
      </c>
      <c r="T34" s="715" t="s">
        <v>17</v>
      </c>
      <c r="U34" s="716" t="e">
        <f t="shared" si="13"/>
        <v>#N/A</v>
      </c>
      <c r="V34" s="715" t="s">
        <v>17</v>
      </c>
      <c r="W34" s="716" t="e">
        <f t="shared" si="14"/>
        <v>#N/A</v>
      </c>
      <c r="X34" s="717"/>
      <c r="Y34" s="3297"/>
      <c r="Z34" s="718" t="str">
        <f t="shared" si="15"/>
        <v>项目建筑规模</v>
      </c>
      <c r="AA34" s="1535" t="e">
        <f t="shared" si="3"/>
        <v>#N/A</v>
      </c>
      <c r="AB34" s="1535" t="e">
        <f t="shared" si="4"/>
        <v>#N/A</v>
      </c>
      <c r="AC34" s="2145" t="e">
        <f t="shared" si="5"/>
        <v>#N/A</v>
      </c>
    </row>
    <row r="35" spans="1:29" ht="15">
      <c r="A35" s="429"/>
      <c r="B35" s="379" t="s">
        <v>2385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5"/>
      <c r="M35" s="2939"/>
      <c r="N35" s="2939"/>
      <c r="O35" s="2939"/>
      <c r="P35" s="3336"/>
      <c r="Q35" s="1534" t="str">
        <f t="shared" si="11"/>
        <v>建筑结构</v>
      </c>
      <c r="R35" s="712" t="s">
        <v>17</v>
      </c>
      <c r="S35" s="713">
        <f t="shared" si="12"/>
        <v>100</v>
      </c>
      <c r="T35" s="712" t="s">
        <v>17</v>
      </c>
      <c r="U35" s="713">
        <f t="shared" si="13"/>
        <v>100</v>
      </c>
      <c r="V35" s="712" t="s">
        <v>17</v>
      </c>
      <c r="W35" s="713">
        <f t="shared" si="14"/>
        <v>100</v>
      </c>
      <c r="X35" s="1537"/>
      <c r="Y35" s="3297"/>
      <c r="Z35" s="1538" t="str">
        <f t="shared" si="15"/>
        <v>建筑结构</v>
      </c>
      <c r="AA35" s="1535">
        <f t="shared" si="3"/>
        <v>1</v>
      </c>
      <c r="AB35" s="1535">
        <f t="shared" si="4"/>
        <v>1</v>
      </c>
      <c r="AC35" s="2145">
        <f t="shared" si="5"/>
        <v>1</v>
      </c>
    </row>
    <row r="36" spans="1:29" ht="15">
      <c r="A36" s="429"/>
      <c r="B36" s="379" t="s">
        <v>2479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5"/>
      <c r="M36" s="2939"/>
      <c r="N36" s="2939"/>
      <c r="O36" s="2939"/>
      <c r="P36" s="3336"/>
      <c r="Q36" s="1534" t="str">
        <f t="shared" si="11"/>
        <v>公共部分装修</v>
      </c>
      <c r="R36" s="712" t="s">
        <v>17</v>
      </c>
      <c r="S36" s="713">
        <f t="shared" si="12"/>
        <v>100</v>
      </c>
      <c r="T36" s="712" t="s">
        <v>17</v>
      </c>
      <c r="U36" s="713">
        <f t="shared" si="13"/>
        <v>100</v>
      </c>
      <c r="V36" s="712" t="s">
        <v>17</v>
      </c>
      <c r="W36" s="713">
        <f t="shared" si="14"/>
        <v>100</v>
      </c>
      <c r="X36" s="1537"/>
      <c r="Y36" s="3297"/>
      <c r="Z36" s="1538" t="str">
        <f t="shared" si="15"/>
        <v>公共部分装修</v>
      </c>
      <c r="AA36" s="1535">
        <f t="shared" si="3"/>
        <v>1</v>
      </c>
      <c r="AB36" s="1535">
        <f t="shared" si="4"/>
        <v>1</v>
      </c>
      <c r="AC36" s="2145">
        <f t="shared" si="5"/>
        <v>1</v>
      </c>
    </row>
    <row r="37" spans="1:29" ht="15">
      <c r="A37" s="429"/>
      <c r="B37" s="379" t="s">
        <v>2480</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5"/>
      <c r="M37" s="2939"/>
      <c r="N37" s="2939"/>
      <c r="O37" s="2939"/>
      <c r="P37" s="3336"/>
      <c r="Q37" s="1534" t="str">
        <f t="shared" si="11"/>
        <v>成新度</v>
      </c>
      <c r="R37" s="712" t="s">
        <v>17</v>
      </c>
      <c r="S37" s="713" t="e">
        <f t="shared" si="12"/>
        <v>#N/A</v>
      </c>
      <c r="T37" s="712" t="s">
        <v>17</v>
      </c>
      <c r="U37" s="713" t="e">
        <f t="shared" si="13"/>
        <v>#N/A</v>
      </c>
      <c r="V37" s="712" t="s">
        <v>17</v>
      </c>
      <c r="W37" s="713" t="e">
        <f t="shared" si="14"/>
        <v>#N/A</v>
      </c>
      <c r="X37" s="1537"/>
      <c r="Y37" s="3297"/>
      <c r="Z37" s="1538" t="str">
        <f t="shared" si="15"/>
        <v>成新度</v>
      </c>
      <c r="AA37" s="1535" t="e">
        <f t="shared" si="3"/>
        <v>#N/A</v>
      </c>
      <c r="AB37" s="1535" t="e">
        <f t="shared" si="4"/>
        <v>#N/A</v>
      </c>
      <c r="AC37" s="2145" t="e">
        <f t="shared" si="5"/>
        <v>#N/A</v>
      </c>
    </row>
    <row r="38" spans="1:29" s="112" customFormat="1" ht="15">
      <c r="A38" s="430"/>
      <c r="B38" s="379" t="s">
        <v>2512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0"/>
      <c r="M38" s="2941"/>
      <c r="N38" s="2941"/>
      <c r="O38" s="2941"/>
      <c r="P38" s="3336"/>
      <c r="Q38" s="1525" t="str">
        <f t="shared" si="11"/>
        <v>写字楼等级</v>
      </c>
      <c r="R38" s="708" t="s">
        <v>17</v>
      </c>
      <c r="S38" s="709">
        <f t="shared" si="12"/>
        <v>100</v>
      </c>
      <c r="T38" s="708" t="s">
        <v>17</v>
      </c>
      <c r="U38" s="709">
        <f t="shared" si="13"/>
        <v>100</v>
      </c>
      <c r="V38" s="708" t="s">
        <v>17</v>
      </c>
      <c r="W38" s="709">
        <f t="shared" si="14"/>
        <v>100</v>
      </c>
      <c r="X38" s="710"/>
      <c r="Y38" s="3297"/>
      <c r="Z38" s="54" t="str">
        <f t="shared" si="15"/>
        <v>写字楼等级</v>
      </c>
      <c r="AA38" s="711">
        <f t="shared" si="3"/>
        <v>1</v>
      </c>
      <c r="AB38" s="711">
        <f t="shared" si="4"/>
        <v>1</v>
      </c>
      <c r="AC38" s="2142">
        <f t="shared" si="5"/>
        <v>1</v>
      </c>
    </row>
    <row r="39" spans="1:29" ht="15">
      <c r="A39" s="429"/>
      <c r="B39" s="379" t="s">
        <v>2513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5"/>
      <c r="M39" s="2939"/>
      <c r="N39" s="2939"/>
      <c r="O39" s="2939"/>
      <c r="P39" s="3336" t="s">
        <v>2383</v>
      </c>
      <c r="Q39" s="1534" t="str">
        <f t="shared" si="11"/>
        <v>物业管理</v>
      </c>
      <c r="R39" s="712" t="s">
        <v>17</v>
      </c>
      <c r="S39" s="713">
        <f t="shared" si="12"/>
        <v>100</v>
      </c>
      <c r="T39" s="712" t="s">
        <v>17</v>
      </c>
      <c r="U39" s="713">
        <f t="shared" si="13"/>
        <v>100</v>
      </c>
      <c r="V39" s="712" t="s">
        <v>17</v>
      </c>
      <c r="W39" s="713">
        <f t="shared" si="14"/>
        <v>100</v>
      </c>
      <c r="X39" s="1537"/>
      <c r="Y39" s="3297" t="s">
        <v>2383</v>
      </c>
      <c r="Z39" s="1538" t="str">
        <f t="shared" si="15"/>
        <v>物业管理</v>
      </c>
      <c r="AA39" s="1535">
        <f t="shared" si="3"/>
        <v>1</v>
      </c>
      <c r="AB39" s="1535">
        <f t="shared" si="4"/>
        <v>1</v>
      </c>
      <c r="AC39" s="2145">
        <f t="shared" si="5"/>
        <v>1</v>
      </c>
    </row>
    <row r="40" spans="1:29" ht="15">
      <c r="A40" s="429"/>
      <c r="B40" s="379" t="s">
        <v>2481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5"/>
      <c r="M40" s="2939"/>
      <c r="N40" s="2939"/>
      <c r="O40" s="2939"/>
      <c r="P40" s="3336"/>
      <c r="Q40" s="1534" t="str">
        <f t="shared" si="11"/>
        <v>市政基础设施</v>
      </c>
      <c r="R40" s="712" t="s">
        <v>17</v>
      </c>
      <c r="S40" s="713">
        <f t="shared" si="12"/>
        <v>100</v>
      </c>
      <c r="T40" s="712" t="s">
        <v>17</v>
      </c>
      <c r="U40" s="713">
        <f t="shared" si="13"/>
        <v>100</v>
      </c>
      <c r="V40" s="712" t="s">
        <v>17</v>
      </c>
      <c r="W40" s="713">
        <f t="shared" si="14"/>
        <v>100</v>
      </c>
      <c r="X40" s="1537"/>
      <c r="Y40" s="3297"/>
      <c r="Z40" s="1538" t="str">
        <f t="shared" si="15"/>
        <v>市政基础设施</v>
      </c>
      <c r="AA40" s="1535">
        <f t="shared" si="3"/>
        <v>1</v>
      </c>
      <c r="AB40" s="1535">
        <f t="shared" si="4"/>
        <v>1</v>
      </c>
      <c r="AC40" s="2145">
        <f t="shared" si="5"/>
        <v>1</v>
      </c>
    </row>
    <row r="41" spans="1:29" ht="15">
      <c r="A41" s="429"/>
      <c r="B41" s="379" t="s">
        <v>2483</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5"/>
      <c r="M41" s="2939"/>
      <c r="N41" s="2939"/>
      <c r="O41" s="2939"/>
      <c r="P41" s="3336"/>
      <c r="Q41" s="1534" t="str">
        <f t="shared" si="11"/>
        <v>层高</v>
      </c>
      <c r="R41" s="712" t="s">
        <v>17</v>
      </c>
      <c r="S41" s="713">
        <f t="shared" si="12"/>
        <v>100</v>
      </c>
      <c r="T41" s="712" t="s">
        <v>17</v>
      </c>
      <c r="U41" s="713">
        <f t="shared" si="13"/>
        <v>100</v>
      </c>
      <c r="V41" s="712" t="s">
        <v>17</v>
      </c>
      <c r="W41" s="713">
        <f t="shared" si="14"/>
        <v>100</v>
      </c>
      <c r="X41" s="1537"/>
      <c r="Y41" s="3297"/>
      <c r="Z41" s="1538" t="str">
        <f t="shared" si="15"/>
        <v>层高</v>
      </c>
      <c r="AA41" s="1535">
        <f t="shared" si="3"/>
        <v>1</v>
      </c>
      <c r="AB41" s="1535">
        <f t="shared" si="4"/>
        <v>1</v>
      </c>
      <c r="AC41" s="2145">
        <f t="shared" si="5"/>
        <v>1</v>
      </c>
    </row>
    <row r="42" spans="1:29" s="428" customFormat="1" ht="15">
      <c r="A42" s="425"/>
      <c r="B42" s="1536" t="s">
        <v>2514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4"/>
      <c r="M42" s="2946"/>
      <c r="N42" s="2946"/>
      <c r="O42" s="2946"/>
      <c r="P42" s="3336"/>
      <c r="Q42" s="714" t="str">
        <f t="shared" si="11"/>
        <v>单套建筑面积</v>
      </c>
      <c r="R42" s="715" t="s">
        <v>17</v>
      </c>
      <c r="S42" s="716">
        <f t="shared" si="12"/>
        <v>100</v>
      </c>
      <c r="T42" s="715" t="s">
        <v>17</v>
      </c>
      <c r="U42" s="716">
        <f t="shared" si="13"/>
        <v>100</v>
      </c>
      <c r="V42" s="715" t="s">
        <v>17</v>
      </c>
      <c r="W42" s="716">
        <f t="shared" si="14"/>
        <v>100</v>
      </c>
      <c r="X42" s="717"/>
      <c r="Y42" s="3297"/>
      <c r="Z42" s="718" t="str">
        <f t="shared" si="15"/>
        <v>单套建筑面积</v>
      </c>
      <c r="AA42" s="1535">
        <f t="shared" si="3"/>
        <v>1</v>
      </c>
      <c r="AB42" s="1535">
        <f t="shared" si="4"/>
        <v>1</v>
      </c>
      <c r="AC42" s="2145">
        <f t="shared" si="5"/>
        <v>1</v>
      </c>
    </row>
    <row r="43" spans="1:29" ht="15">
      <c r="A43" s="429"/>
      <c r="B43" s="379" t="s">
        <v>2486</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5"/>
      <c r="M43" s="2939"/>
      <c r="N43" s="2939"/>
      <c r="O43" s="2939"/>
      <c r="P43" s="3336"/>
      <c r="Q43" s="1534" t="str">
        <f t="shared" si="11"/>
        <v>内部装修</v>
      </c>
      <c r="R43" s="712" t="s">
        <v>17</v>
      </c>
      <c r="S43" s="713">
        <f t="shared" si="12"/>
        <v>100</v>
      </c>
      <c r="T43" s="712" t="s">
        <v>17</v>
      </c>
      <c r="U43" s="713">
        <f t="shared" si="13"/>
        <v>100</v>
      </c>
      <c r="V43" s="712" t="s">
        <v>17</v>
      </c>
      <c r="W43" s="713">
        <f t="shared" si="14"/>
        <v>100</v>
      </c>
      <c r="X43" s="1537"/>
      <c r="Y43" s="3297"/>
      <c r="Z43" s="1538" t="str">
        <f t="shared" si="15"/>
        <v>内部装修</v>
      </c>
      <c r="AA43" s="1535">
        <f t="shared" si="3"/>
        <v>1</v>
      </c>
      <c r="AB43" s="1535">
        <f t="shared" si="4"/>
        <v>1</v>
      </c>
      <c r="AC43" s="2145">
        <f t="shared" si="5"/>
        <v>1</v>
      </c>
    </row>
    <row r="44" spans="1:29" ht="15">
      <c r="A44" s="429"/>
      <c r="B44" s="379" t="s">
        <v>2394</v>
      </c>
      <c r="C44" s="417"/>
      <c r="D44" s="392">
        <v>100</v>
      </c>
      <c r="E44" s="2089"/>
      <c r="F44" s="418">
        <f>SUMIF(125:125,E44,126:126)-SUMIF(125:125,C44,126:126)+100</f>
        <v>100</v>
      </c>
      <c r="G44" s="2089"/>
      <c r="H44" s="392">
        <f>SUMIF(125:125,G44,126:126)-SUMIF(125:125,C44,126:126)+100</f>
        <v>100</v>
      </c>
      <c r="I44" s="2089"/>
      <c r="J44" s="392">
        <f>SUMIF(125:125,I44,126:126)-SUMIF(125:125,C44,126:126)+100</f>
        <v>100</v>
      </c>
      <c r="K44" s="567"/>
      <c r="L44" s="2945"/>
      <c r="M44" s="2939"/>
      <c r="N44" s="2939"/>
      <c r="O44" s="2939"/>
      <c r="P44" s="3336"/>
      <c r="Q44" s="1534" t="str">
        <f t="shared" si="11"/>
        <v>内部装修维护情况</v>
      </c>
      <c r="R44" s="712" t="s">
        <v>17</v>
      </c>
      <c r="S44" s="713">
        <f t="shared" si="12"/>
        <v>100</v>
      </c>
      <c r="T44" s="712" t="s">
        <v>17</v>
      </c>
      <c r="U44" s="713">
        <f t="shared" si="13"/>
        <v>100</v>
      </c>
      <c r="V44" s="712" t="s">
        <v>17</v>
      </c>
      <c r="W44" s="713">
        <f t="shared" si="14"/>
        <v>100</v>
      </c>
      <c r="X44" s="1537"/>
      <c r="Y44" s="3297"/>
      <c r="Z44" s="1538" t="str">
        <f t="shared" si="15"/>
        <v>内部装修维护情况</v>
      </c>
      <c r="AA44" s="1535">
        <f t="shared" si="3"/>
        <v>1</v>
      </c>
      <c r="AB44" s="1535">
        <f t="shared" si="4"/>
        <v>1</v>
      </c>
      <c r="AC44" s="2145">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0"/>
      <c r="M45" s="2941"/>
      <c r="N45" s="2941"/>
      <c r="O45" s="2941"/>
      <c r="P45" s="3336"/>
      <c r="Q45" s="1525">
        <f t="shared" si="11"/>
        <v>111</v>
      </c>
      <c r="R45" s="708" t="s">
        <v>17</v>
      </c>
      <c r="S45" s="709">
        <f t="shared" si="12"/>
        <v>100</v>
      </c>
      <c r="T45" s="708" t="s">
        <v>17</v>
      </c>
      <c r="U45" s="709">
        <f t="shared" si="13"/>
        <v>100</v>
      </c>
      <c r="V45" s="708" t="s">
        <v>17</v>
      </c>
      <c r="W45" s="709">
        <f t="shared" si="14"/>
        <v>100</v>
      </c>
      <c r="X45" s="710"/>
      <c r="Y45" s="3297"/>
      <c r="Z45" s="54">
        <f t="shared" si="15"/>
        <v>111</v>
      </c>
      <c r="AA45" s="711">
        <f t="shared" si="3"/>
        <v>1</v>
      </c>
      <c r="AB45" s="711">
        <f t="shared" si="4"/>
        <v>1</v>
      </c>
      <c r="AC45" s="2142">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5"/>
      <c r="M46" s="2939"/>
      <c r="N46" s="2939"/>
      <c r="O46" s="2939"/>
      <c r="P46" s="3336"/>
      <c r="Q46" s="1534">
        <f t="shared" si="11"/>
        <v>111</v>
      </c>
      <c r="R46" s="712" t="s">
        <v>17</v>
      </c>
      <c r="S46" s="713">
        <f t="shared" si="12"/>
        <v>100</v>
      </c>
      <c r="T46" s="712" t="s">
        <v>17</v>
      </c>
      <c r="U46" s="713">
        <f t="shared" si="13"/>
        <v>100</v>
      </c>
      <c r="V46" s="712" t="s">
        <v>17</v>
      </c>
      <c r="W46" s="713">
        <f t="shared" si="14"/>
        <v>100</v>
      </c>
      <c r="X46" s="1537"/>
      <c r="Y46" s="3297"/>
      <c r="Z46" s="1538">
        <f t="shared" si="15"/>
        <v>111</v>
      </c>
      <c r="AA46" s="1535">
        <f t="shared" si="3"/>
        <v>1</v>
      </c>
      <c r="AB46" s="1535">
        <f t="shared" si="4"/>
        <v>1</v>
      </c>
      <c r="AC46" s="2145">
        <f t="shared" si="5"/>
        <v>1</v>
      </c>
    </row>
    <row r="47" spans="1:29" ht="15.75" thickBot="1">
      <c r="A47" s="435"/>
      <c r="B47" s="2078">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5"/>
      <c r="M47" s="2939"/>
      <c r="N47" s="2939"/>
      <c r="O47" s="2939"/>
      <c r="P47" s="3337"/>
      <c r="Q47" s="1534">
        <f t="shared" si="11"/>
        <v>111</v>
      </c>
      <c r="R47" s="712" t="s">
        <v>17</v>
      </c>
      <c r="S47" s="713">
        <f t="shared" si="12"/>
        <v>100</v>
      </c>
      <c r="T47" s="712" t="s">
        <v>17</v>
      </c>
      <c r="U47" s="713">
        <f t="shared" si="13"/>
        <v>100</v>
      </c>
      <c r="V47" s="712" t="s">
        <v>17</v>
      </c>
      <c r="W47" s="713">
        <f t="shared" si="14"/>
        <v>100</v>
      </c>
      <c r="X47" s="1537"/>
      <c r="Y47" s="3338"/>
      <c r="Z47" s="1538">
        <f t="shared" si="15"/>
        <v>111</v>
      </c>
      <c r="AA47" s="1535">
        <f t="shared" si="3"/>
        <v>1</v>
      </c>
      <c r="AB47" s="1535">
        <f t="shared" si="4"/>
        <v>1</v>
      </c>
      <c r="AC47" s="2145">
        <f t="shared" si="5"/>
        <v>1</v>
      </c>
    </row>
    <row r="48" spans="1:29" ht="15">
      <c r="A48" s="436" t="s">
        <v>2395</v>
      </c>
      <c r="B48" s="437"/>
      <c r="C48" s="1314" t="s">
        <v>1</v>
      </c>
      <c r="D48" s="1315"/>
      <c r="E48" s="1316"/>
      <c r="F48" s="1317"/>
      <c r="G48" s="1318"/>
      <c r="H48" s="1319"/>
      <c r="I48" s="1316"/>
      <c r="J48" s="442"/>
      <c r="K48" s="721"/>
      <c r="L48" s="2947"/>
      <c r="M48" s="2939"/>
      <c r="N48" s="2939"/>
      <c r="O48" s="2939"/>
      <c r="P48" s="3303" t="str">
        <f>A48</f>
        <v>成交单价（元/平方米）</v>
      </c>
      <c r="Q48" s="3279"/>
      <c r="R48" s="3334">
        <f>E48</f>
        <v>0</v>
      </c>
      <c r="S48" s="3334"/>
      <c r="T48" s="3334">
        <f>G48</f>
        <v>0</v>
      </c>
      <c r="U48" s="3334"/>
      <c r="V48" s="3334">
        <f>I48</f>
        <v>0</v>
      </c>
      <c r="W48" s="3334"/>
      <c r="X48" s="403"/>
      <c r="Y48" s="719"/>
      <c r="Z48" s="403"/>
      <c r="AA48" s="403"/>
      <c r="AB48" s="403"/>
      <c r="AC48" s="584"/>
    </row>
    <row r="49" spans="1:29" ht="15.75" thickBot="1">
      <c r="A49" s="443" t="s">
        <v>2487</v>
      </c>
      <c r="B49" s="444"/>
      <c r="C49" s="1320" t="e">
        <f>R50</f>
        <v>#DIV/0!</v>
      </c>
      <c r="D49" s="2535" t="s">
        <v>2876</v>
      </c>
      <c r="E49" s="1321" t="e">
        <f>R49</f>
        <v>#DIV/0!</v>
      </c>
      <c r="F49" s="2536"/>
      <c r="G49" s="1320" t="e">
        <f>T49</f>
        <v>#DIV/0!</v>
      </c>
      <c r="H49" s="2536"/>
      <c r="I49" s="1321" t="e">
        <f>V49</f>
        <v>#DIV/0!</v>
      </c>
      <c r="J49" s="2536"/>
      <c r="K49" s="2538">
        <f>F49+H49+J49</f>
        <v>0</v>
      </c>
      <c r="L49" s="2947"/>
      <c r="M49" s="2939"/>
      <c r="N49" s="2939"/>
      <c r="O49" s="2939"/>
      <c r="P49" s="3303" t="str">
        <f>A49</f>
        <v>比较价值（元/平方米）</v>
      </c>
      <c r="Q49" s="3279"/>
      <c r="R49" s="3334" t="e">
        <f>IF(F1="售价",ROUND(PRODUCT(R48,AA7:AA47),0),ROUND(PRODUCT(R48,AA7:AA47),1))</f>
        <v>#DIV/0!</v>
      </c>
      <c r="S49" s="3334"/>
      <c r="T49" s="3334" t="e">
        <f>IF(F1="售价",ROUND(PRODUCT(T48,AB7:AB47),0),ROUND(PRODUCT(T48,AB7:AB47),1))</f>
        <v>#DIV/0!</v>
      </c>
      <c r="U49" s="3334"/>
      <c r="V49" s="3334" t="e">
        <f>IF(F1="售价",ROUND(PRODUCT(V48,AC7:AC47),0),ROUND(PRODUCT(V48,AC7:AC47),1))</f>
        <v>#DIV/0!</v>
      </c>
      <c r="W49" s="3334"/>
      <c r="X49" s="403"/>
      <c r="Y49" s="403"/>
      <c r="Z49" s="403"/>
      <c r="AA49" s="403"/>
      <c r="AB49" s="403"/>
      <c r="AC49" s="584"/>
    </row>
    <row r="50" spans="1:29" ht="15.75" thickBot="1">
      <c r="A50" s="447" t="s">
        <v>2488</v>
      </c>
      <c r="B50" s="448"/>
      <c r="C50" s="1323" t="e">
        <f>R50</f>
        <v>#DIV/0!</v>
      </c>
      <c r="D50" s="1323"/>
      <c r="E50" s="1323"/>
      <c r="F50" s="1323"/>
      <c r="G50" s="1323"/>
      <c r="H50" s="1323"/>
      <c r="I50" s="1323"/>
      <c r="J50" s="449"/>
      <c r="K50" s="722"/>
      <c r="L50" s="2947"/>
      <c r="M50" s="2939"/>
      <c r="N50" s="2939"/>
      <c r="O50" s="2939"/>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29"/>
      <c r="Y50" s="2129"/>
      <c r="Z50" s="2129"/>
      <c r="AA50" s="2129"/>
      <c r="AB50" s="2129"/>
      <c r="AC50" s="2130"/>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2" t="s">
        <v>2489</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2" t="s">
        <v>2490</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7" customFormat="1" ht="13.5" customHeight="1">
      <c r="A55" s="2951"/>
      <c r="B55" s="2951"/>
      <c r="C55" s="452" t="s">
        <v>2491</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7"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1" t="s">
        <v>2492</v>
      </c>
      <c r="B58" s="697"/>
      <c r="C58" s="702"/>
      <c r="D58" s="702"/>
      <c r="E58" s="702"/>
      <c r="F58" s="703"/>
      <c r="G58" s="703"/>
      <c r="H58" s="702"/>
      <c r="I58" s="702"/>
      <c r="J58" s="702"/>
      <c r="K58" s="704"/>
      <c r="L58" s="1071"/>
      <c r="M58" s="1069"/>
      <c r="N58" s="2992"/>
      <c r="O58" s="2992"/>
      <c r="P58" s="2981"/>
      <c r="Q58" s="2962"/>
      <c r="R58" s="2948"/>
      <c r="S58" s="2948"/>
      <c r="T58" s="2948"/>
      <c r="U58" s="2948"/>
      <c r="V58" s="2948"/>
      <c r="W58" s="2948"/>
      <c r="X58" s="2948"/>
      <c r="Y58" s="2948"/>
      <c r="Z58" s="2948"/>
      <c r="AA58" s="2948"/>
      <c r="AB58" s="2948"/>
      <c r="AC58" s="2948"/>
    </row>
    <row r="59" spans="1:29" s="463" customFormat="1" ht="15">
      <c r="A59" s="460" t="s">
        <v>2366</v>
      </c>
      <c r="B59" s="461"/>
      <c r="C59" s="1343" t="str">
        <f>YEAR(C7)&amp;"-"&amp;MONTH(C7)</f>
        <v>2021-4</v>
      </c>
      <c r="D59" s="1344">
        <f>EDATE(C59,-1)</f>
        <v>44256</v>
      </c>
      <c r="E59" s="1344">
        <f>EDATE(D59,-1)</f>
        <v>44228</v>
      </c>
      <c r="F59" s="1344">
        <f t="shared" ref="F59:O59" si="16">EDATE(E59,-1)</f>
        <v>44197</v>
      </c>
      <c r="G59" s="1344">
        <f t="shared" si="16"/>
        <v>44166</v>
      </c>
      <c r="H59" s="1344">
        <f t="shared" si="16"/>
        <v>44136</v>
      </c>
      <c r="I59" s="1344">
        <f t="shared" si="16"/>
        <v>44105</v>
      </c>
      <c r="J59" s="1344">
        <f t="shared" si="16"/>
        <v>44075</v>
      </c>
      <c r="K59" s="1344">
        <f t="shared" si="16"/>
        <v>44044</v>
      </c>
      <c r="L59" s="1344">
        <f t="shared" si="16"/>
        <v>44013</v>
      </c>
      <c r="M59" s="1344">
        <f t="shared" si="16"/>
        <v>43983</v>
      </c>
      <c r="N59" s="1344">
        <f t="shared" si="16"/>
        <v>43952</v>
      </c>
      <c r="O59" s="1344">
        <f t="shared" si="16"/>
        <v>43922</v>
      </c>
      <c r="P59" s="2982"/>
      <c r="Q59" s="2964"/>
      <c r="R59" s="2964"/>
      <c r="S59" s="2964"/>
      <c r="T59" s="2964"/>
      <c r="U59" s="2964"/>
      <c r="V59" s="2964"/>
      <c r="W59" s="2964"/>
      <c r="X59" s="2964"/>
      <c r="Y59" s="2964"/>
      <c r="Z59" s="2964"/>
      <c r="AA59" s="2964"/>
      <c r="AB59" s="2964"/>
      <c r="AC59" s="2964"/>
    </row>
    <row r="60" spans="1:29" s="112" customFormat="1" ht="15">
      <c r="A60" s="464"/>
      <c r="B60" s="465"/>
      <c r="C60" s="1342">
        <v>100</v>
      </c>
      <c r="D60" s="467"/>
      <c r="E60" s="467"/>
      <c r="F60" s="467"/>
      <c r="G60" s="467"/>
      <c r="H60" s="467"/>
      <c r="I60" s="467"/>
      <c r="J60" s="467"/>
      <c r="K60" s="467"/>
      <c r="L60" s="467"/>
      <c r="M60" s="468"/>
      <c r="N60" s="467"/>
      <c r="O60" s="468"/>
      <c r="P60" s="2983"/>
      <c r="Q60" s="2882"/>
      <c r="R60" s="2882"/>
      <c r="S60" s="2882"/>
      <c r="T60" s="2882"/>
      <c r="U60" s="2882"/>
      <c r="V60" s="2882"/>
      <c r="W60" s="2882"/>
      <c r="X60" s="2882"/>
      <c r="Y60" s="2882"/>
      <c r="Z60" s="2882"/>
      <c r="AA60" s="2882"/>
      <c r="AB60" s="2882"/>
      <c r="AC60" s="2882"/>
    </row>
    <row r="61" spans="1:29" s="112" customFormat="1" ht="15.75" thickBot="1">
      <c r="A61" s="470" t="s">
        <v>2403</v>
      </c>
      <c r="B61" s="471"/>
      <c r="C61" s="472"/>
      <c r="D61" s="473"/>
      <c r="E61" s="473"/>
      <c r="F61" s="473"/>
      <c r="G61" s="473"/>
      <c r="H61" s="473"/>
      <c r="I61" s="473"/>
      <c r="J61" s="473"/>
      <c r="K61" s="473"/>
      <c r="L61" s="473"/>
      <c r="M61" s="474"/>
      <c r="N61" s="473"/>
      <c r="O61" s="474"/>
      <c r="P61" s="2983"/>
      <c r="Q61" s="2962"/>
      <c r="R61" s="2882"/>
      <c r="S61" s="2882"/>
      <c r="T61" s="2882"/>
      <c r="U61" s="2882"/>
      <c r="V61" s="2882"/>
      <c r="W61" s="2882"/>
      <c r="X61" s="2882"/>
      <c r="Y61" s="2882"/>
      <c r="Z61" s="2882"/>
      <c r="AA61" s="2882"/>
      <c r="AB61" s="2882"/>
      <c r="AC61" s="2882"/>
    </row>
    <row r="62" spans="1:29" s="112" customFormat="1" ht="15">
      <c r="A62" s="476" t="s">
        <v>2368</v>
      </c>
      <c r="B62" s="465"/>
      <c r="C62" s="477" t="s">
        <v>2470</v>
      </c>
      <c r="D62" s="478"/>
      <c r="E62" s="478"/>
      <c r="F62" s="478"/>
      <c r="G62" s="478"/>
      <c r="H62" s="478"/>
      <c r="I62" s="478"/>
      <c r="J62" s="478"/>
      <c r="K62" s="478"/>
      <c r="L62" s="479"/>
      <c r="M62" s="480"/>
      <c r="N62" s="2975"/>
      <c r="O62" s="2975"/>
      <c r="P62" s="2984"/>
      <c r="Q62" s="2962"/>
      <c r="R62" s="2882"/>
      <c r="S62" s="2882"/>
      <c r="T62" s="2882"/>
      <c r="U62" s="2882"/>
      <c r="V62" s="2882"/>
      <c r="W62" s="2882"/>
      <c r="X62" s="2882"/>
      <c r="Y62" s="2882"/>
      <c r="Z62" s="2882"/>
      <c r="AA62" s="2882"/>
      <c r="AB62" s="2882"/>
      <c r="AC62" s="2882"/>
    </row>
    <row r="63" spans="1:29" s="112" customFormat="1" ht="15.75" thickBot="1">
      <c r="A63" s="476"/>
      <c r="B63" s="465"/>
      <c r="C63" s="466">
        <v>100</v>
      </c>
      <c r="D63" s="467"/>
      <c r="E63" s="467"/>
      <c r="F63" s="467"/>
      <c r="G63" s="467"/>
      <c r="H63" s="467"/>
      <c r="I63" s="467"/>
      <c r="J63" s="467"/>
      <c r="K63" s="467"/>
      <c r="L63" s="467"/>
      <c r="M63" s="469"/>
      <c r="N63" s="2975"/>
      <c r="O63" s="2975"/>
      <c r="P63" s="2983"/>
      <c r="Q63" s="2962"/>
      <c r="R63" s="2882"/>
      <c r="S63" s="2882"/>
      <c r="T63" s="2882"/>
      <c r="U63" s="2882"/>
      <c r="V63" s="2882"/>
      <c r="W63" s="2882"/>
      <c r="X63" s="2882"/>
      <c r="Y63" s="2882"/>
      <c r="Z63" s="2882"/>
      <c r="AA63" s="2882"/>
      <c r="AB63" s="2882"/>
      <c r="AC63" s="2882"/>
    </row>
    <row r="64" spans="1:29">
      <c r="A64" s="482" t="s">
        <v>2406</v>
      </c>
      <c r="B64" s="483" t="s">
        <v>2372</v>
      </c>
      <c r="C64" s="484">
        <f>C9</f>
        <v>0</v>
      </c>
      <c r="D64" s="485"/>
      <c r="E64" s="485"/>
      <c r="F64" s="485"/>
      <c r="G64" s="485"/>
      <c r="H64" s="485"/>
      <c r="I64" s="485"/>
      <c r="J64" s="485"/>
      <c r="K64" s="486"/>
      <c r="L64" s="487"/>
      <c r="M64" s="488"/>
      <c r="N64" s="2976"/>
      <c r="O64" s="2976"/>
      <c r="P64" s="2985"/>
      <c r="Q64" s="2962"/>
      <c r="R64" s="2948"/>
      <c r="S64" s="2948"/>
      <c r="T64" s="2948"/>
      <c r="U64" s="2948"/>
      <c r="V64" s="2948"/>
      <c r="W64" s="2948"/>
      <c r="X64" s="2948"/>
      <c r="Y64" s="2948"/>
      <c r="Z64" s="2948"/>
      <c r="AA64" s="2948"/>
      <c r="AB64" s="2948"/>
      <c r="AC64" s="2948"/>
    </row>
    <row r="65" spans="1:29" ht="15.75" thickBot="1">
      <c r="A65" s="489"/>
      <c r="B65" s="490"/>
      <c r="C65" s="491">
        <v>100</v>
      </c>
      <c r="D65" s="491"/>
      <c r="E65" s="491"/>
      <c r="F65" s="491"/>
      <c r="G65" s="491"/>
      <c r="H65" s="491"/>
      <c r="I65" s="491"/>
      <c r="J65" s="491"/>
      <c r="K65" s="491"/>
      <c r="L65" s="491"/>
      <c r="M65" s="492"/>
      <c r="N65" s="2977"/>
      <c r="O65" s="2977"/>
      <c r="P65" s="2985"/>
      <c r="Q65" s="2962"/>
      <c r="R65" s="2948"/>
      <c r="S65" s="2948"/>
      <c r="T65" s="2948"/>
      <c r="U65" s="2948"/>
      <c r="V65" s="2948"/>
      <c r="W65" s="2948"/>
      <c r="X65" s="2948"/>
      <c r="Y65" s="2948"/>
      <c r="Z65" s="2948"/>
      <c r="AA65" s="2948"/>
      <c r="AB65" s="2948"/>
      <c r="AC65" s="2948"/>
    </row>
    <row r="66" spans="1:29" ht="27.75" thickTop="1">
      <c r="A66" s="489"/>
      <c r="B66" s="493" t="s">
        <v>2375</v>
      </c>
      <c r="C66" s="494" t="s">
        <v>2407</v>
      </c>
      <c r="D66" s="494" t="s">
        <v>2408</v>
      </c>
      <c r="E66" s="494" t="s">
        <v>2409</v>
      </c>
      <c r="F66" s="494" t="s">
        <v>2410</v>
      </c>
      <c r="G66" s="494" t="s">
        <v>2411</v>
      </c>
      <c r="H66" s="494" t="s">
        <v>2412</v>
      </c>
      <c r="I66" s="494" t="s">
        <v>2413</v>
      </c>
      <c r="J66" s="494"/>
      <c r="K66" s="495"/>
      <c r="L66" s="496"/>
      <c r="M66" s="497"/>
      <c r="N66" s="2976"/>
      <c r="O66" s="2976"/>
      <c r="P66" s="2985"/>
      <c r="Q66" s="2962"/>
      <c r="R66" s="2948"/>
      <c r="S66" s="2948"/>
      <c r="T66" s="2948"/>
      <c r="U66" s="2948"/>
      <c r="V66" s="2948"/>
      <c r="W66" s="2948"/>
      <c r="X66" s="2948"/>
      <c r="Y66" s="2948"/>
      <c r="Z66" s="2948"/>
      <c r="AA66" s="2948"/>
      <c r="AB66" s="2948"/>
      <c r="AC66" s="2948"/>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77"/>
      <c r="O67" s="2977"/>
      <c r="P67" s="2985"/>
      <c r="Q67" s="2962"/>
      <c r="R67" s="2948"/>
      <c r="S67" s="2948"/>
      <c r="T67" s="2948"/>
      <c r="U67" s="2948"/>
      <c r="V67" s="2948"/>
      <c r="W67" s="2948"/>
      <c r="X67" s="2948"/>
      <c r="Y67" s="2948"/>
      <c r="Z67" s="2948"/>
      <c r="AA67" s="2948"/>
      <c r="AB67" s="2948"/>
      <c r="AC67" s="2948"/>
    </row>
    <row r="68" spans="1:29" ht="15.75" thickTop="1">
      <c r="A68" s="489"/>
      <c r="B68" s="501" t="s">
        <v>2376</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89"/>
      <c r="B69" s="503"/>
      <c r="C69" s="504"/>
      <c r="D69" s="504"/>
      <c r="E69" s="504"/>
      <c r="F69" s="504"/>
      <c r="G69" s="504"/>
      <c r="H69" s="504"/>
      <c r="I69" s="504"/>
      <c r="J69" s="504"/>
      <c r="K69" s="505"/>
      <c r="L69" s="506"/>
      <c r="M69" s="507"/>
      <c r="N69" s="2976"/>
      <c r="O69" s="2976"/>
      <c r="P69" s="2985"/>
      <c r="Q69" s="2962"/>
      <c r="R69" s="2948"/>
      <c r="S69" s="2948"/>
      <c r="T69" s="2948"/>
      <c r="U69" s="2948"/>
      <c r="V69" s="2948"/>
      <c r="W69" s="2948"/>
      <c r="X69" s="2948"/>
      <c r="Y69" s="2948"/>
      <c r="Z69" s="2948"/>
      <c r="AA69" s="2948"/>
      <c r="AB69" s="2948"/>
      <c r="AC69" s="2948"/>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7"/>
      <c r="O70" s="2977"/>
      <c r="P70" s="2985"/>
      <c r="Q70" s="2962"/>
      <c r="R70" s="2948"/>
      <c r="S70" s="2948"/>
      <c r="T70" s="2948"/>
      <c r="U70" s="2948"/>
      <c r="V70" s="2948"/>
      <c r="W70" s="2948"/>
      <c r="X70" s="2948"/>
      <c r="Y70" s="2948"/>
      <c r="Z70" s="2948"/>
      <c r="AA70" s="2948"/>
      <c r="AB70" s="2948"/>
      <c r="AC70" s="2948"/>
    </row>
    <row r="71" spans="1:29" s="428" customFormat="1" ht="15.75" thickTop="1">
      <c r="A71" s="508"/>
      <c r="B71" s="493">
        <f>B12</f>
        <v>111</v>
      </c>
      <c r="C71" s="509"/>
      <c r="D71" s="509"/>
      <c r="E71" s="509"/>
      <c r="F71" s="509"/>
      <c r="G71" s="509"/>
      <c r="H71" s="510"/>
      <c r="I71" s="510"/>
      <c r="J71" s="510"/>
      <c r="K71" s="510"/>
      <c r="L71" s="511"/>
      <c r="M71" s="512"/>
      <c r="N71" s="2978"/>
      <c r="O71" s="2978"/>
      <c r="P71" s="2986"/>
      <c r="Q71" s="2969"/>
      <c r="R71" s="2970"/>
      <c r="S71" s="2970"/>
      <c r="T71" s="2970"/>
      <c r="U71" s="2970"/>
      <c r="V71" s="2970"/>
      <c r="W71" s="2970"/>
      <c r="X71" s="2970"/>
      <c r="Y71" s="2970"/>
      <c r="Z71" s="2970"/>
      <c r="AA71" s="2970"/>
      <c r="AB71" s="2970"/>
      <c r="AC71" s="2970"/>
    </row>
    <row r="72" spans="1:29" s="428" customFormat="1" ht="15.75" thickBot="1">
      <c r="A72" s="508"/>
      <c r="B72" s="498"/>
      <c r="C72" s="515"/>
      <c r="D72" s="491"/>
      <c r="E72" s="491"/>
      <c r="F72" s="491"/>
      <c r="G72" s="491"/>
      <c r="H72" s="491"/>
      <c r="I72" s="491"/>
      <c r="J72" s="491"/>
      <c r="K72" s="491"/>
      <c r="L72" s="491"/>
      <c r="M72" s="492"/>
      <c r="N72" s="2977"/>
      <c r="O72" s="2977"/>
      <c r="P72" s="2986"/>
      <c r="Q72" s="2969"/>
      <c r="R72" s="2970"/>
      <c r="S72" s="2970"/>
      <c r="T72" s="2970"/>
      <c r="U72" s="2970"/>
      <c r="V72" s="2970"/>
      <c r="W72" s="2970"/>
      <c r="X72" s="2970"/>
      <c r="Y72" s="2970"/>
      <c r="Z72" s="2970"/>
      <c r="AA72" s="2970"/>
      <c r="AB72" s="2970"/>
      <c r="AC72" s="2970"/>
    </row>
    <row r="73" spans="1:29" s="428" customFormat="1" ht="15.75" thickTop="1">
      <c r="A73" s="508"/>
      <c r="B73" s="493">
        <f>B13</f>
        <v>111</v>
      </c>
      <c r="C73" s="509"/>
      <c r="D73" s="509"/>
      <c r="E73" s="509"/>
      <c r="F73" s="509"/>
      <c r="G73" s="509"/>
      <c r="H73" s="510"/>
      <c r="I73" s="510"/>
      <c r="J73" s="510"/>
      <c r="K73" s="510"/>
      <c r="L73" s="511"/>
      <c r="M73" s="512"/>
      <c r="N73" s="2978"/>
      <c r="O73" s="2978"/>
      <c r="P73" s="2987"/>
      <c r="Q73" s="2972"/>
      <c r="R73" s="2970"/>
      <c r="S73" s="2970"/>
      <c r="T73" s="2970"/>
      <c r="U73" s="2970"/>
      <c r="V73" s="2970"/>
      <c r="W73" s="2970"/>
      <c r="X73" s="2970"/>
      <c r="Y73" s="2970"/>
      <c r="Z73" s="2970"/>
      <c r="AA73" s="2970"/>
      <c r="AB73" s="2970"/>
      <c r="AC73" s="2970"/>
    </row>
    <row r="74" spans="1:29" s="428" customFormat="1" ht="15.75" thickBot="1">
      <c r="A74" s="508"/>
      <c r="B74" s="498"/>
      <c r="C74" s="515"/>
      <c r="D74" s="515"/>
      <c r="E74" s="515"/>
      <c r="F74" s="515"/>
      <c r="G74" s="515"/>
      <c r="H74" s="517"/>
      <c r="I74" s="517"/>
      <c r="J74" s="517"/>
      <c r="K74" s="517"/>
      <c r="L74" s="517"/>
      <c r="M74" s="518"/>
      <c r="N74" s="2978"/>
      <c r="O74" s="2978"/>
      <c r="P74" s="2986"/>
      <c r="Q74" s="2969"/>
      <c r="R74" s="2970"/>
      <c r="S74" s="2970"/>
      <c r="T74" s="2970"/>
      <c r="U74" s="2970"/>
      <c r="V74" s="2970"/>
      <c r="W74" s="2970"/>
      <c r="X74" s="2970"/>
      <c r="Y74" s="2970"/>
      <c r="Z74" s="2970"/>
      <c r="AA74" s="2970"/>
      <c r="AB74" s="2970"/>
      <c r="AC74" s="2970"/>
    </row>
    <row r="75" spans="1:29" s="428" customFormat="1" ht="15.75" thickTop="1">
      <c r="A75" s="508"/>
      <c r="B75" s="501">
        <f>B14</f>
        <v>111</v>
      </c>
      <c r="C75" s="478"/>
      <c r="D75" s="478"/>
      <c r="E75" s="478"/>
      <c r="F75" s="478"/>
      <c r="G75" s="478"/>
      <c r="H75" s="519"/>
      <c r="I75" s="519"/>
      <c r="J75" s="519"/>
      <c r="K75" s="519"/>
      <c r="L75" s="520"/>
      <c r="M75" s="521"/>
      <c r="N75" s="2978"/>
      <c r="O75" s="2978"/>
      <c r="P75" s="2988"/>
      <c r="Q75" s="2969"/>
      <c r="R75" s="2970"/>
      <c r="S75" s="2970"/>
      <c r="T75" s="2970"/>
      <c r="U75" s="2970"/>
      <c r="V75" s="2970"/>
      <c r="W75" s="2970"/>
      <c r="X75" s="2970"/>
      <c r="Y75" s="2970"/>
      <c r="Z75" s="2970"/>
      <c r="AA75" s="2970"/>
      <c r="AB75" s="2970"/>
      <c r="AC75" s="2970"/>
    </row>
    <row r="76" spans="1:29" s="428" customFormat="1" ht="15.75" thickBot="1">
      <c r="A76" s="523"/>
      <c r="B76" s="524"/>
      <c r="C76" s="525"/>
      <c r="D76" s="525"/>
      <c r="E76" s="525"/>
      <c r="F76" s="525"/>
      <c r="G76" s="525"/>
      <c r="H76" s="526"/>
      <c r="I76" s="526"/>
      <c r="J76" s="526"/>
      <c r="K76" s="526"/>
      <c r="L76" s="526"/>
      <c r="M76" s="527"/>
      <c r="N76" s="2978"/>
      <c r="O76" s="2978"/>
      <c r="P76" s="2986"/>
      <c r="Q76" s="2969"/>
      <c r="R76" s="2970"/>
      <c r="S76" s="2970"/>
      <c r="T76" s="2970"/>
      <c r="U76" s="2970"/>
      <c r="V76" s="2970"/>
      <c r="W76" s="2970"/>
      <c r="X76" s="2970"/>
      <c r="Y76" s="2970"/>
      <c r="Z76" s="2970"/>
      <c r="AA76" s="2970"/>
      <c r="AB76" s="2970"/>
      <c r="AC76" s="2970"/>
    </row>
    <row r="77" spans="1:29">
      <c r="A77" s="482" t="s">
        <v>2377</v>
      </c>
      <c r="B77" s="483" t="s">
        <v>2515</v>
      </c>
      <c r="C77" s="528" t="s">
        <v>2415</v>
      </c>
      <c r="D77" s="528" t="s">
        <v>2416</v>
      </c>
      <c r="E77" s="528" t="s">
        <v>2417</v>
      </c>
      <c r="F77" s="528" t="s">
        <v>2418</v>
      </c>
      <c r="G77" s="528" t="s">
        <v>2419</v>
      </c>
      <c r="H77" s="484"/>
      <c r="I77" s="484"/>
      <c r="J77" s="484"/>
      <c r="K77" s="529"/>
      <c r="L77" s="530"/>
      <c r="M77" s="531"/>
      <c r="N77" s="2976"/>
      <c r="O77" s="2976"/>
      <c r="P77" s="2989"/>
      <c r="Q77" s="2962"/>
      <c r="R77" s="2948"/>
      <c r="S77" s="2948"/>
      <c r="T77" s="2948"/>
      <c r="U77" s="2948"/>
      <c r="V77" s="2948"/>
      <c r="W77" s="2948"/>
      <c r="X77" s="2948"/>
      <c r="Y77" s="2948"/>
      <c r="Z77" s="2948"/>
      <c r="AA77" s="2948"/>
      <c r="AB77" s="2948"/>
      <c r="AC77" s="2948"/>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77"/>
      <c r="O78" s="2977"/>
      <c r="P78" s="2985"/>
      <c r="Q78" s="2962"/>
      <c r="R78" s="2948"/>
      <c r="S78" s="2948"/>
      <c r="T78" s="2948"/>
      <c r="U78" s="2948"/>
      <c r="V78" s="2948"/>
      <c r="W78" s="2948"/>
      <c r="X78" s="2948"/>
      <c r="Y78" s="2948"/>
      <c r="Z78" s="2948"/>
      <c r="AA78" s="2948"/>
      <c r="AB78" s="2948"/>
      <c r="AC78" s="2948"/>
    </row>
    <row r="79" spans="1:29" ht="15.75" thickTop="1">
      <c r="A79" s="489"/>
      <c r="B79" s="493" t="s">
        <v>2420</v>
      </c>
      <c r="C79" s="533" t="s">
        <v>2415</v>
      </c>
      <c r="D79" s="533" t="s">
        <v>2416</v>
      </c>
      <c r="E79" s="533" t="s">
        <v>2417</v>
      </c>
      <c r="F79" s="533" t="s">
        <v>2418</v>
      </c>
      <c r="G79" s="533" t="s">
        <v>2419</v>
      </c>
      <c r="H79" s="494"/>
      <c r="I79" s="494"/>
      <c r="J79" s="494"/>
      <c r="K79" s="495"/>
      <c r="L79" s="496"/>
      <c r="M79" s="497"/>
      <c r="N79" s="2976"/>
      <c r="O79" s="2976"/>
      <c r="P79" s="2985"/>
      <c r="Q79" s="2962"/>
      <c r="R79" s="2948"/>
      <c r="S79" s="2948"/>
      <c r="T79" s="2948"/>
      <c r="U79" s="2948"/>
      <c r="V79" s="2948"/>
      <c r="W79" s="2948"/>
      <c r="X79" s="2948"/>
      <c r="Y79" s="2948"/>
      <c r="Z79" s="2948"/>
      <c r="AA79" s="2948"/>
      <c r="AB79" s="2948"/>
      <c r="AC79" s="2948"/>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77"/>
      <c r="O80" s="2977"/>
      <c r="P80" s="2985"/>
      <c r="Q80" s="2962"/>
      <c r="R80" s="2948"/>
      <c r="S80" s="2948"/>
      <c r="T80" s="2948"/>
      <c r="U80" s="2948"/>
      <c r="V80" s="2948"/>
      <c r="W80" s="2948"/>
      <c r="X80" s="2948"/>
      <c r="Y80" s="2948"/>
      <c r="Z80" s="2948"/>
      <c r="AA80" s="2948"/>
      <c r="AB80" s="2948"/>
      <c r="AC80" s="2948"/>
    </row>
    <row r="81" spans="1:29" ht="15.75" thickTop="1">
      <c r="A81" s="489"/>
      <c r="B81" s="493" t="s">
        <v>2421</v>
      </c>
      <c r="C81" s="533" t="s">
        <v>2415</v>
      </c>
      <c r="D81" s="533" t="s">
        <v>2416</v>
      </c>
      <c r="E81" s="533" t="s">
        <v>2417</v>
      </c>
      <c r="F81" s="533" t="s">
        <v>2418</v>
      </c>
      <c r="G81" s="533" t="s">
        <v>2419</v>
      </c>
      <c r="H81" s="494"/>
      <c r="I81" s="494"/>
      <c r="J81" s="494"/>
      <c r="K81" s="495"/>
      <c r="L81" s="496"/>
      <c r="M81" s="497"/>
      <c r="N81" s="2976"/>
      <c r="O81" s="2976"/>
      <c r="P81" s="2985"/>
      <c r="Q81" s="2962"/>
      <c r="R81" s="2948"/>
      <c r="S81" s="2948"/>
      <c r="T81" s="2948"/>
      <c r="U81" s="2948"/>
      <c r="V81" s="2948"/>
      <c r="W81" s="2948"/>
      <c r="X81" s="2948"/>
      <c r="Y81" s="2948"/>
      <c r="Z81" s="2948"/>
      <c r="AA81" s="2948"/>
      <c r="AB81" s="2948"/>
      <c r="AC81" s="2948"/>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77"/>
      <c r="O82" s="2977"/>
      <c r="P82" s="2985"/>
      <c r="Q82" s="2962"/>
      <c r="R82" s="2948"/>
      <c r="S82" s="2948"/>
      <c r="T82" s="2948"/>
      <c r="U82" s="2948"/>
      <c r="V82" s="2948"/>
      <c r="W82" s="2948"/>
      <c r="X82" s="2948"/>
      <c r="Y82" s="2948"/>
      <c r="Z82" s="2948"/>
      <c r="AA82" s="2948"/>
      <c r="AB82" s="2948"/>
      <c r="AC82" s="2948"/>
    </row>
    <row r="83" spans="1:29" ht="15.75" thickTop="1">
      <c r="A83" s="489"/>
      <c r="B83" s="501" t="s">
        <v>2507</v>
      </c>
      <c r="C83" s="614" t="s">
        <v>2493</v>
      </c>
      <c r="D83" s="614" t="s">
        <v>2494</v>
      </c>
      <c r="E83" s="614" t="s">
        <v>2495</v>
      </c>
      <c r="F83" s="614" t="s">
        <v>2496</v>
      </c>
      <c r="G83" s="614" t="s">
        <v>2497</v>
      </c>
      <c r="H83" s="494"/>
      <c r="I83" s="494"/>
      <c r="J83" s="494"/>
      <c r="K83" s="494"/>
      <c r="L83" s="494"/>
      <c r="M83" s="1289"/>
      <c r="N83" s="2977"/>
      <c r="O83" s="2977"/>
      <c r="P83" s="2985"/>
      <c r="Q83" s="2962"/>
      <c r="R83" s="2948"/>
      <c r="S83" s="2948"/>
      <c r="T83" s="2948"/>
      <c r="U83" s="2948"/>
      <c r="V83" s="2948"/>
      <c r="W83" s="2948"/>
      <c r="X83" s="2948"/>
      <c r="Y83" s="2948"/>
      <c r="Z83" s="2948"/>
      <c r="AA83" s="2948"/>
      <c r="AB83" s="2948"/>
      <c r="AC83" s="2948"/>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77"/>
      <c r="O84" s="2977"/>
      <c r="P84" s="2985"/>
      <c r="Q84" s="2962"/>
      <c r="R84" s="2948"/>
      <c r="S84" s="2948"/>
      <c r="T84" s="2948"/>
      <c r="U84" s="2948"/>
      <c r="V84" s="2948"/>
      <c r="W84" s="2948"/>
      <c r="X84" s="2948"/>
      <c r="Y84" s="2948"/>
      <c r="Z84" s="2948"/>
      <c r="AA84" s="2948"/>
      <c r="AB84" s="2948"/>
      <c r="AC84" s="2948"/>
    </row>
    <row r="85" spans="1:29" ht="15.75" thickTop="1">
      <c r="A85" s="489"/>
      <c r="B85" s="493" t="s">
        <v>2516</v>
      </c>
      <c r="C85" s="533" t="s">
        <v>2415</v>
      </c>
      <c r="D85" s="533" t="s">
        <v>2416</v>
      </c>
      <c r="E85" s="533" t="s">
        <v>2417</v>
      </c>
      <c r="F85" s="533" t="s">
        <v>2418</v>
      </c>
      <c r="G85" s="533" t="s">
        <v>2419</v>
      </c>
      <c r="H85" s="494"/>
      <c r="I85" s="494"/>
      <c r="J85" s="494"/>
      <c r="K85" s="495"/>
      <c r="L85" s="496"/>
      <c r="M85" s="497"/>
      <c r="N85" s="2976"/>
      <c r="O85" s="2976"/>
      <c r="P85" s="2985"/>
      <c r="Q85" s="2962"/>
      <c r="R85" s="2948"/>
      <c r="S85" s="2948"/>
      <c r="T85" s="2948"/>
      <c r="U85" s="2948"/>
      <c r="V85" s="2948"/>
      <c r="W85" s="2948"/>
      <c r="X85" s="2948"/>
      <c r="Y85" s="2948"/>
      <c r="Z85" s="2948"/>
      <c r="AA85" s="2948"/>
      <c r="AB85" s="2948"/>
      <c r="AC85" s="2948"/>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77"/>
      <c r="O86" s="2977"/>
      <c r="P86" s="2985"/>
      <c r="Q86" s="2962"/>
      <c r="R86" s="2948"/>
      <c r="S86" s="2948"/>
      <c r="T86" s="2948"/>
      <c r="U86" s="2948"/>
      <c r="V86" s="2948"/>
      <c r="W86" s="2948"/>
      <c r="X86" s="2948"/>
      <c r="Y86" s="2948"/>
      <c r="Z86" s="2948"/>
      <c r="AA86" s="2948"/>
      <c r="AB86" s="2948"/>
      <c r="AC86" s="2948"/>
    </row>
    <row r="87" spans="1:29" s="112" customFormat="1" ht="27.75" thickTop="1">
      <c r="A87" s="534"/>
      <c r="B87" s="493" t="s">
        <v>2517</v>
      </c>
      <c r="C87" s="509"/>
      <c r="D87" s="509"/>
      <c r="E87" s="509"/>
      <c r="F87" s="509"/>
      <c r="G87" s="509"/>
      <c r="H87" s="509"/>
      <c r="I87" s="509"/>
      <c r="J87" s="509"/>
      <c r="K87" s="509"/>
      <c r="L87" s="535"/>
      <c r="M87" s="536"/>
      <c r="N87" s="2975"/>
      <c r="O87" s="2975"/>
      <c r="P87" s="2985"/>
      <c r="Q87" s="2962"/>
      <c r="R87" s="2882"/>
      <c r="S87" s="2882"/>
      <c r="T87" s="2882"/>
      <c r="U87" s="2882"/>
      <c r="V87" s="2882"/>
      <c r="W87" s="2882"/>
      <c r="X87" s="2882"/>
      <c r="Y87" s="2882"/>
      <c r="Z87" s="2882"/>
      <c r="AA87" s="2882"/>
      <c r="AB87" s="2882"/>
      <c r="AC87" s="2882"/>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7"/>
      <c r="O88" s="2977"/>
      <c r="P88" s="2985"/>
      <c r="Q88" s="2962"/>
      <c r="R88" s="2882"/>
      <c r="S88" s="2882"/>
      <c r="T88" s="2882"/>
      <c r="U88" s="2882"/>
      <c r="V88" s="2882"/>
      <c r="W88" s="2882"/>
      <c r="X88" s="2882"/>
      <c r="Y88" s="2882"/>
      <c r="Z88" s="2882"/>
      <c r="AA88" s="2882"/>
      <c r="AB88" s="2882"/>
      <c r="AC88" s="2882"/>
    </row>
    <row r="89" spans="1:29" s="112" customFormat="1" ht="15.75" thickTop="1">
      <c r="A89" s="534"/>
      <c r="B89" s="493" t="str">
        <f>B27</f>
        <v>楼层</v>
      </c>
      <c r="C89" s="509"/>
      <c r="D89" s="509"/>
      <c r="E89" s="509"/>
      <c r="F89" s="2110"/>
      <c r="G89" s="509"/>
      <c r="H89" s="509"/>
      <c r="I89" s="509"/>
      <c r="J89" s="509"/>
      <c r="K89" s="509"/>
      <c r="L89" s="509"/>
      <c r="M89" s="536"/>
      <c r="N89" s="2975"/>
      <c r="O89" s="2975"/>
      <c r="P89" s="2985"/>
      <c r="Q89" s="2962"/>
      <c r="R89" s="2882"/>
      <c r="S89" s="2882"/>
      <c r="T89" s="2882"/>
      <c r="U89" s="2882"/>
      <c r="V89" s="2882"/>
      <c r="W89" s="2882"/>
      <c r="X89" s="2882"/>
      <c r="Y89" s="2882"/>
      <c r="Z89" s="2882"/>
      <c r="AA89" s="2882"/>
      <c r="AB89" s="2882"/>
      <c r="AC89" s="2882"/>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7"/>
      <c r="O90" s="2977"/>
      <c r="P90" s="2985"/>
      <c r="Q90" s="2962"/>
      <c r="R90" s="2882"/>
      <c r="S90" s="2882"/>
      <c r="T90" s="2882"/>
      <c r="U90" s="2882"/>
      <c r="V90" s="2882"/>
      <c r="W90" s="2882"/>
      <c r="X90" s="2882"/>
      <c r="Y90" s="2882"/>
      <c r="Z90" s="2882"/>
      <c r="AA90" s="2882"/>
      <c r="AB90" s="2882"/>
      <c r="AC90" s="2882"/>
    </row>
    <row r="91" spans="1:29" s="428" customFormat="1" ht="15.75" thickTop="1">
      <c r="A91" s="508"/>
      <c r="B91" s="493" t="str">
        <f>B28</f>
        <v>朝向</v>
      </c>
      <c r="C91" s="509"/>
      <c r="D91" s="509"/>
      <c r="E91" s="509"/>
      <c r="F91" s="509"/>
      <c r="G91" s="509"/>
      <c r="H91" s="510"/>
      <c r="I91" s="510"/>
      <c r="J91" s="510"/>
      <c r="K91" s="510"/>
      <c r="L91" s="511"/>
      <c r="M91" s="512"/>
      <c r="N91" s="2978"/>
      <c r="O91" s="2978"/>
      <c r="P91" s="2986"/>
      <c r="Q91" s="2969"/>
      <c r="R91" s="2970"/>
      <c r="S91" s="2970"/>
      <c r="T91" s="2970"/>
      <c r="U91" s="2970"/>
      <c r="V91" s="2970"/>
      <c r="W91" s="2970"/>
      <c r="X91" s="2970"/>
      <c r="Y91" s="2970"/>
      <c r="Z91" s="2970"/>
      <c r="AA91" s="2970"/>
      <c r="AB91" s="2970"/>
      <c r="AC91" s="2970"/>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89"/>
      <c r="B93" s="493">
        <f>B29</f>
        <v>111</v>
      </c>
      <c r="C93" s="509"/>
      <c r="D93" s="509"/>
      <c r="E93" s="509"/>
      <c r="F93" s="509"/>
      <c r="G93" s="509"/>
      <c r="H93" s="509"/>
      <c r="I93" s="509"/>
      <c r="J93" s="509"/>
      <c r="K93" s="509"/>
      <c r="L93" s="535"/>
      <c r="M93" s="536"/>
      <c r="N93" s="2976"/>
      <c r="O93" s="2976"/>
      <c r="P93" s="2985"/>
      <c r="Q93" s="2962"/>
      <c r="R93" s="2948"/>
      <c r="S93" s="2948"/>
      <c r="T93" s="2948"/>
      <c r="U93" s="2948"/>
      <c r="V93" s="2948"/>
      <c r="W93" s="2948"/>
      <c r="X93" s="2948"/>
      <c r="Y93" s="2948"/>
      <c r="Z93" s="2948"/>
      <c r="AA93" s="2948"/>
      <c r="AB93" s="2948"/>
      <c r="AC93" s="2948"/>
    </row>
    <row r="94" spans="1:29" ht="15.75" thickBot="1">
      <c r="A94" s="489"/>
      <c r="B94" s="498"/>
      <c r="C94" s="515"/>
      <c r="D94" s="491"/>
      <c r="E94" s="491"/>
      <c r="F94" s="491"/>
      <c r="G94" s="491"/>
      <c r="H94" s="491"/>
      <c r="I94" s="491"/>
      <c r="J94" s="491"/>
      <c r="K94" s="491"/>
      <c r="L94" s="491"/>
      <c r="M94" s="492"/>
      <c r="N94" s="2977"/>
      <c r="O94" s="2977"/>
      <c r="P94" s="2985"/>
      <c r="Q94" s="2962"/>
      <c r="R94" s="2948"/>
      <c r="S94" s="2948"/>
      <c r="T94" s="2948"/>
      <c r="U94" s="2948"/>
      <c r="V94" s="2948"/>
      <c r="W94" s="2948"/>
      <c r="X94" s="2948"/>
      <c r="Y94" s="2948"/>
      <c r="Z94" s="2948"/>
      <c r="AA94" s="2948"/>
      <c r="AB94" s="2948"/>
      <c r="AC94" s="2948"/>
    </row>
    <row r="95" spans="1:29" ht="15.75" thickTop="1">
      <c r="A95" s="489"/>
      <c r="B95" s="493">
        <f>B30</f>
        <v>111</v>
      </c>
      <c r="C95" s="509"/>
      <c r="D95" s="509"/>
      <c r="E95" s="509"/>
      <c r="F95" s="509"/>
      <c r="G95" s="538"/>
      <c r="H95" s="538"/>
      <c r="I95" s="538"/>
      <c r="J95" s="538"/>
      <c r="K95" s="539"/>
      <c r="L95" s="540"/>
      <c r="M95" s="541"/>
      <c r="N95" s="2976"/>
      <c r="O95" s="2976"/>
      <c r="P95" s="2985"/>
      <c r="Q95" s="2962"/>
      <c r="R95" s="2948"/>
      <c r="S95" s="2948"/>
      <c r="T95" s="2948"/>
      <c r="U95" s="2948"/>
      <c r="V95" s="2948"/>
      <c r="W95" s="2948"/>
      <c r="X95" s="2948"/>
      <c r="Y95" s="2948"/>
      <c r="Z95" s="2948"/>
      <c r="AA95" s="2948"/>
      <c r="AB95" s="2948"/>
      <c r="AC95" s="2948"/>
    </row>
    <row r="96" spans="1:29" ht="15.75" thickBot="1">
      <c r="A96" s="489"/>
      <c r="B96" s="498"/>
      <c r="C96" s="515"/>
      <c r="D96" s="515"/>
      <c r="E96" s="515"/>
      <c r="F96" s="515"/>
      <c r="G96" s="491"/>
      <c r="H96" s="491"/>
      <c r="I96" s="491"/>
      <c r="J96" s="491"/>
      <c r="K96" s="491"/>
      <c r="L96" s="491"/>
      <c r="M96" s="492"/>
      <c r="N96" s="2977"/>
      <c r="O96" s="2977"/>
      <c r="P96" s="2985"/>
      <c r="Q96" s="2962"/>
      <c r="R96" s="2948"/>
      <c r="S96" s="2948"/>
      <c r="T96" s="2948"/>
      <c r="U96" s="2948"/>
      <c r="V96" s="2948"/>
      <c r="W96" s="2948"/>
      <c r="X96" s="2948"/>
      <c r="Y96" s="2948"/>
      <c r="Z96" s="2948"/>
      <c r="AA96" s="2948"/>
      <c r="AB96" s="2948"/>
      <c r="AC96" s="2948"/>
    </row>
    <row r="97" spans="1:29" ht="15.75" thickTop="1">
      <c r="A97" s="489"/>
      <c r="B97" s="493">
        <f>B31</f>
        <v>111</v>
      </c>
      <c r="C97" s="509"/>
      <c r="D97" s="509"/>
      <c r="E97" s="509"/>
      <c r="F97" s="509"/>
      <c r="G97" s="538"/>
      <c r="H97" s="538"/>
      <c r="I97" s="538"/>
      <c r="J97" s="538"/>
      <c r="K97" s="539"/>
      <c r="L97" s="540"/>
      <c r="M97" s="541"/>
      <c r="N97" s="2976"/>
      <c r="O97" s="2976"/>
      <c r="P97" s="2985"/>
      <c r="Q97" s="2962"/>
      <c r="R97" s="2948"/>
      <c r="S97" s="2948"/>
      <c r="T97" s="2948"/>
      <c r="U97" s="2948"/>
      <c r="V97" s="2948"/>
      <c r="W97" s="2948"/>
      <c r="X97" s="2948"/>
      <c r="Y97" s="2948"/>
      <c r="Z97" s="2948"/>
      <c r="AA97" s="2948"/>
      <c r="AB97" s="2948"/>
      <c r="AC97" s="2948"/>
    </row>
    <row r="98" spans="1:29" ht="15.75" thickBot="1">
      <c r="A98" s="489"/>
      <c r="B98" s="498"/>
      <c r="C98" s="515"/>
      <c r="D98" s="491"/>
      <c r="E98" s="491"/>
      <c r="F98" s="491"/>
      <c r="G98" s="491"/>
      <c r="H98" s="491"/>
      <c r="I98" s="491"/>
      <c r="J98" s="491"/>
      <c r="K98" s="491"/>
      <c r="L98" s="491"/>
      <c r="M98" s="492"/>
      <c r="N98" s="2977"/>
      <c r="O98" s="2977"/>
      <c r="P98" s="2985"/>
      <c r="Q98" s="2962"/>
      <c r="R98" s="2948"/>
      <c r="S98" s="2948"/>
      <c r="T98" s="2948"/>
      <c r="U98" s="2948"/>
      <c r="V98" s="2948"/>
      <c r="W98" s="2948"/>
      <c r="X98" s="2948"/>
      <c r="Y98" s="2948"/>
      <c r="Z98" s="2948"/>
      <c r="AA98" s="2948"/>
      <c r="AB98" s="2948"/>
      <c r="AC98" s="2948"/>
    </row>
    <row r="99" spans="1:29" ht="15.75" thickTop="1">
      <c r="A99" s="489"/>
      <c r="B99" s="501">
        <f>B32</f>
        <v>111</v>
      </c>
      <c r="C99" s="478"/>
      <c r="D99" s="478"/>
      <c r="E99" s="478"/>
      <c r="F99" s="478"/>
      <c r="G99" s="542"/>
      <c r="H99" s="542"/>
      <c r="I99" s="542"/>
      <c r="J99" s="542"/>
      <c r="K99" s="543"/>
      <c r="L99" s="544"/>
      <c r="M99" s="545"/>
      <c r="N99" s="2976"/>
      <c r="O99" s="2976"/>
      <c r="P99" s="2985"/>
      <c r="Q99" s="2962"/>
      <c r="R99" s="2948"/>
      <c r="S99" s="2948"/>
      <c r="T99" s="2948"/>
      <c r="U99" s="2948"/>
      <c r="V99" s="2948"/>
      <c r="W99" s="2948"/>
      <c r="X99" s="2948"/>
      <c r="Y99" s="2948"/>
      <c r="Z99" s="2948"/>
      <c r="AA99" s="2948"/>
      <c r="AB99" s="2948"/>
      <c r="AC99" s="2948"/>
    </row>
    <row r="100" spans="1:29" ht="15.75" thickBot="1">
      <c r="A100" s="2111"/>
      <c r="B100" s="524"/>
      <c r="C100" s="525"/>
      <c r="D100" s="525"/>
      <c r="E100" s="525"/>
      <c r="F100" s="525"/>
      <c r="G100" s="546"/>
      <c r="H100" s="546"/>
      <c r="I100" s="546"/>
      <c r="J100" s="546"/>
      <c r="K100" s="546"/>
      <c r="L100" s="546"/>
      <c r="M100" s="547"/>
      <c r="N100" s="2977"/>
      <c r="O100" s="2977"/>
      <c r="P100" s="2985"/>
      <c r="Q100" s="2962"/>
      <c r="R100" s="2948"/>
      <c r="S100" s="2948"/>
      <c r="T100" s="2948"/>
      <c r="U100" s="2948"/>
      <c r="V100" s="2948"/>
      <c r="W100" s="2948"/>
      <c r="X100" s="2948"/>
      <c r="Y100" s="2948"/>
      <c r="Z100" s="2948"/>
      <c r="AA100" s="2948"/>
      <c r="AB100" s="2948"/>
      <c r="AC100" s="2948"/>
    </row>
    <row r="101" spans="1:29">
      <c r="A101" s="482" t="s">
        <v>2381</v>
      </c>
      <c r="B101" s="483" t="s">
        <v>2430</v>
      </c>
      <c r="C101" s="485"/>
      <c r="D101" s="485"/>
      <c r="E101" s="485"/>
      <c r="F101" s="485"/>
      <c r="G101" s="485"/>
      <c r="H101" s="485"/>
      <c r="I101" s="485"/>
      <c r="J101" s="485"/>
      <c r="K101" s="486"/>
      <c r="L101" s="487"/>
      <c r="M101" s="488"/>
      <c r="N101" s="2976"/>
      <c r="O101" s="2976"/>
      <c r="P101" s="2985"/>
      <c r="Q101" s="2962"/>
      <c r="R101" s="2948"/>
      <c r="S101" s="2948"/>
      <c r="T101" s="2948"/>
      <c r="U101" s="2948"/>
      <c r="V101" s="2948"/>
      <c r="W101" s="2948"/>
      <c r="X101" s="2948"/>
      <c r="Y101" s="2948"/>
      <c r="Z101" s="2948"/>
      <c r="AA101" s="2948"/>
      <c r="AB101" s="2948"/>
      <c r="AC101" s="2948"/>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89"/>
      <c r="B103" s="493" t="s">
        <v>2431</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8" customFormat="1">
      <c r="A104" s="548"/>
      <c r="B104" s="549"/>
      <c r="C104" s="550"/>
      <c r="D104" s="550"/>
      <c r="E104" s="550"/>
      <c r="F104" s="550"/>
      <c r="G104" s="550"/>
      <c r="H104" s="550"/>
      <c r="I104" s="550"/>
      <c r="J104" s="551"/>
      <c r="K104" s="551"/>
      <c r="L104" s="552"/>
      <c r="M104" s="553"/>
      <c r="N104" s="2978"/>
      <c r="O104" s="2978"/>
      <c r="P104" s="2986"/>
      <c r="Q104" s="2969"/>
      <c r="R104" s="2970"/>
      <c r="S104" s="2970"/>
      <c r="T104" s="2970"/>
      <c r="U104" s="2970"/>
      <c r="V104" s="2970"/>
      <c r="W104" s="2970"/>
      <c r="X104" s="2970"/>
      <c r="Y104" s="2970"/>
      <c r="Z104" s="2970"/>
      <c r="AA104" s="2970"/>
      <c r="AB104" s="2970"/>
      <c r="AC104" s="2970"/>
    </row>
    <row r="105" spans="1:29" s="428" customFormat="1" ht="15.75" thickBot="1">
      <c r="A105" s="508"/>
      <c r="B105" s="498"/>
      <c r="C105" s="515"/>
      <c r="D105" s="491"/>
      <c r="E105" s="491"/>
      <c r="F105" s="491"/>
      <c r="G105" s="491"/>
      <c r="H105" s="491"/>
      <c r="I105" s="491"/>
      <c r="J105" s="491"/>
      <c r="K105" s="491"/>
      <c r="L105" s="491"/>
      <c r="M105" s="492"/>
      <c r="N105" s="2977"/>
      <c r="O105" s="2977"/>
      <c r="P105" s="2986"/>
      <c r="Q105" s="2969"/>
      <c r="R105" s="2970"/>
      <c r="S105" s="2970"/>
      <c r="T105" s="2970"/>
      <c r="U105" s="2970"/>
      <c r="V105" s="2970"/>
      <c r="W105" s="2970"/>
      <c r="X105" s="2970"/>
      <c r="Y105" s="2970"/>
      <c r="Z105" s="2970"/>
      <c r="AA105" s="2970"/>
      <c r="AB105" s="2970"/>
      <c r="AC105" s="2970"/>
    </row>
    <row r="106" spans="1:29" ht="15" thickTop="1">
      <c r="A106" s="554"/>
      <c r="B106" s="493" t="s">
        <v>2432</v>
      </c>
      <c r="C106" s="509"/>
      <c r="D106" s="509"/>
      <c r="E106" s="538"/>
      <c r="F106" s="538"/>
      <c r="G106" s="538"/>
      <c r="H106" s="538"/>
      <c r="I106" s="538"/>
      <c r="J106" s="538"/>
      <c r="K106" s="539"/>
      <c r="L106" s="540"/>
      <c r="M106" s="541"/>
      <c r="N106" s="2976"/>
      <c r="O106" s="2976"/>
      <c r="P106" s="2985"/>
      <c r="Q106" s="2962"/>
      <c r="R106" s="2948"/>
      <c r="S106" s="2948"/>
      <c r="T106" s="2948"/>
      <c r="U106" s="2948"/>
      <c r="V106" s="2948"/>
      <c r="W106" s="2948"/>
      <c r="X106" s="2948"/>
      <c r="Y106" s="2948"/>
      <c r="Z106" s="2948"/>
      <c r="AA106" s="2948"/>
      <c r="AB106" s="2948"/>
      <c r="AC106" s="2948"/>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4"/>
      <c r="B108" s="493" t="s">
        <v>2434</v>
      </c>
      <c r="C108" s="509"/>
      <c r="D108" s="509"/>
      <c r="E108" s="509"/>
      <c r="F108" s="538"/>
      <c r="G108" s="538"/>
      <c r="H108" s="538"/>
      <c r="I108" s="538"/>
      <c r="J108" s="538"/>
      <c r="K108" s="539"/>
      <c r="L108" s="540"/>
      <c r="M108" s="541"/>
      <c r="N108" s="2976"/>
      <c r="O108" s="2976"/>
      <c r="P108" s="2985"/>
      <c r="Q108" s="2962"/>
      <c r="R108" s="2948"/>
      <c r="S108" s="2948"/>
      <c r="T108" s="2948"/>
      <c r="U108" s="2948"/>
      <c r="V108" s="2948"/>
      <c r="W108" s="2948"/>
      <c r="X108" s="2948"/>
      <c r="Y108" s="2948"/>
      <c r="Z108" s="2948"/>
      <c r="AA108" s="2948"/>
      <c r="AB108" s="2948"/>
      <c r="AC108" s="2948"/>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6"/>
      <c r="O110" s="2976"/>
      <c r="P110" s="2985"/>
      <c r="Q110" s="2962"/>
      <c r="R110" s="2948"/>
      <c r="S110" s="2948"/>
      <c r="T110" s="2948"/>
      <c r="U110" s="2948"/>
      <c r="V110" s="2948"/>
      <c r="W110" s="2948"/>
      <c r="X110" s="2948"/>
      <c r="Y110" s="2948"/>
      <c r="Z110" s="2948"/>
      <c r="AA110" s="2948"/>
      <c r="AB110" s="2948"/>
      <c r="AC110" s="2948"/>
    </row>
    <row r="111" spans="1:29">
      <c r="A111" s="554"/>
      <c r="B111" s="501"/>
      <c r="C111" s="558">
        <v>0.5</v>
      </c>
      <c r="D111" s="558">
        <v>0.6</v>
      </c>
      <c r="E111" s="558">
        <v>0.7</v>
      </c>
      <c r="F111" s="558">
        <v>0.8</v>
      </c>
      <c r="G111" s="558">
        <v>0.9</v>
      </c>
      <c r="H111" s="558">
        <v>1.0001</v>
      </c>
      <c r="I111" s="577"/>
      <c r="J111" s="577"/>
      <c r="K111" s="578"/>
      <c r="L111" s="579"/>
      <c r="M111" s="580"/>
      <c r="N111" s="2976"/>
      <c r="O111" s="2976"/>
      <c r="P111" s="2985"/>
      <c r="Q111" s="2962"/>
      <c r="R111" s="2948"/>
      <c r="S111" s="2948"/>
      <c r="T111" s="2948"/>
      <c r="U111" s="2948"/>
      <c r="V111" s="2948"/>
      <c r="W111" s="2948"/>
      <c r="X111" s="2948"/>
      <c r="Y111" s="2948"/>
      <c r="Z111" s="2948"/>
      <c r="AA111" s="2948"/>
      <c r="AB111" s="2948"/>
      <c r="AC111" s="2948"/>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77"/>
      <c r="O112" s="2977"/>
      <c r="P112" s="2985"/>
      <c r="Q112" s="2962"/>
      <c r="R112" s="2948"/>
      <c r="S112" s="2948"/>
      <c r="T112" s="2948"/>
      <c r="U112" s="2948"/>
      <c r="V112" s="2948"/>
      <c r="W112" s="2948"/>
      <c r="X112" s="2948"/>
      <c r="Y112" s="2948"/>
      <c r="Z112" s="2948"/>
      <c r="AA112" s="2948"/>
      <c r="AB112" s="2948"/>
      <c r="AC112" s="2948"/>
    </row>
    <row r="113" spans="1:29" s="428" customFormat="1" ht="15" thickTop="1">
      <c r="A113" s="548"/>
      <c r="B113" s="493" t="s">
        <v>2518</v>
      </c>
      <c r="C113" s="509"/>
      <c r="D113" s="509"/>
      <c r="E113" s="509"/>
      <c r="F113" s="509"/>
      <c r="G113" s="509"/>
      <c r="H113" s="538"/>
      <c r="I113" s="538"/>
      <c r="J113" s="538"/>
      <c r="K113" s="539"/>
      <c r="L113" s="540"/>
      <c r="M113" s="541"/>
      <c r="N113" s="2978"/>
      <c r="O113" s="2978"/>
      <c r="P113" s="2986"/>
      <c r="Q113" s="2969"/>
      <c r="R113" s="2970"/>
      <c r="S113" s="2970"/>
      <c r="T113" s="2970"/>
      <c r="U113" s="2970"/>
      <c r="V113" s="2970"/>
      <c r="W113" s="2970"/>
      <c r="X113" s="2970"/>
      <c r="Y113" s="2970"/>
      <c r="Z113" s="2970"/>
      <c r="AA113" s="2970"/>
      <c r="AB113" s="2970"/>
      <c r="AC113" s="2970"/>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4"/>
      <c r="B115" s="493" t="s">
        <v>2435</v>
      </c>
      <c r="C115" s="509"/>
      <c r="D115" s="509"/>
      <c r="E115" s="538"/>
      <c r="F115" s="538"/>
      <c r="G115" s="538"/>
      <c r="H115" s="538"/>
      <c r="I115" s="538"/>
      <c r="J115" s="538"/>
      <c r="K115" s="539"/>
      <c r="L115" s="540"/>
      <c r="M115" s="541"/>
      <c r="N115" s="2976"/>
      <c r="O115" s="2976"/>
      <c r="P115" s="2985"/>
      <c r="Q115" s="2962"/>
      <c r="R115" s="2948"/>
      <c r="S115" s="2948"/>
      <c r="T115" s="2948"/>
      <c r="U115" s="2948"/>
      <c r="V115" s="2948"/>
      <c r="W115" s="2948"/>
      <c r="X115" s="2948"/>
      <c r="Y115" s="2948"/>
      <c r="Z115" s="2948"/>
      <c r="AA115" s="2948"/>
      <c r="AB115" s="2948"/>
      <c r="AC115" s="2948"/>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4"/>
      <c r="B117" s="493" t="s">
        <v>2436</v>
      </c>
      <c r="C117" s="509"/>
      <c r="D117" s="509"/>
      <c r="E117" s="509"/>
      <c r="F117" s="509"/>
      <c r="G117" s="509"/>
      <c r="H117" s="538"/>
      <c r="I117" s="538"/>
      <c r="J117" s="538"/>
      <c r="K117" s="539"/>
      <c r="L117" s="540"/>
      <c r="M117" s="541"/>
      <c r="N117" s="2976"/>
      <c r="O117" s="2976"/>
      <c r="P117" s="2985"/>
      <c r="Q117" s="2962"/>
      <c r="R117" s="2948"/>
      <c r="S117" s="2948"/>
      <c r="T117" s="2948"/>
      <c r="U117" s="2948"/>
      <c r="V117" s="2948"/>
      <c r="W117" s="2948"/>
      <c r="X117" s="2948"/>
      <c r="Y117" s="2948"/>
      <c r="Z117" s="2948"/>
      <c r="AA117" s="2948"/>
      <c r="AB117" s="2948"/>
      <c r="AC117" s="2948"/>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77"/>
      <c r="O118" s="2977"/>
      <c r="P118" s="2985"/>
      <c r="Q118" s="2962"/>
      <c r="R118" s="2948"/>
      <c r="S118" s="2948"/>
      <c r="T118" s="2948"/>
      <c r="U118" s="2948"/>
      <c r="V118" s="2948"/>
      <c r="W118" s="2948"/>
      <c r="X118" s="2948"/>
      <c r="Y118" s="2948"/>
      <c r="Z118" s="2948"/>
      <c r="AA118" s="2948"/>
      <c r="AB118" s="2948"/>
      <c r="AC118" s="2948"/>
    </row>
    <row r="119" spans="1:29" ht="15" thickTop="1">
      <c r="A119" s="554"/>
      <c r="B119" s="590" t="s">
        <v>2519</v>
      </c>
      <c r="C119" s="538"/>
      <c r="D119" s="538"/>
      <c r="E119" s="538"/>
      <c r="F119" s="538"/>
      <c r="G119" s="538"/>
      <c r="H119" s="538"/>
      <c r="I119" s="538"/>
      <c r="J119" s="538"/>
      <c r="K119" s="538"/>
      <c r="L119" s="2151"/>
      <c r="M119" s="2152"/>
      <c r="N119" s="2977"/>
      <c r="O119" s="2977"/>
      <c r="P119" s="2990"/>
      <c r="Q119" s="2991"/>
      <c r="R119" s="2948"/>
      <c r="S119" s="2948"/>
      <c r="T119" s="2948"/>
      <c r="U119" s="2948"/>
      <c r="V119" s="2948"/>
      <c r="W119" s="2948"/>
      <c r="X119" s="2948"/>
      <c r="Y119" s="2948"/>
      <c r="Z119" s="2948"/>
      <c r="AA119" s="2948"/>
      <c r="AB119" s="2948"/>
      <c r="AC119" s="2948"/>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77"/>
      <c r="O120" s="2977"/>
      <c r="P120" s="2985"/>
      <c r="Q120" s="2962"/>
      <c r="R120" s="2948"/>
      <c r="S120" s="2948"/>
      <c r="T120" s="2948"/>
      <c r="U120" s="2948"/>
      <c r="V120" s="2948"/>
      <c r="W120" s="2948"/>
      <c r="X120" s="2948"/>
      <c r="Y120" s="2948"/>
      <c r="Z120" s="2948"/>
      <c r="AA120" s="2948"/>
      <c r="AB120" s="2948"/>
      <c r="AC120" s="2948"/>
    </row>
    <row r="121" spans="1:29" s="428" customFormat="1" ht="15" thickTop="1">
      <c r="A121" s="548"/>
      <c r="B121" s="493" t="s">
        <v>2502</v>
      </c>
      <c r="C121" s="509"/>
      <c r="D121" s="509"/>
      <c r="E121" s="509"/>
      <c r="F121" s="538"/>
      <c r="G121" s="510"/>
      <c r="H121" s="510"/>
      <c r="I121" s="510"/>
      <c r="J121" s="510"/>
      <c r="K121" s="510"/>
      <c r="L121" s="511"/>
      <c r="M121" s="512"/>
      <c r="N121" s="2978"/>
      <c r="O121" s="2978"/>
      <c r="P121" s="2986"/>
      <c r="Q121" s="2969"/>
      <c r="R121" s="2970"/>
      <c r="S121" s="2970"/>
      <c r="T121" s="2970"/>
      <c r="U121" s="2970"/>
      <c r="V121" s="2970"/>
      <c r="W121" s="2970"/>
      <c r="X121" s="2970"/>
      <c r="Y121" s="2970"/>
      <c r="Z121" s="2970"/>
      <c r="AA121" s="2970"/>
      <c r="AB121" s="2970"/>
      <c r="AC121" s="2970"/>
    </row>
    <row r="122" spans="1:29" s="428" customFormat="1" ht="15.75" thickBot="1">
      <c r="A122" s="508"/>
      <c r="B122" s="490"/>
      <c r="C122" s="515"/>
      <c r="D122" s="515"/>
      <c r="E122" s="515"/>
      <c r="F122" s="515"/>
      <c r="G122" s="515"/>
      <c r="H122" s="515"/>
      <c r="I122" s="515"/>
      <c r="J122" s="515"/>
      <c r="K122" s="515"/>
      <c r="L122" s="515"/>
      <c r="M122" s="515"/>
      <c r="N122" s="2978"/>
      <c r="O122" s="2978"/>
      <c r="P122" s="2986"/>
      <c r="Q122" s="2969"/>
      <c r="R122" s="2970"/>
      <c r="S122" s="2970"/>
      <c r="T122" s="2970"/>
      <c r="U122" s="2970"/>
      <c r="V122" s="2970"/>
      <c r="W122" s="2970"/>
      <c r="X122" s="2970"/>
      <c r="Y122" s="2970"/>
      <c r="Z122" s="2970"/>
      <c r="AA122" s="2970"/>
      <c r="AB122" s="2970"/>
      <c r="AC122" s="2970"/>
    </row>
    <row r="123" spans="1:29" ht="15" thickTop="1">
      <c r="A123" s="554"/>
      <c r="B123" s="493" t="s">
        <v>2438</v>
      </c>
      <c r="C123" s="509"/>
      <c r="D123" s="509"/>
      <c r="E123" s="509"/>
      <c r="F123" s="538"/>
      <c r="G123" s="538"/>
      <c r="H123" s="538"/>
      <c r="I123" s="538"/>
      <c r="J123" s="538"/>
      <c r="K123" s="539"/>
      <c r="L123" s="540"/>
      <c r="M123" s="541"/>
      <c r="N123" s="2976"/>
      <c r="O123" s="2976"/>
      <c r="P123" s="2985"/>
      <c r="Q123" s="2962"/>
      <c r="R123" s="2948"/>
      <c r="S123" s="2948"/>
      <c r="T123" s="2948"/>
      <c r="U123" s="2948"/>
      <c r="V123" s="2948"/>
      <c r="W123" s="2948"/>
      <c r="X123" s="2948"/>
      <c r="Y123" s="2948"/>
      <c r="Z123" s="2948"/>
      <c r="AA123" s="2948"/>
      <c r="AB123" s="2948"/>
      <c r="AC123" s="2948"/>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4"/>
      <c r="B125" s="493" t="s">
        <v>2439</v>
      </c>
      <c r="C125" s="533" t="s">
        <v>2415</v>
      </c>
      <c r="D125" s="533" t="s">
        <v>2416</v>
      </c>
      <c r="E125" s="533" t="s">
        <v>2417</v>
      </c>
      <c r="F125" s="533" t="s">
        <v>2418</v>
      </c>
      <c r="G125" s="533" t="s">
        <v>2419</v>
      </c>
      <c r="H125" s="494"/>
      <c r="I125" s="494"/>
      <c r="J125" s="494"/>
      <c r="K125" s="495"/>
      <c r="L125" s="496"/>
      <c r="M125" s="497"/>
      <c r="N125" s="2976"/>
      <c r="O125" s="2976"/>
      <c r="P125" s="2986"/>
      <c r="Q125" s="2962"/>
      <c r="R125" s="2948"/>
      <c r="S125" s="2948"/>
      <c r="T125" s="2948"/>
      <c r="U125" s="2948"/>
      <c r="V125" s="2948"/>
      <c r="W125" s="2948"/>
      <c r="X125" s="2948"/>
      <c r="Y125" s="2948"/>
      <c r="Z125" s="2948"/>
      <c r="AA125" s="2948"/>
      <c r="AB125" s="2948"/>
      <c r="AC125" s="2948"/>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77"/>
      <c r="O126" s="2977"/>
      <c r="P126" s="2985"/>
      <c r="Q126" s="2962"/>
      <c r="R126" s="2948"/>
      <c r="S126" s="2948"/>
      <c r="T126" s="2948"/>
      <c r="U126" s="2948"/>
      <c r="V126" s="2948"/>
      <c r="W126" s="2948"/>
      <c r="X126" s="2948"/>
      <c r="Y126" s="2948"/>
      <c r="Z126" s="2948"/>
      <c r="AA126" s="2948"/>
      <c r="AB126" s="2948"/>
      <c r="AC126" s="2948"/>
    </row>
    <row r="127" spans="1:29" s="428" customFormat="1" ht="15" thickTop="1">
      <c r="A127" s="548"/>
      <c r="B127" s="493">
        <f>B45</f>
        <v>111</v>
      </c>
      <c r="C127" s="509"/>
      <c r="D127" s="509"/>
      <c r="E127" s="509"/>
      <c r="F127" s="509"/>
      <c r="G127" s="509"/>
      <c r="H127" s="510"/>
      <c r="I127" s="510"/>
      <c r="J127" s="510"/>
      <c r="K127" s="510"/>
      <c r="L127" s="511"/>
      <c r="M127" s="512"/>
      <c r="N127" s="2978"/>
      <c r="O127" s="2978"/>
      <c r="P127" s="2986"/>
      <c r="Q127" s="2969"/>
      <c r="R127" s="2970"/>
      <c r="S127" s="2970"/>
      <c r="T127" s="2970"/>
      <c r="U127" s="2970"/>
      <c r="V127" s="2970"/>
      <c r="W127" s="2970"/>
      <c r="X127" s="2970"/>
      <c r="Y127" s="2970"/>
      <c r="Z127" s="2970"/>
      <c r="AA127" s="2970"/>
      <c r="AB127" s="2970"/>
      <c r="AC127" s="2970"/>
    </row>
    <row r="128" spans="1:29" s="428" customFormat="1" ht="15.75" thickBot="1">
      <c r="A128" s="508"/>
      <c r="B128" s="498"/>
      <c r="C128" s="515"/>
      <c r="D128" s="491"/>
      <c r="E128" s="491"/>
      <c r="F128" s="491"/>
      <c r="G128" s="515"/>
      <c r="H128" s="517"/>
      <c r="I128" s="517"/>
      <c r="J128" s="517"/>
      <c r="K128" s="517"/>
      <c r="L128" s="517"/>
      <c r="M128" s="518"/>
      <c r="N128" s="2978"/>
      <c r="O128" s="2978"/>
      <c r="P128" s="2986"/>
      <c r="Q128" s="2969"/>
      <c r="R128" s="2970"/>
      <c r="S128" s="2970"/>
      <c r="T128" s="2970"/>
      <c r="U128" s="2970"/>
      <c r="V128" s="2970"/>
      <c r="W128" s="2970"/>
      <c r="X128" s="2970"/>
      <c r="Y128" s="2970"/>
      <c r="Z128" s="2970"/>
      <c r="AA128" s="2970"/>
      <c r="AB128" s="2970"/>
      <c r="AC128" s="2970"/>
    </row>
    <row r="129" spans="1:29" ht="15" thickTop="1">
      <c r="A129" s="554"/>
      <c r="B129" s="493">
        <f>B46</f>
        <v>111</v>
      </c>
      <c r="C129" s="509"/>
      <c r="D129" s="509"/>
      <c r="E129" s="509"/>
      <c r="F129" s="509"/>
      <c r="G129" s="538"/>
      <c r="H129" s="538"/>
      <c r="I129" s="538"/>
      <c r="J129" s="538"/>
      <c r="K129" s="539"/>
      <c r="L129" s="540"/>
      <c r="M129" s="541"/>
      <c r="N129" s="2976"/>
      <c r="O129" s="2976"/>
      <c r="P129" s="2985"/>
      <c r="Q129" s="2962"/>
      <c r="R129" s="2948"/>
      <c r="S129" s="2948"/>
      <c r="T129" s="2948"/>
      <c r="U129" s="2948"/>
      <c r="V129" s="2948"/>
      <c r="W129" s="2948"/>
      <c r="X129" s="2948"/>
      <c r="Y129" s="2948"/>
      <c r="Z129" s="2948"/>
      <c r="AA129" s="2948"/>
      <c r="AB129" s="2948"/>
      <c r="AC129" s="2948"/>
    </row>
    <row r="130" spans="1:29" ht="15.75" thickBot="1">
      <c r="A130" s="489"/>
      <c r="B130" s="498"/>
      <c r="C130" s="515"/>
      <c r="D130" s="515"/>
      <c r="E130" s="515"/>
      <c r="F130" s="515"/>
      <c r="G130" s="491"/>
      <c r="H130" s="491"/>
      <c r="I130" s="491"/>
      <c r="J130" s="491"/>
      <c r="K130" s="491"/>
      <c r="L130" s="491"/>
      <c r="M130" s="492"/>
      <c r="N130" s="2977"/>
      <c r="O130" s="2977"/>
      <c r="P130" s="2985"/>
      <c r="Q130" s="2962"/>
      <c r="R130" s="2948"/>
      <c r="S130" s="2948"/>
      <c r="T130" s="2948"/>
      <c r="U130" s="2948"/>
      <c r="V130" s="2948"/>
      <c r="W130" s="2948"/>
      <c r="X130" s="2948"/>
      <c r="Y130" s="2948"/>
      <c r="Z130" s="2948"/>
      <c r="AA130" s="2948"/>
      <c r="AB130" s="2948"/>
      <c r="AC130" s="2948"/>
    </row>
    <row r="131" spans="1:29" ht="15" thickTop="1">
      <c r="A131" s="554"/>
      <c r="B131" s="501">
        <f>B47</f>
        <v>111</v>
      </c>
      <c r="C131" s="478"/>
      <c r="D131" s="478"/>
      <c r="E131" s="478"/>
      <c r="F131" s="478"/>
      <c r="G131" s="542"/>
      <c r="H131" s="542"/>
      <c r="I131" s="542"/>
      <c r="J131" s="542"/>
      <c r="K131" s="478"/>
      <c r="L131" s="479"/>
      <c r="M131" s="545"/>
      <c r="N131" s="2976"/>
      <c r="O131" s="2976"/>
      <c r="P131" s="2985"/>
      <c r="Q131" s="2962"/>
      <c r="R131" s="2948"/>
      <c r="S131" s="2948"/>
      <c r="T131" s="2948"/>
      <c r="U131" s="2948"/>
      <c r="V131" s="2948"/>
      <c r="W131" s="2948"/>
      <c r="X131" s="2948"/>
      <c r="Y131" s="2948"/>
      <c r="Z131" s="2948"/>
      <c r="AA131" s="2948"/>
      <c r="AB131" s="2948"/>
      <c r="AC131" s="2948"/>
    </row>
    <row r="132" spans="1:29" ht="15.75" thickBot="1">
      <c r="A132" s="2111"/>
      <c r="B132" s="524"/>
      <c r="C132" s="525"/>
      <c r="D132" s="525"/>
      <c r="E132" s="525"/>
      <c r="F132" s="525"/>
      <c r="G132" s="546"/>
      <c r="H132" s="546"/>
      <c r="I132" s="546"/>
      <c r="J132" s="546"/>
      <c r="K132" s="546"/>
      <c r="L132" s="546"/>
      <c r="M132" s="547"/>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2346</v>
      </c>
      <c r="B1" s="2140" t="s">
        <v>2520</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2145</v>
      </c>
      <c r="B2" s="1324" t="e">
        <f ca="1">IF(C2="——",ROUND(C43*D3/10000,0),ROUND(C43*D3/10000,0)-D2)</f>
        <v>#DIV/0!</v>
      </c>
      <c r="C2" s="2064"/>
      <c r="D2" s="1036" t="e">
        <f ca="1">SUMIF(INDIRECT("'"&amp;F2&amp;"'"&amp;"!A:A"),"承租人权益价值",INDIRECT("'"&amp;F2&amp;"'"&amp;"!c:c"))</f>
        <v>#REF!</v>
      </c>
      <c r="E2" s="2065" t="s">
        <v>2146</v>
      </c>
      <c r="F2" s="2066"/>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2147</v>
      </c>
      <c r="B3" s="564" t="e">
        <f ca="1">IF(C2="——",C43,ROUND(B2*10000/D3,0))</f>
        <v>#DIV/0!</v>
      </c>
      <c r="C3" s="358" t="s">
        <v>2462</v>
      </c>
      <c r="D3" s="357">
        <f>IF(D1="",'数据-汇总表'!E3,SUMIF('数据-汇总表'!$C19:$C33,D1,'数据-汇总表'!$E19:$E33))</f>
        <v>11601.220000000001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2463</v>
      </c>
      <c r="B4" s="360"/>
      <c r="C4" s="3280" t="s">
        <v>2464</v>
      </c>
      <c r="D4" s="3281"/>
      <c r="E4" s="3282" t="s">
        <v>2465</v>
      </c>
      <c r="F4" s="3283"/>
      <c r="G4" s="3280" t="s">
        <v>2466</v>
      </c>
      <c r="H4" s="3281"/>
      <c r="I4" s="3280" t="s">
        <v>2467</v>
      </c>
      <c r="J4" s="3281"/>
      <c r="K4" s="565" t="s">
        <v>2468</v>
      </c>
      <c r="L4" s="1042"/>
      <c r="M4" s="1043"/>
      <c r="N4" s="1043"/>
      <c r="O4" s="1043"/>
      <c r="P4" s="3284" t="s">
        <v>2469</v>
      </c>
      <c r="Q4" s="3285"/>
      <c r="R4" s="3267" t="s">
        <v>2465</v>
      </c>
      <c r="S4" s="3268"/>
      <c r="T4" s="3267" t="s">
        <v>2466</v>
      </c>
      <c r="U4" s="3268"/>
      <c r="V4" s="3292" t="s">
        <v>2467</v>
      </c>
      <c r="W4" s="3292"/>
      <c r="X4" s="1537"/>
      <c r="Y4" s="3267" t="s">
        <v>2469</v>
      </c>
      <c r="Z4" s="3268"/>
      <c r="AA4" s="3262" t="s">
        <v>2465</v>
      </c>
      <c r="AB4" s="3263" t="s">
        <v>2466</v>
      </c>
      <c r="AC4" s="3262" t="s">
        <v>2467</v>
      </c>
    </row>
    <row r="5" spans="1:29" ht="15">
      <c r="A5" s="362"/>
      <c r="B5" s="363"/>
      <c r="C5" s="3273" t="s">
        <v>2360</v>
      </c>
      <c r="D5" s="3274"/>
      <c r="E5" s="3271" t="s">
        <v>2361</v>
      </c>
      <c r="F5" s="3272"/>
      <c r="G5" s="3273" t="s">
        <v>2362</v>
      </c>
      <c r="H5" s="3274"/>
      <c r="I5" s="3273" t="s">
        <v>2363</v>
      </c>
      <c r="J5" s="3274"/>
      <c r="K5" s="565"/>
      <c r="L5" s="1042"/>
      <c r="M5" s="1043"/>
      <c r="N5" s="1043"/>
      <c r="O5" s="1043"/>
      <c r="P5" s="3286"/>
      <c r="Q5" s="3287"/>
      <c r="R5" s="3269"/>
      <c r="S5" s="3270"/>
      <c r="T5" s="3269"/>
      <c r="U5" s="3270"/>
      <c r="V5" s="3292"/>
      <c r="W5" s="3292"/>
      <c r="X5" s="1537"/>
      <c r="Y5" s="3269"/>
      <c r="Z5" s="3270"/>
      <c r="AA5" s="3263"/>
      <c r="AB5" s="3263"/>
      <c r="AC5" s="3263"/>
    </row>
    <row r="6" spans="1:29" ht="15.75" thickBot="1">
      <c r="A6" s="364"/>
      <c r="B6" s="365"/>
      <c r="C6" s="3275" t="s">
        <v>2364</v>
      </c>
      <c r="D6" s="3276"/>
      <c r="E6" s="3277" t="s">
        <v>2364</v>
      </c>
      <c r="F6" s="3278"/>
      <c r="G6" s="3275" t="s">
        <v>2364</v>
      </c>
      <c r="H6" s="3276"/>
      <c r="I6" s="3275" t="s">
        <v>2364</v>
      </c>
      <c r="J6" s="3276"/>
      <c r="K6" s="565" t="s">
        <v>2365</v>
      </c>
      <c r="L6" s="1042"/>
      <c r="M6" s="1043"/>
      <c r="N6" s="1043"/>
      <c r="O6" s="1043"/>
      <c r="P6" s="3288"/>
      <c r="Q6" s="3289"/>
      <c r="R6" s="3269"/>
      <c r="S6" s="3270"/>
      <c r="T6" s="3290"/>
      <c r="U6" s="3291"/>
      <c r="V6" s="3292"/>
      <c r="W6" s="3292"/>
      <c r="X6" s="1537"/>
      <c r="Y6" s="3290"/>
      <c r="Z6" s="3291"/>
      <c r="AA6" s="3264"/>
      <c r="AB6" s="3264"/>
      <c r="AC6" s="3264"/>
    </row>
    <row r="7" spans="1:29" s="112" customFormat="1" ht="15.75" thickBot="1">
      <c r="A7" s="366" t="s">
        <v>2366</v>
      </c>
      <c r="B7" s="367"/>
      <c r="C7" s="368">
        <f>'数据-取费表'!B2</f>
        <v>44299</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65" t="s">
        <v>2367</v>
      </c>
      <c r="Q7" s="3293"/>
      <c r="R7" s="708" t="s">
        <v>17</v>
      </c>
      <c r="S7" s="709">
        <f t="shared" ref="S7:S15" si="0">F7</f>
        <v>0</v>
      </c>
      <c r="T7" s="708" t="s">
        <v>17</v>
      </c>
      <c r="U7" s="709">
        <f t="shared" ref="U7:U15" si="1">H7</f>
        <v>0</v>
      </c>
      <c r="V7" s="708" t="s">
        <v>17</v>
      </c>
      <c r="W7" s="709">
        <f t="shared" ref="W7:W15" si="2">J7</f>
        <v>0</v>
      </c>
      <c r="X7" s="710"/>
      <c r="Y7" s="3265" t="s">
        <v>2367</v>
      </c>
      <c r="Z7" s="3266"/>
      <c r="AA7" s="711" t="e">
        <f>D7/F7</f>
        <v>#DIV/0!</v>
      </c>
      <c r="AB7" s="711" t="e">
        <f>D7/H7</f>
        <v>#DIV/0!</v>
      </c>
      <c r="AC7" s="711" t="e">
        <f>D7/J7</f>
        <v>#DIV/0!</v>
      </c>
    </row>
    <row r="8" spans="1:29" s="112" customFormat="1" ht="15.75" thickBot="1">
      <c r="A8" s="366" t="s">
        <v>2368</v>
      </c>
      <c r="B8" s="367"/>
      <c r="C8" s="372" t="s">
        <v>2369</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65" t="s">
        <v>2370</v>
      </c>
      <c r="Q8" s="3266"/>
      <c r="R8" s="708" t="s">
        <v>17</v>
      </c>
      <c r="S8" s="709">
        <f t="shared" si="0"/>
        <v>0</v>
      </c>
      <c r="T8" s="708" t="s">
        <v>17</v>
      </c>
      <c r="U8" s="709">
        <f t="shared" si="1"/>
        <v>0</v>
      </c>
      <c r="V8" s="708" t="s">
        <v>17</v>
      </c>
      <c r="W8" s="709">
        <f t="shared" si="2"/>
        <v>0</v>
      </c>
      <c r="X8" s="710"/>
      <c r="Y8" s="3265" t="s">
        <v>2370</v>
      </c>
      <c r="Z8" s="3266"/>
      <c r="AA8" s="711" t="e">
        <f t="shared" ref="AA8:AA40" si="3">D8/F8</f>
        <v>#DIV/0!</v>
      </c>
      <c r="AB8" s="711" t="e">
        <f t="shared" ref="AB8:AB40" si="4">D8/H8</f>
        <v>#DIV/0!</v>
      </c>
      <c r="AC8" s="711" t="e">
        <f t="shared" ref="AC8:AC40" si="5">D8/J8</f>
        <v>#DIV/0!</v>
      </c>
    </row>
    <row r="9" spans="1:29" s="112" customFormat="1">
      <c r="A9" s="373" t="s">
        <v>2371</v>
      </c>
      <c r="B9" s="66" t="s">
        <v>2372</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279"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711">
        <f t="shared" si="5"/>
        <v>1</v>
      </c>
    </row>
    <row r="10" spans="1:29" s="384" customFormat="1" ht="27">
      <c r="A10" s="378"/>
      <c r="B10" s="379" t="s">
        <v>2375</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279"/>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711">
        <f t="shared" si="5"/>
        <v>1</v>
      </c>
    </row>
    <row r="11" spans="1:29" ht="15">
      <c r="A11" s="385"/>
      <c r="B11" s="379" t="s">
        <v>2376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279"/>
      <c r="Q11" s="1525" t="str">
        <f t="shared" si="6"/>
        <v>容积率</v>
      </c>
      <c r="R11" s="708" t="s">
        <v>17</v>
      </c>
      <c r="S11" s="709" t="e">
        <f t="shared" si="0"/>
        <v>#N/A</v>
      </c>
      <c r="T11" s="708" t="s">
        <v>17</v>
      </c>
      <c r="U11" s="709" t="e">
        <f t="shared" si="1"/>
        <v>#N/A</v>
      </c>
      <c r="V11" s="708" t="s">
        <v>17</v>
      </c>
      <c r="W11" s="709" t="e">
        <f t="shared" si="2"/>
        <v>#N/A</v>
      </c>
      <c r="X11" s="710"/>
      <c r="Y11" s="3231"/>
      <c r="Z11" s="54" t="str">
        <f t="shared" si="7"/>
        <v>容积率</v>
      </c>
      <c r="AA11" s="711" t="e">
        <f t="shared" si="3"/>
        <v>#N/A</v>
      </c>
      <c r="AB11" s="711" t="e">
        <f t="shared" si="4"/>
        <v>#N/A</v>
      </c>
      <c r="AC11" s="711" t="e">
        <f t="shared" si="5"/>
        <v>#N/A</v>
      </c>
    </row>
    <row r="12" spans="1:29" s="112" customFormat="1" ht="15">
      <c r="A12" s="388"/>
      <c r="B12" s="2076">
        <v>111</v>
      </c>
      <c r="C12" s="389"/>
      <c r="D12" s="390">
        <v>100</v>
      </c>
      <c r="E12" s="391"/>
      <c r="F12" s="130">
        <f>SUMIF(64:64,E12,65:65)-SUMIF(64:64,C12,65:65)+100</f>
        <v>100</v>
      </c>
      <c r="G12" s="2153"/>
      <c r="H12" s="130">
        <f>SUMIF(64:64,G12,65:65)-SUMIF(64:64,C12,65:65)+100</f>
        <v>100</v>
      </c>
      <c r="I12" s="426"/>
      <c r="J12" s="130">
        <f>SUMIF(64:64,I12,65:65)-SUMIF(64:64,C12,65:65)+100</f>
        <v>100</v>
      </c>
      <c r="K12" s="568"/>
      <c r="L12" s="1044"/>
      <c r="M12" s="1045"/>
      <c r="N12" s="1045"/>
      <c r="O12" s="1046"/>
      <c r="P12" s="3279"/>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711">
        <f>D12/J12</f>
        <v>1</v>
      </c>
    </row>
    <row r="13" spans="1:29" ht="15">
      <c r="A13" s="385"/>
      <c r="B13" s="2076">
        <v>111</v>
      </c>
      <c r="C13" s="391"/>
      <c r="D13" s="392">
        <v>100</v>
      </c>
      <c r="E13" s="391"/>
      <c r="F13" s="130">
        <f>SUMIF(66:66,E13,67:67)-SUMIF(66:66,C13,67:67)+100</f>
        <v>100</v>
      </c>
      <c r="G13" s="2153"/>
      <c r="H13" s="392">
        <f>SUMIF(66:66,G13,67:67)-SUMIF(66:66,C13,67:67)+100</f>
        <v>100</v>
      </c>
      <c r="I13" s="426"/>
      <c r="J13" s="392">
        <f>SUMIF(66:66,I13,67:67)-SUMIF(66:66,C13,67:67)+100</f>
        <v>100</v>
      </c>
      <c r="K13" s="568"/>
      <c r="L13" s="1052"/>
      <c r="M13" s="1043"/>
      <c r="N13" s="1043"/>
      <c r="O13" s="1051"/>
      <c r="P13" s="3279"/>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711">
        <f t="shared" si="5"/>
        <v>1</v>
      </c>
    </row>
    <row r="14" spans="1:29" ht="15.75" thickBot="1">
      <c r="A14" s="393"/>
      <c r="B14" s="2078">
        <v>111</v>
      </c>
      <c r="C14" s="394"/>
      <c r="D14" s="395">
        <v>100</v>
      </c>
      <c r="E14" s="394"/>
      <c r="F14" s="395">
        <f>SUMIF(68:68,E14,69:69)-SUMIF(68:68,C14,69:69)+100</f>
        <v>100</v>
      </c>
      <c r="G14" s="2153"/>
      <c r="H14" s="395">
        <f>SUMIF(68:68,G14,69:69)-SUMIF(68:68,C14,69:69)+100</f>
        <v>100</v>
      </c>
      <c r="I14" s="426"/>
      <c r="J14" s="395">
        <f>SUMIF(68:68,I14,69:69)-SUMIF(68:68,C14,69:69)+100</f>
        <v>100</v>
      </c>
      <c r="K14" s="568"/>
      <c r="L14" s="1052"/>
      <c r="M14" s="1043"/>
      <c r="N14" s="1043"/>
      <c r="O14" s="1051"/>
      <c r="P14" s="3279"/>
      <c r="Q14" s="1525">
        <f t="shared" si="6"/>
        <v>111</v>
      </c>
      <c r="R14" s="708" t="s">
        <v>17</v>
      </c>
      <c r="S14" s="709">
        <f t="shared" si="0"/>
        <v>100</v>
      </c>
      <c r="T14" s="708" t="s">
        <v>17</v>
      </c>
      <c r="U14" s="709">
        <f t="shared" si="1"/>
        <v>100</v>
      </c>
      <c r="V14" s="708" t="s">
        <v>17</v>
      </c>
      <c r="W14" s="709">
        <f t="shared" si="2"/>
        <v>100</v>
      </c>
      <c r="X14" s="710"/>
      <c r="Y14" s="3231"/>
      <c r="Z14" s="54">
        <f t="shared" si="7"/>
        <v>111</v>
      </c>
      <c r="AA14" s="711">
        <f t="shared" si="3"/>
        <v>1</v>
      </c>
      <c r="AB14" s="711">
        <f t="shared" si="4"/>
        <v>1</v>
      </c>
      <c r="AC14" s="711">
        <f t="shared" si="5"/>
        <v>1</v>
      </c>
    </row>
    <row r="15" spans="1:29" ht="57">
      <c r="A15" s="397" t="s">
        <v>2377</v>
      </c>
      <c r="B15" s="64" t="s">
        <v>2521</v>
      </c>
      <c r="C15" s="2154"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294" t="s">
        <v>2378</v>
      </c>
      <c r="Q15" s="1534" t="str">
        <f t="shared" si="6"/>
        <v>产业集聚程度</v>
      </c>
      <c r="R15" s="712" t="s">
        <v>17</v>
      </c>
      <c r="S15" s="713">
        <f t="shared" si="0"/>
        <v>100</v>
      </c>
      <c r="T15" s="712" t="s">
        <v>17</v>
      </c>
      <c r="U15" s="713">
        <f t="shared" si="1"/>
        <v>100</v>
      </c>
      <c r="V15" s="712" t="s">
        <v>17</v>
      </c>
      <c r="W15" s="713">
        <f t="shared" si="2"/>
        <v>100</v>
      </c>
      <c r="X15" s="1537"/>
      <c r="Y15" s="3294" t="s">
        <v>2378</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295"/>
      <c r="Q16" s="1534"/>
      <c r="R16" s="712"/>
      <c r="S16" s="713"/>
      <c r="T16" s="712"/>
      <c r="U16" s="713"/>
      <c r="V16" s="712"/>
      <c r="W16" s="713"/>
      <c r="X16" s="1537"/>
      <c r="Y16" s="3295"/>
      <c r="Z16" s="1538"/>
      <c r="AA16" s="1535">
        <v>1</v>
      </c>
      <c r="AB16" s="1535">
        <v>1</v>
      </c>
      <c r="AC16" s="1535">
        <v>1</v>
      </c>
    </row>
    <row r="17" spans="1:29" ht="85.5">
      <c r="A17" s="385"/>
      <c r="B17" s="408" t="s">
        <v>1945</v>
      </c>
      <c r="C17" s="2083"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295"/>
      <c r="Q17" s="1534" t="str">
        <f>B17</f>
        <v>交通便捷度</v>
      </c>
      <c r="R17" s="712" t="s">
        <v>17</v>
      </c>
      <c r="S17" s="713">
        <f>F17</f>
        <v>100</v>
      </c>
      <c r="T17" s="712" t="s">
        <v>17</v>
      </c>
      <c r="U17" s="713">
        <f>H17</f>
        <v>100</v>
      </c>
      <c r="V17" s="712" t="s">
        <v>17</v>
      </c>
      <c r="W17" s="713">
        <f>J17</f>
        <v>100</v>
      </c>
      <c r="X17" s="1537"/>
      <c r="Y17" s="3295"/>
      <c r="Z17" s="1538" t="str">
        <f>Q17</f>
        <v>交通便捷度</v>
      </c>
      <c r="AA17" s="1535">
        <f t="shared" si="3"/>
        <v>1</v>
      </c>
      <c r="AB17" s="1535">
        <f t="shared" si="4"/>
        <v>1</v>
      </c>
      <c r="AC17" s="1535">
        <f t="shared" si="5"/>
        <v>1</v>
      </c>
    </row>
    <row r="18" spans="1:29" ht="15">
      <c r="A18" s="385"/>
      <c r="B18" s="413"/>
      <c r="C18" s="2084"/>
      <c r="D18" s="407"/>
      <c r="E18" s="2086"/>
      <c r="F18" s="410"/>
      <c r="G18" s="2085"/>
      <c r="H18" s="405"/>
      <c r="I18" s="2086"/>
      <c r="J18" s="405"/>
      <c r="K18" s="570"/>
      <c r="L18" s="1052"/>
      <c r="M18" s="1043"/>
      <c r="N18" s="1043"/>
      <c r="O18" s="1051"/>
      <c r="P18" s="3295"/>
      <c r="Q18" s="1534"/>
      <c r="R18" s="712"/>
      <c r="S18" s="713"/>
      <c r="T18" s="712"/>
      <c r="U18" s="713"/>
      <c r="V18" s="712"/>
      <c r="W18" s="713"/>
      <c r="X18" s="1537"/>
      <c r="Y18" s="3295"/>
      <c r="Z18" s="1538"/>
      <c r="AA18" s="1535">
        <v>1</v>
      </c>
      <c r="AB18" s="1535">
        <v>1</v>
      </c>
      <c r="AC18" s="1535">
        <v>1</v>
      </c>
    </row>
    <row r="19" spans="1:29" ht="42.75">
      <c r="A19" s="385"/>
      <c r="B19" s="408" t="s">
        <v>2506</v>
      </c>
      <c r="C19" s="2083"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295"/>
      <c r="Q19" s="1534" t="str">
        <f>B19</f>
        <v>公共配套设施</v>
      </c>
      <c r="R19" s="712" t="s">
        <v>17</v>
      </c>
      <c r="S19" s="713">
        <f>F19</f>
        <v>100</v>
      </c>
      <c r="T19" s="712" t="s">
        <v>17</v>
      </c>
      <c r="U19" s="713">
        <f>H19</f>
        <v>100</v>
      </c>
      <c r="V19" s="712" t="s">
        <v>17</v>
      </c>
      <c r="W19" s="713">
        <f>J19</f>
        <v>100</v>
      </c>
      <c r="X19" s="1537"/>
      <c r="Y19" s="3295"/>
      <c r="Z19" s="1538" t="str">
        <f>Q19</f>
        <v>公共配套设施</v>
      </c>
      <c r="AA19" s="1535">
        <f t="shared" si="3"/>
        <v>1</v>
      </c>
      <c r="AB19" s="1535">
        <f t="shared" si="4"/>
        <v>1</v>
      </c>
      <c r="AC19" s="1535">
        <f t="shared" si="5"/>
        <v>1</v>
      </c>
    </row>
    <row r="20" spans="1:29" ht="15">
      <c r="A20" s="385"/>
      <c r="B20" s="413"/>
      <c r="C20" s="404"/>
      <c r="D20" s="405"/>
      <c r="E20" s="2081"/>
      <c r="F20" s="406"/>
      <c r="G20" s="2080"/>
      <c r="H20" s="405"/>
      <c r="I20" s="2081"/>
      <c r="J20" s="405"/>
      <c r="K20" s="570"/>
      <c r="L20" s="1052"/>
      <c r="M20" s="1043"/>
      <c r="N20" s="1043"/>
      <c r="O20" s="1051"/>
      <c r="P20" s="3295"/>
      <c r="Q20" s="1534"/>
      <c r="R20" s="712"/>
      <c r="S20" s="713"/>
      <c r="T20" s="712"/>
      <c r="U20" s="713"/>
      <c r="V20" s="712"/>
      <c r="W20" s="713"/>
      <c r="X20" s="1537"/>
      <c r="Y20" s="3295"/>
      <c r="Z20" s="1538"/>
      <c r="AA20" s="1535">
        <v>1</v>
      </c>
      <c r="AB20" s="1535">
        <v>1</v>
      </c>
      <c r="AC20" s="1535">
        <v>1</v>
      </c>
    </row>
    <row r="21" spans="1:29" ht="28.5">
      <c r="A21" s="385"/>
      <c r="B21" s="1291" t="s">
        <v>2507</v>
      </c>
      <c r="C21" s="2083"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295"/>
      <c r="Q21" s="1534" t="str">
        <f>B21</f>
        <v>基础设施水平</v>
      </c>
      <c r="R21" s="712" t="s">
        <v>17</v>
      </c>
      <c r="S21" s="713">
        <f>F21</f>
        <v>100</v>
      </c>
      <c r="T21" s="712" t="s">
        <v>17</v>
      </c>
      <c r="U21" s="713">
        <f>H21</f>
        <v>100</v>
      </c>
      <c r="V21" s="712" t="s">
        <v>17</v>
      </c>
      <c r="W21" s="713">
        <f>J21</f>
        <v>100</v>
      </c>
      <c r="X21" s="1537"/>
      <c r="Y21" s="3295"/>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6"/>
      <c r="G22" s="404"/>
      <c r="H22" s="405"/>
      <c r="I22" s="404"/>
      <c r="J22" s="405"/>
      <c r="K22" s="1290"/>
      <c r="L22" s="1052"/>
      <c r="M22" s="1043"/>
      <c r="N22" s="1043"/>
      <c r="O22" s="1051"/>
      <c r="P22" s="3295"/>
      <c r="Q22" s="1534"/>
      <c r="R22" s="712"/>
      <c r="S22" s="713"/>
      <c r="T22" s="712"/>
      <c r="U22" s="713"/>
      <c r="V22" s="712"/>
      <c r="W22" s="713"/>
      <c r="X22" s="1537"/>
      <c r="Y22" s="3295"/>
      <c r="Z22" s="1538"/>
      <c r="AA22" s="1535">
        <v>1</v>
      </c>
      <c r="AB22" s="1535">
        <v>1</v>
      </c>
      <c r="AC22" s="1535">
        <v>1</v>
      </c>
    </row>
    <row r="23" spans="1:29" ht="71.25">
      <c r="A23" s="385"/>
      <c r="B23" s="408" t="s">
        <v>2508</v>
      </c>
      <c r="C23" s="2083"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295"/>
      <c r="Q23" s="1534" t="str">
        <f>B23</f>
        <v>环境质量</v>
      </c>
      <c r="R23" s="712" t="s">
        <v>17</v>
      </c>
      <c r="S23" s="713">
        <f>F23</f>
        <v>100</v>
      </c>
      <c r="T23" s="712" t="s">
        <v>17</v>
      </c>
      <c r="U23" s="713">
        <f>H23</f>
        <v>100</v>
      </c>
      <c r="V23" s="712" t="s">
        <v>17</v>
      </c>
      <c r="W23" s="713">
        <f>J23</f>
        <v>100</v>
      </c>
      <c r="X23" s="1537"/>
      <c r="Y23" s="3295"/>
      <c r="Z23" s="1538" t="str">
        <f>Q23</f>
        <v>环境质量</v>
      </c>
      <c r="AA23" s="1535">
        <f t="shared" si="3"/>
        <v>1</v>
      </c>
      <c r="AB23" s="1535">
        <f t="shared" si="4"/>
        <v>1</v>
      </c>
      <c r="AC23" s="1535">
        <f t="shared" si="5"/>
        <v>1</v>
      </c>
    </row>
    <row r="24" spans="1:29" ht="15">
      <c r="A24" s="385"/>
      <c r="B24" s="1291"/>
      <c r="C24" s="404"/>
      <c r="D24" s="405"/>
      <c r="E24" s="2081"/>
      <c r="F24" s="406"/>
      <c r="G24" s="2080"/>
      <c r="H24" s="405"/>
      <c r="I24" s="2081"/>
      <c r="J24" s="405"/>
      <c r="K24" s="570"/>
      <c r="L24" s="1052"/>
      <c r="M24" s="1043"/>
      <c r="N24" s="1043"/>
      <c r="O24" s="1051"/>
      <c r="P24" s="3295"/>
      <c r="Q24" s="1534"/>
      <c r="R24" s="712"/>
      <c r="S24" s="713"/>
      <c r="T24" s="712"/>
      <c r="U24" s="713"/>
      <c r="V24" s="712"/>
      <c r="W24" s="713"/>
      <c r="X24" s="1537"/>
      <c r="Y24" s="3295"/>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295"/>
      <c r="Q25" s="1534">
        <f>B25</f>
        <v>111</v>
      </c>
      <c r="R25" s="712" t="s">
        <v>17</v>
      </c>
      <c r="S25" s="713">
        <f>F25</f>
        <v>100</v>
      </c>
      <c r="T25" s="712" t="s">
        <v>17</v>
      </c>
      <c r="U25" s="713">
        <f>H25</f>
        <v>100</v>
      </c>
      <c r="V25" s="712" t="s">
        <v>17</v>
      </c>
      <c r="W25" s="713">
        <f>J25</f>
        <v>100</v>
      </c>
      <c r="X25" s="1537"/>
      <c r="Y25" s="3295"/>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295"/>
      <c r="Q26" s="1534">
        <f t="shared" ref="Q26:Q40" si="11">B26</f>
        <v>111</v>
      </c>
      <c r="R26" s="712" t="s">
        <v>17</v>
      </c>
      <c r="S26" s="713">
        <f>F26</f>
        <v>100</v>
      </c>
      <c r="T26" s="712" t="s">
        <v>17</v>
      </c>
      <c r="U26" s="713">
        <f>H26</f>
        <v>100</v>
      </c>
      <c r="V26" s="712" t="s">
        <v>17</v>
      </c>
      <c r="W26" s="713">
        <f>J26</f>
        <v>100</v>
      </c>
      <c r="X26" s="1537"/>
      <c r="Y26" s="3295"/>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295"/>
      <c r="Q27" s="1525">
        <f t="shared" si="11"/>
        <v>111</v>
      </c>
      <c r="R27" s="708" t="s">
        <v>17</v>
      </c>
      <c r="S27" s="709">
        <f>F27</f>
        <v>100</v>
      </c>
      <c r="T27" s="708" t="s">
        <v>17</v>
      </c>
      <c r="U27" s="709">
        <f>H27</f>
        <v>100</v>
      </c>
      <c r="V27" s="708" t="s">
        <v>17</v>
      </c>
      <c r="W27" s="709">
        <f>J27</f>
        <v>100</v>
      </c>
      <c r="X27" s="710"/>
      <c r="Y27" s="3295"/>
      <c r="Z27" s="54">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295"/>
      <c r="Q28" s="1534">
        <f t="shared" si="11"/>
        <v>111</v>
      </c>
      <c r="R28" s="712" t="s">
        <v>17</v>
      </c>
      <c r="S28" s="713">
        <f t="shared" ref="S28:S40" si="12">F28</f>
        <v>100</v>
      </c>
      <c r="T28" s="712" t="s">
        <v>17</v>
      </c>
      <c r="U28" s="713">
        <f t="shared" ref="U28:U40" si="13">H28</f>
        <v>100</v>
      </c>
      <c r="V28" s="712" t="s">
        <v>17</v>
      </c>
      <c r="W28" s="713">
        <f t="shared" ref="W28:W40" si="14">J28</f>
        <v>100</v>
      </c>
      <c r="X28" s="1537"/>
      <c r="Y28" s="3295"/>
      <c r="Z28" s="1538">
        <f t="shared" ref="Z28:Z40" si="15">Q28</f>
        <v>111</v>
      </c>
      <c r="AA28" s="1535">
        <f t="shared" si="3"/>
        <v>1</v>
      </c>
      <c r="AB28" s="1535">
        <f t="shared" si="4"/>
        <v>1</v>
      </c>
      <c r="AC28" s="1535">
        <f t="shared" si="5"/>
        <v>1</v>
      </c>
    </row>
    <row r="29" spans="1:29" ht="28.5">
      <c r="A29" s="423" t="s">
        <v>2381</v>
      </c>
      <c r="B29" s="66" t="s">
        <v>2511</v>
      </c>
      <c r="C29" s="2150"/>
      <c r="D29" s="424">
        <v>100</v>
      </c>
      <c r="E29" s="2150"/>
      <c r="F29" s="418">
        <f>SUMIF(88:88,E29,89:89)-SUMIF(88:88,C29,89:89)+100</f>
        <v>100</v>
      </c>
      <c r="G29" s="2150"/>
      <c r="H29" s="392">
        <f>SUMIF(88:88,G29,89:89)-SUMIF(88:88,C29,89:89)+100</f>
        <v>100</v>
      </c>
      <c r="I29" s="2150"/>
      <c r="J29" s="424">
        <f>SUMIF(88:88,I29,89:89)-SUMIF(88:88,C29,89:89)+100</f>
        <v>100</v>
      </c>
      <c r="K29" s="567"/>
      <c r="L29" s="1052"/>
      <c r="M29" s="1043"/>
      <c r="N29" s="1043"/>
      <c r="O29" s="1051"/>
      <c r="P29" s="3296" t="s">
        <v>2383</v>
      </c>
      <c r="Q29" s="1534" t="str">
        <f t="shared" si="11"/>
        <v>建筑类型</v>
      </c>
      <c r="R29" s="712" t="s">
        <v>17</v>
      </c>
      <c r="S29" s="713">
        <f t="shared" si="12"/>
        <v>100</v>
      </c>
      <c r="T29" s="712" t="s">
        <v>17</v>
      </c>
      <c r="U29" s="713">
        <f t="shared" si="13"/>
        <v>100</v>
      </c>
      <c r="V29" s="712" t="s">
        <v>17</v>
      </c>
      <c r="W29" s="713">
        <f t="shared" si="14"/>
        <v>100</v>
      </c>
      <c r="X29" s="1537"/>
      <c r="Y29" s="3297" t="s">
        <v>2383</v>
      </c>
      <c r="Z29" s="1538" t="str">
        <f t="shared" si="15"/>
        <v>建筑类型</v>
      </c>
      <c r="AA29" s="1535">
        <f t="shared" si="3"/>
        <v>1</v>
      </c>
      <c r="AB29" s="1535">
        <f t="shared" si="4"/>
        <v>1</v>
      </c>
      <c r="AC29" s="1535">
        <f t="shared" si="5"/>
        <v>1</v>
      </c>
    </row>
    <row r="30" spans="1:29" s="428" customFormat="1" ht="15">
      <c r="A30" s="425"/>
      <c r="B30" s="379" t="s">
        <v>2384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297"/>
      <c r="Q30" s="714" t="str">
        <f t="shared" si="11"/>
        <v>项目建筑规模</v>
      </c>
      <c r="R30" s="715" t="s">
        <v>17</v>
      </c>
      <c r="S30" s="716" t="e">
        <f t="shared" si="12"/>
        <v>#N/A</v>
      </c>
      <c r="T30" s="715" t="s">
        <v>17</v>
      </c>
      <c r="U30" s="716" t="e">
        <f t="shared" si="13"/>
        <v>#N/A</v>
      </c>
      <c r="V30" s="715" t="s">
        <v>17</v>
      </c>
      <c r="W30" s="716" t="e">
        <f t="shared" si="14"/>
        <v>#N/A</v>
      </c>
      <c r="X30" s="717"/>
      <c r="Y30" s="3297"/>
      <c r="Z30" s="718" t="str">
        <f t="shared" si="15"/>
        <v>项目建筑规模</v>
      </c>
      <c r="AA30" s="1535" t="e">
        <f t="shared" si="3"/>
        <v>#N/A</v>
      </c>
      <c r="AB30" s="1535" t="e">
        <f t="shared" si="4"/>
        <v>#N/A</v>
      </c>
      <c r="AC30" s="1535" t="e">
        <f t="shared" si="5"/>
        <v>#N/A</v>
      </c>
    </row>
    <row r="31" spans="1:29" ht="15">
      <c r="A31" s="429"/>
      <c r="B31" s="379" t="s">
        <v>2385</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297"/>
      <c r="Q31" s="1534" t="str">
        <f t="shared" si="11"/>
        <v>建筑结构</v>
      </c>
      <c r="R31" s="712" t="s">
        <v>17</v>
      </c>
      <c r="S31" s="713">
        <f t="shared" si="12"/>
        <v>100</v>
      </c>
      <c r="T31" s="712" t="s">
        <v>17</v>
      </c>
      <c r="U31" s="713">
        <f t="shared" si="13"/>
        <v>100</v>
      </c>
      <c r="V31" s="712" t="s">
        <v>17</v>
      </c>
      <c r="W31" s="713">
        <f t="shared" si="14"/>
        <v>100</v>
      </c>
      <c r="X31" s="1537"/>
      <c r="Y31" s="3297"/>
      <c r="Z31" s="1538" t="str">
        <f t="shared" si="15"/>
        <v>建筑结构</v>
      </c>
      <c r="AA31" s="1535">
        <f t="shared" si="3"/>
        <v>1</v>
      </c>
      <c r="AB31" s="1535">
        <f t="shared" si="4"/>
        <v>1</v>
      </c>
      <c r="AC31" s="1535">
        <f t="shared" si="5"/>
        <v>1</v>
      </c>
    </row>
    <row r="32" spans="1:29" ht="15">
      <c r="A32" s="429"/>
      <c r="B32" s="379" t="s">
        <v>2479</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297"/>
      <c r="Q32" s="1534" t="str">
        <f t="shared" si="11"/>
        <v>公共部分装修</v>
      </c>
      <c r="R32" s="712" t="s">
        <v>17</v>
      </c>
      <c r="S32" s="713">
        <f t="shared" si="12"/>
        <v>100</v>
      </c>
      <c r="T32" s="712" t="s">
        <v>17</v>
      </c>
      <c r="U32" s="713">
        <f t="shared" si="13"/>
        <v>100</v>
      </c>
      <c r="V32" s="712" t="s">
        <v>17</v>
      </c>
      <c r="W32" s="713">
        <f t="shared" si="14"/>
        <v>100</v>
      </c>
      <c r="X32" s="1537"/>
      <c r="Y32" s="3297"/>
      <c r="Z32" s="1538" t="str">
        <f t="shared" si="15"/>
        <v>公共部分装修</v>
      </c>
      <c r="AA32" s="1535">
        <f t="shared" si="3"/>
        <v>1</v>
      </c>
      <c r="AB32" s="1535">
        <f t="shared" si="4"/>
        <v>1</v>
      </c>
      <c r="AC32" s="1535">
        <f t="shared" si="5"/>
        <v>1</v>
      </c>
    </row>
    <row r="33" spans="1:29" ht="15">
      <c r="A33" s="429"/>
      <c r="B33" s="379" t="s">
        <v>2480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297"/>
      <c r="Q33" s="1534" t="str">
        <f t="shared" si="11"/>
        <v>成新度</v>
      </c>
      <c r="R33" s="712" t="s">
        <v>17</v>
      </c>
      <c r="S33" s="713" t="e">
        <f t="shared" si="12"/>
        <v>#N/A</v>
      </c>
      <c r="T33" s="712" t="s">
        <v>17</v>
      </c>
      <c r="U33" s="713" t="e">
        <f t="shared" si="13"/>
        <v>#N/A</v>
      </c>
      <c r="V33" s="712" t="s">
        <v>17</v>
      </c>
      <c r="W33" s="713" t="e">
        <f t="shared" si="14"/>
        <v>#N/A</v>
      </c>
      <c r="X33" s="1537"/>
      <c r="Y33" s="3297"/>
      <c r="Z33" s="1538" t="str">
        <f t="shared" si="15"/>
        <v>成新度</v>
      </c>
      <c r="AA33" s="1535" t="e">
        <f t="shared" si="3"/>
        <v>#N/A</v>
      </c>
      <c r="AB33" s="1535" t="e">
        <f t="shared" si="4"/>
        <v>#N/A</v>
      </c>
      <c r="AC33" s="1535" t="e">
        <f t="shared" si="5"/>
        <v>#N/A</v>
      </c>
    </row>
    <row r="34" spans="1:29" s="112" customFormat="1" ht="15">
      <c r="A34" s="430"/>
      <c r="B34" s="379" t="s">
        <v>2513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297"/>
      <c r="Q34" s="1525" t="str">
        <f t="shared" si="11"/>
        <v>物业管理</v>
      </c>
      <c r="R34" s="708" t="s">
        <v>17</v>
      </c>
      <c r="S34" s="709">
        <f t="shared" si="12"/>
        <v>100</v>
      </c>
      <c r="T34" s="708" t="s">
        <v>17</v>
      </c>
      <c r="U34" s="709">
        <f t="shared" si="13"/>
        <v>100</v>
      </c>
      <c r="V34" s="708" t="s">
        <v>17</v>
      </c>
      <c r="W34" s="709">
        <f t="shared" si="14"/>
        <v>100</v>
      </c>
      <c r="X34" s="710"/>
      <c r="Y34" s="3297"/>
      <c r="Z34" s="54" t="str">
        <f t="shared" si="15"/>
        <v>物业管理</v>
      </c>
      <c r="AA34" s="711">
        <f t="shared" si="3"/>
        <v>1</v>
      </c>
      <c r="AB34" s="711">
        <f t="shared" si="4"/>
        <v>1</v>
      </c>
      <c r="AC34" s="711">
        <f t="shared" si="5"/>
        <v>1</v>
      </c>
    </row>
    <row r="35" spans="1:29" ht="15">
      <c r="A35" s="429"/>
      <c r="B35" s="379" t="s">
        <v>2481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297" t="s">
        <v>2383</v>
      </c>
      <c r="Q35" s="1534" t="str">
        <f t="shared" si="11"/>
        <v>市政基础设施</v>
      </c>
      <c r="R35" s="712" t="s">
        <v>17</v>
      </c>
      <c r="S35" s="713">
        <f t="shared" si="12"/>
        <v>100</v>
      </c>
      <c r="T35" s="712" t="s">
        <v>17</v>
      </c>
      <c r="U35" s="713">
        <f t="shared" si="13"/>
        <v>100</v>
      </c>
      <c r="V35" s="712" t="s">
        <v>17</v>
      </c>
      <c r="W35" s="713">
        <f t="shared" si="14"/>
        <v>100</v>
      </c>
      <c r="X35" s="1537"/>
      <c r="Y35" s="3297" t="s">
        <v>2383</v>
      </c>
      <c r="Z35" s="1538" t="str">
        <f t="shared" si="15"/>
        <v>市政基础设施</v>
      </c>
      <c r="AA35" s="1535">
        <f t="shared" si="3"/>
        <v>1</v>
      </c>
      <c r="AB35" s="1535">
        <f t="shared" si="4"/>
        <v>1</v>
      </c>
      <c r="AC35" s="1535">
        <f t="shared" si="5"/>
        <v>1</v>
      </c>
    </row>
    <row r="36" spans="1:29" ht="15">
      <c r="A36" s="429"/>
      <c r="B36" s="379" t="s">
        <v>2486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297"/>
      <c r="Q36" s="1534" t="str">
        <f t="shared" si="11"/>
        <v>内部装修</v>
      </c>
      <c r="R36" s="712" t="s">
        <v>17</v>
      </c>
      <c r="S36" s="713">
        <f t="shared" si="12"/>
        <v>100</v>
      </c>
      <c r="T36" s="712" t="s">
        <v>17</v>
      </c>
      <c r="U36" s="713">
        <f t="shared" si="13"/>
        <v>100</v>
      </c>
      <c r="V36" s="712" t="s">
        <v>17</v>
      </c>
      <c r="W36" s="713">
        <f t="shared" si="14"/>
        <v>100</v>
      </c>
      <c r="X36" s="1537"/>
      <c r="Y36" s="3297"/>
      <c r="Z36" s="1538" t="str">
        <f t="shared" si="15"/>
        <v>内部装修</v>
      </c>
      <c r="AA36" s="1535">
        <f t="shared" si="3"/>
        <v>1</v>
      </c>
      <c r="AB36" s="1535">
        <f t="shared" si="4"/>
        <v>1</v>
      </c>
      <c r="AC36" s="1535">
        <f t="shared" si="5"/>
        <v>1</v>
      </c>
    </row>
    <row r="37" spans="1:29" ht="15">
      <c r="A37" s="429"/>
      <c r="B37" s="379" t="s">
        <v>2522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297"/>
      <c r="Q37" s="1534" t="str">
        <f t="shared" si="11"/>
        <v>内部装修状况</v>
      </c>
      <c r="R37" s="712" t="s">
        <v>17</v>
      </c>
      <c r="S37" s="713">
        <f t="shared" si="12"/>
        <v>100</v>
      </c>
      <c r="T37" s="712" t="s">
        <v>17</v>
      </c>
      <c r="U37" s="713">
        <f t="shared" si="13"/>
        <v>100</v>
      </c>
      <c r="V37" s="712" t="s">
        <v>17</v>
      </c>
      <c r="W37" s="713">
        <f t="shared" si="14"/>
        <v>100</v>
      </c>
      <c r="X37" s="1537"/>
      <c r="Y37" s="3297"/>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297"/>
      <c r="Q38" s="714">
        <f t="shared" si="11"/>
        <v>111</v>
      </c>
      <c r="R38" s="715" t="s">
        <v>17</v>
      </c>
      <c r="S38" s="716">
        <f t="shared" si="12"/>
        <v>100</v>
      </c>
      <c r="T38" s="715" t="s">
        <v>17</v>
      </c>
      <c r="U38" s="716">
        <f t="shared" si="13"/>
        <v>100</v>
      </c>
      <c r="V38" s="715" t="s">
        <v>17</v>
      </c>
      <c r="W38" s="716">
        <f t="shared" si="14"/>
        <v>100</v>
      </c>
      <c r="X38" s="717"/>
      <c r="Y38" s="3297"/>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297"/>
      <c r="Q39" s="1534">
        <f t="shared" si="11"/>
        <v>111</v>
      </c>
      <c r="R39" s="712" t="s">
        <v>17</v>
      </c>
      <c r="S39" s="713">
        <f t="shared" si="12"/>
        <v>100</v>
      </c>
      <c r="T39" s="712" t="s">
        <v>17</v>
      </c>
      <c r="U39" s="713">
        <f t="shared" si="13"/>
        <v>100</v>
      </c>
      <c r="V39" s="712" t="s">
        <v>17</v>
      </c>
      <c r="W39" s="713">
        <f t="shared" si="14"/>
        <v>100</v>
      </c>
      <c r="X39" s="1537"/>
      <c r="Y39" s="3297"/>
      <c r="Z39" s="1538">
        <f t="shared" si="15"/>
        <v>111</v>
      </c>
      <c r="AA39" s="1535">
        <f t="shared" si="3"/>
        <v>1</v>
      </c>
      <c r="AB39" s="1535">
        <f t="shared" si="4"/>
        <v>1</v>
      </c>
      <c r="AC39" s="1535">
        <f t="shared" si="5"/>
        <v>1</v>
      </c>
    </row>
    <row r="40" spans="1:29" ht="15.75" thickBot="1">
      <c r="A40" s="435"/>
      <c r="B40" s="2078">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38"/>
      <c r="Q40" s="1534">
        <f t="shared" si="11"/>
        <v>111</v>
      </c>
      <c r="R40" s="712" t="s">
        <v>17</v>
      </c>
      <c r="S40" s="713">
        <f t="shared" si="12"/>
        <v>100</v>
      </c>
      <c r="T40" s="712" t="s">
        <v>17</v>
      </c>
      <c r="U40" s="713">
        <f t="shared" si="13"/>
        <v>100</v>
      </c>
      <c r="V40" s="712" t="s">
        <v>17</v>
      </c>
      <c r="W40" s="713">
        <f t="shared" si="14"/>
        <v>100</v>
      </c>
      <c r="X40" s="1537"/>
      <c r="Y40" s="3338"/>
      <c r="Z40" s="1538">
        <f t="shared" si="15"/>
        <v>111</v>
      </c>
      <c r="AA40" s="1535">
        <f t="shared" si="3"/>
        <v>1</v>
      </c>
      <c r="AB40" s="1535">
        <f t="shared" si="4"/>
        <v>1</v>
      </c>
      <c r="AC40" s="1535">
        <f t="shared" si="5"/>
        <v>1</v>
      </c>
    </row>
    <row r="41" spans="1:29" ht="15">
      <c r="A41" s="436" t="s">
        <v>2395</v>
      </c>
      <c r="B41" s="437"/>
      <c r="C41" s="1314" t="s">
        <v>1</v>
      </c>
      <c r="D41" s="1315"/>
      <c r="E41" s="1316"/>
      <c r="F41" s="1317"/>
      <c r="G41" s="1318"/>
      <c r="H41" s="1319"/>
      <c r="I41" s="1316"/>
      <c r="J41" s="1319"/>
      <c r="K41" s="721"/>
      <c r="L41" s="1055"/>
      <c r="M41" s="1056"/>
      <c r="N41" s="1043"/>
      <c r="O41" s="1056"/>
      <c r="P41" s="3279" t="str">
        <f>A41</f>
        <v>成交单价（元/平方米）</v>
      </c>
      <c r="Q41" s="3279"/>
      <c r="R41" s="3334">
        <f>E41</f>
        <v>0</v>
      </c>
      <c r="S41" s="3334"/>
      <c r="T41" s="3334">
        <f>G41</f>
        <v>0</v>
      </c>
      <c r="U41" s="3334"/>
      <c r="V41" s="3334">
        <f>I41</f>
        <v>0</v>
      </c>
      <c r="W41" s="3334"/>
      <c r="X41" s="697"/>
      <c r="Y41" s="719"/>
      <c r="Z41" s="697"/>
      <c r="AA41" s="697"/>
      <c r="AB41" s="697"/>
      <c r="AC41" s="697"/>
    </row>
    <row r="42" spans="1:29" ht="15.75" thickBot="1">
      <c r="A42" s="443" t="s">
        <v>2487</v>
      </c>
      <c r="B42" s="444"/>
      <c r="C42" s="1320" t="e">
        <f>R43</f>
        <v>#DIV/0!</v>
      </c>
      <c r="D42" s="2535" t="s">
        <v>2876</v>
      </c>
      <c r="E42" s="1321" t="e">
        <f>R42</f>
        <v>#DIV/0!</v>
      </c>
      <c r="F42" s="2536"/>
      <c r="G42" s="1320" t="e">
        <f>T42</f>
        <v>#DIV/0!</v>
      </c>
      <c r="H42" s="2536"/>
      <c r="I42" s="1321" t="e">
        <f>V42</f>
        <v>#DIV/0!</v>
      </c>
      <c r="J42" s="2536"/>
      <c r="K42" s="2538">
        <f>F42+H42+J42</f>
        <v>0</v>
      </c>
      <c r="L42" s="1055"/>
      <c r="M42" s="1056"/>
      <c r="N42" s="1043"/>
      <c r="O42" s="1056"/>
      <c r="P42" s="3279" t="str">
        <f>A42</f>
        <v>比较价值（元/平方米）</v>
      </c>
      <c r="Q42" s="3279"/>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7"/>
      <c r="Y42" s="697"/>
      <c r="Z42" s="697"/>
      <c r="AA42" s="697"/>
      <c r="AB42" s="697"/>
      <c r="AC42" s="697"/>
    </row>
    <row r="43" spans="1:29" ht="15.75" thickBot="1">
      <c r="A43" s="447" t="s">
        <v>2488</v>
      </c>
      <c r="B43" s="448"/>
      <c r="C43" s="1323" t="e">
        <f>R43</f>
        <v>#DIV/0!</v>
      </c>
      <c r="D43" s="1323"/>
      <c r="E43" s="1323"/>
      <c r="F43" s="1323"/>
      <c r="G43" s="1323"/>
      <c r="H43" s="1323"/>
      <c r="I43" s="1323"/>
      <c r="J43" s="1323"/>
      <c r="K43" s="722"/>
      <c r="L43" s="1055"/>
      <c r="M43" s="1056"/>
      <c r="N43" s="1056"/>
      <c r="O43" s="1056"/>
      <c r="P43" s="3299" t="str">
        <f>A43</f>
        <v>估价对象XX用房的比较价值（楼面单价，元/平方米）</v>
      </c>
      <c r="Q43" s="3300"/>
      <c r="R43" s="3333" t="e">
        <f>IF(F1="售价",ROUND(IF(D42="简单平均",AVERAGE(R42:V42),R42*F42+T42*H42+V42*J42),0),ROUND(IF(D42="简单平均",AVERAGE(R42:V42),R42*F42+T42*H42+V42*J42),1))</f>
        <v>#DIV/0!</v>
      </c>
      <c r="S43" s="3333"/>
      <c r="T43" s="3333"/>
      <c r="U43" s="3333"/>
      <c r="V43" s="3333"/>
      <c r="W43" s="3333"/>
      <c r="X43" s="697"/>
      <c r="Y43" s="697"/>
      <c r="Z43" s="697"/>
      <c r="AA43" s="697"/>
      <c r="AB43" s="697"/>
      <c r="AC43" s="697"/>
    </row>
    <row r="44" spans="1:29">
      <c r="A44" s="2948"/>
      <c r="B44" s="2948"/>
      <c r="C44" s="2948"/>
      <c r="D44" s="2948"/>
      <c r="E44" s="2948"/>
      <c r="F44" s="2948"/>
      <c r="G44" s="2952"/>
      <c r="H44" s="2948"/>
      <c r="I44" s="2948"/>
      <c r="J44" s="2948"/>
      <c r="K44" s="2953"/>
      <c r="L44" s="1018"/>
      <c r="M44" s="1056"/>
      <c r="N44" s="1056"/>
      <c r="O44" s="1056"/>
    </row>
    <row r="45" spans="1:29">
      <c r="A45" s="2948"/>
      <c r="B45" s="2948"/>
      <c r="C45" s="2948"/>
      <c r="D45" s="2948"/>
      <c r="E45" s="2948"/>
      <c r="F45" s="2948"/>
      <c r="G45" s="2948"/>
      <c r="H45" s="2948"/>
      <c r="I45" s="2948"/>
      <c r="J45" s="2948"/>
      <c r="K45" s="2953"/>
      <c r="L45" s="1018"/>
      <c r="M45" s="1056"/>
      <c r="N45" s="1056"/>
      <c r="O45" s="1056"/>
    </row>
    <row r="46" spans="1:29" ht="13.5" customHeight="1">
      <c r="A46" s="2948"/>
      <c r="B46" s="2948"/>
      <c r="C46" s="452" t="s">
        <v>2489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3"/>
      <c r="L46" s="1018"/>
      <c r="M46" s="1056"/>
      <c r="N46" s="1056"/>
      <c r="O46" s="1056"/>
    </row>
    <row r="47" spans="1:29" ht="13.5" customHeight="1">
      <c r="A47" s="2948"/>
      <c r="B47" s="2948"/>
      <c r="C47" s="452" t="s">
        <v>2490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3"/>
      <c r="L47" s="1018"/>
      <c r="M47" s="1056"/>
      <c r="N47" s="1056"/>
      <c r="O47" s="1056"/>
    </row>
    <row r="48" spans="1:29" s="457" customFormat="1" ht="13.5" customHeight="1">
      <c r="A48" s="2951"/>
      <c r="B48" s="2951"/>
      <c r="C48" s="452" t="s">
        <v>2491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6"/>
      <c r="L48" s="1059"/>
      <c r="M48" s="1057"/>
      <c r="N48" s="1057"/>
      <c r="O48" s="1057"/>
    </row>
    <row r="49" spans="1:17" s="457" customFormat="1">
      <c r="A49" s="2951"/>
      <c r="B49" s="2954"/>
      <c r="C49" s="2955"/>
      <c r="D49" s="2951"/>
      <c r="E49" s="2951"/>
      <c r="F49" s="2951"/>
      <c r="G49" s="2951"/>
      <c r="H49" s="2951"/>
      <c r="I49" s="2951"/>
      <c r="J49" s="2951"/>
      <c r="K49" s="2956"/>
      <c r="L49" s="1059"/>
      <c r="M49" s="1057"/>
      <c r="N49" s="1057"/>
      <c r="O49" s="1057"/>
    </row>
    <row r="50" spans="1:17">
      <c r="A50" s="2948"/>
      <c r="B50" s="2954"/>
      <c r="C50" s="2955"/>
      <c r="D50" s="2948"/>
      <c r="E50" s="2948"/>
      <c r="F50" s="2948"/>
      <c r="G50" s="2948"/>
      <c r="H50" s="2948"/>
      <c r="I50" s="2948"/>
      <c r="J50" s="2948"/>
      <c r="K50" s="2953"/>
      <c r="L50" s="1018"/>
      <c r="M50" s="1056"/>
      <c r="N50" s="1056"/>
      <c r="O50" s="1056"/>
    </row>
    <row r="51" spans="1:17" ht="21.75" thickBot="1">
      <c r="A51" s="701" t="s">
        <v>2492</v>
      </c>
      <c r="B51" s="697"/>
      <c r="C51" s="702"/>
      <c r="D51" s="702"/>
      <c r="E51" s="702"/>
      <c r="F51" s="703"/>
      <c r="G51" s="703"/>
      <c r="H51" s="702"/>
      <c r="I51" s="702"/>
      <c r="J51" s="702"/>
      <c r="K51" s="1070"/>
      <c r="L51" s="1071"/>
      <c r="M51" s="1069"/>
      <c r="N51" s="1069"/>
      <c r="O51" s="1069"/>
      <c r="P51" s="458"/>
      <c r="Q51" s="459"/>
    </row>
    <row r="52" spans="1:17" s="463" customFormat="1" ht="15">
      <c r="A52" s="460" t="s">
        <v>2366</v>
      </c>
      <c r="B52" s="461"/>
      <c r="C52" s="1343" t="str">
        <f>YEAR(C7)&amp;"-"&amp;MONTH(C7)</f>
        <v>2021-4</v>
      </c>
      <c r="D52" s="1344">
        <f>EDATE(C52,-1)</f>
        <v>44256</v>
      </c>
      <c r="E52" s="1344">
        <f t="shared" ref="E52:O52" si="16">EDATE(D52,-1)</f>
        <v>44228</v>
      </c>
      <c r="F52" s="1344">
        <f t="shared" si="16"/>
        <v>44197</v>
      </c>
      <c r="G52" s="1344">
        <f t="shared" si="16"/>
        <v>44166</v>
      </c>
      <c r="H52" s="1344">
        <f t="shared" si="16"/>
        <v>44136</v>
      </c>
      <c r="I52" s="1344">
        <f t="shared" si="16"/>
        <v>44105</v>
      </c>
      <c r="J52" s="1344">
        <f t="shared" si="16"/>
        <v>44075</v>
      </c>
      <c r="K52" s="1344">
        <f t="shared" si="16"/>
        <v>44044</v>
      </c>
      <c r="L52" s="1344">
        <f t="shared" si="16"/>
        <v>44013</v>
      </c>
      <c r="M52" s="1344">
        <f t="shared" si="16"/>
        <v>43983</v>
      </c>
      <c r="N52" s="1344">
        <f t="shared" si="16"/>
        <v>43952</v>
      </c>
      <c r="O52" s="1344">
        <f t="shared" si="16"/>
        <v>43922</v>
      </c>
      <c r="P52" s="462"/>
    </row>
    <row r="53" spans="1:17" s="112" customFormat="1" ht="15">
      <c r="A53" s="464"/>
      <c r="B53" s="465"/>
      <c r="C53" s="1342">
        <v>100</v>
      </c>
      <c r="D53" s="467"/>
      <c r="E53" s="467"/>
      <c r="F53" s="467"/>
      <c r="G53" s="467"/>
      <c r="H53" s="467"/>
      <c r="I53" s="467"/>
      <c r="J53" s="467"/>
      <c r="K53" s="467"/>
      <c r="L53" s="467"/>
      <c r="M53" s="468"/>
      <c r="N53" s="467"/>
      <c r="O53" s="469"/>
      <c r="P53" s="459"/>
    </row>
    <row r="54" spans="1:17" s="112" customFormat="1" ht="15.75" thickBot="1">
      <c r="A54" s="470" t="s">
        <v>2403</v>
      </c>
      <c r="B54" s="471"/>
      <c r="C54" s="472"/>
      <c r="D54" s="473"/>
      <c r="E54" s="473"/>
      <c r="F54" s="473"/>
      <c r="G54" s="473"/>
      <c r="H54" s="473"/>
      <c r="I54" s="473"/>
      <c r="J54" s="473"/>
      <c r="K54" s="473"/>
      <c r="L54" s="473"/>
      <c r="M54" s="474"/>
      <c r="N54" s="2993"/>
      <c r="O54" s="2994"/>
      <c r="P54" s="459"/>
      <c r="Q54" s="459"/>
    </row>
    <row r="55" spans="1:17" s="112" customFormat="1" ht="15">
      <c r="A55" s="476" t="s">
        <v>2368</v>
      </c>
      <c r="B55" s="465"/>
      <c r="C55" s="477" t="s">
        <v>2470</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2406</v>
      </c>
      <c r="B57" s="483" t="s">
        <v>2372</v>
      </c>
      <c r="C57" s="484">
        <f>C9</f>
        <v>0</v>
      </c>
      <c r="D57" s="485"/>
      <c r="E57" s="485"/>
      <c r="F57" s="485"/>
      <c r="G57" s="485"/>
      <c r="H57" s="485"/>
      <c r="I57" s="485"/>
      <c r="J57" s="485"/>
      <c r="K57" s="486"/>
      <c r="L57" s="487"/>
      <c r="M57" s="488"/>
      <c r="N57" s="1062"/>
      <c r="O57" s="1062"/>
      <c r="P57" s="44"/>
      <c r="Q57" s="459"/>
    </row>
    <row r="58" spans="1:17" ht="15.75" thickBot="1">
      <c r="A58" s="489"/>
      <c r="B58" s="490"/>
      <c r="C58" s="491">
        <v>100</v>
      </c>
      <c r="D58" s="491"/>
      <c r="E58" s="491"/>
      <c r="F58" s="491"/>
      <c r="G58" s="491"/>
      <c r="H58" s="491"/>
      <c r="I58" s="491"/>
      <c r="J58" s="491"/>
      <c r="K58" s="491"/>
      <c r="L58" s="491"/>
      <c r="M58" s="492"/>
      <c r="N58" s="1063"/>
      <c r="O58" s="1063"/>
      <c r="P58" s="44"/>
      <c r="Q58" s="459"/>
    </row>
    <row r="59" spans="1:17" ht="27.75" thickTop="1">
      <c r="A59" s="489"/>
      <c r="B59" s="493" t="s">
        <v>2375</v>
      </c>
      <c r="C59" s="494" t="s">
        <v>2407</v>
      </c>
      <c r="D59" s="494" t="s">
        <v>2408</v>
      </c>
      <c r="E59" s="494" t="s">
        <v>2409</v>
      </c>
      <c r="F59" s="494" t="s">
        <v>2410</v>
      </c>
      <c r="G59" s="494" t="s">
        <v>2411</v>
      </c>
      <c r="H59" s="494" t="s">
        <v>2412</v>
      </c>
      <c r="I59" s="494" t="s">
        <v>2413</v>
      </c>
      <c r="J59" s="494"/>
      <c r="K59" s="495"/>
      <c r="L59" s="496"/>
      <c r="M59" s="497"/>
      <c r="N59" s="1062"/>
      <c r="O59" s="1062"/>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4"/>
      <c r="Q60" s="459"/>
    </row>
    <row r="61" spans="1:17" ht="15.75" thickTop="1">
      <c r="A61" s="489"/>
      <c r="B61" s="501" t="s">
        <v>2376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4"/>
      <c r="Q61" s="459"/>
    </row>
    <row r="62" spans="1:17" ht="15">
      <c r="A62" s="489"/>
      <c r="B62" s="503"/>
      <c r="C62" s="504"/>
      <c r="D62" s="504"/>
      <c r="E62" s="504"/>
      <c r="F62" s="504"/>
      <c r="G62" s="504"/>
      <c r="H62" s="504"/>
      <c r="I62" s="504"/>
      <c r="J62" s="504"/>
      <c r="K62" s="505"/>
      <c r="L62" s="506"/>
      <c r="M62" s="507"/>
      <c r="N62" s="1062"/>
      <c r="O62" s="1062"/>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4"/>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2377</v>
      </c>
      <c r="B70" s="483" t="s">
        <v>2523</v>
      </c>
      <c r="C70" s="528" t="s">
        <v>2415</v>
      </c>
      <c r="D70" s="528" t="s">
        <v>2416</v>
      </c>
      <c r="E70" s="528" t="s">
        <v>2417</v>
      </c>
      <c r="F70" s="528" t="s">
        <v>2418</v>
      </c>
      <c r="G70" s="528" t="s">
        <v>2419</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4"/>
      <c r="Q71" s="459"/>
    </row>
    <row r="72" spans="1:17" ht="15.75" thickTop="1">
      <c r="A72" s="489"/>
      <c r="B72" s="493" t="s">
        <v>2420</v>
      </c>
      <c r="C72" s="533" t="s">
        <v>2415</v>
      </c>
      <c r="D72" s="533" t="s">
        <v>2416</v>
      </c>
      <c r="E72" s="533" t="s">
        <v>2417</v>
      </c>
      <c r="F72" s="533" t="s">
        <v>2418</v>
      </c>
      <c r="G72" s="533" t="s">
        <v>2419</v>
      </c>
      <c r="H72" s="494"/>
      <c r="I72" s="494"/>
      <c r="J72" s="494"/>
      <c r="K72" s="495"/>
      <c r="L72" s="496"/>
      <c r="M72" s="497"/>
      <c r="N72" s="1062"/>
      <c r="O72" s="1062"/>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4"/>
      <c r="Q73" s="459"/>
    </row>
    <row r="74" spans="1:17" ht="15.75" thickTop="1">
      <c r="A74" s="489"/>
      <c r="B74" s="493" t="s">
        <v>2421</v>
      </c>
      <c r="C74" s="533" t="s">
        <v>2415</v>
      </c>
      <c r="D74" s="533" t="s">
        <v>2416</v>
      </c>
      <c r="E74" s="533" t="s">
        <v>2417</v>
      </c>
      <c r="F74" s="533" t="s">
        <v>2418</v>
      </c>
      <c r="G74" s="533" t="s">
        <v>2419</v>
      </c>
      <c r="H74" s="494"/>
      <c r="I74" s="494"/>
      <c r="J74" s="494"/>
      <c r="K74" s="495"/>
      <c r="L74" s="496"/>
      <c r="M74" s="497"/>
      <c r="N74" s="1062"/>
      <c r="O74" s="1062"/>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4"/>
      <c r="Q75" s="459"/>
    </row>
    <row r="76" spans="1:17" ht="15.75" thickTop="1">
      <c r="A76" s="489"/>
      <c r="B76" s="501" t="s">
        <v>2507</v>
      </c>
      <c r="C76" s="614" t="s">
        <v>2493</v>
      </c>
      <c r="D76" s="614" t="s">
        <v>2494</v>
      </c>
      <c r="E76" s="614" t="s">
        <v>2495</v>
      </c>
      <c r="F76" s="614" t="s">
        <v>2496</v>
      </c>
      <c r="G76" s="614" t="s">
        <v>2497</v>
      </c>
      <c r="H76" s="494"/>
      <c r="I76" s="494"/>
      <c r="J76" s="494"/>
      <c r="K76" s="494"/>
      <c r="L76" s="494"/>
      <c r="M76" s="1289"/>
      <c r="N76" s="1063"/>
      <c r="O76" s="1063"/>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4"/>
      <c r="Q77" s="459"/>
    </row>
    <row r="78" spans="1:17" ht="15.75" thickTop="1">
      <c r="A78" s="489"/>
      <c r="B78" s="493" t="s">
        <v>2516</v>
      </c>
      <c r="C78" s="533" t="s">
        <v>2415</v>
      </c>
      <c r="D78" s="533" t="s">
        <v>2416</v>
      </c>
      <c r="E78" s="533" t="s">
        <v>2417</v>
      </c>
      <c r="F78" s="533" t="s">
        <v>2418</v>
      </c>
      <c r="G78" s="533" t="s">
        <v>2419</v>
      </c>
      <c r="H78" s="494"/>
      <c r="I78" s="494"/>
      <c r="J78" s="494"/>
      <c r="K78" s="495"/>
      <c r="L78" s="496"/>
      <c r="M78" s="497"/>
      <c r="N78" s="1062"/>
      <c r="O78" s="1062"/>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4"/>
      <c r="Q79" s="459"/>
    </row>
    <row r="80" spans="1:17" s="112" customFormat="1" ht="15.75" thickTop="1">
      <c r="A80" s="534"/>
      <c r="B80" s="493">
        <f>B25</f>
        <v>111</v>
      </c>
      <c r="C80" s="509"/>
      <c r="D80" s="509"/>
      <c r="E80" s="509"/>
      <c r="F80" s="509"/>
      <c r="G80" s="509"/>
      <c r="H80" s="509"/>
      <c r="I80" s="509"/>
      <c r="J80" s="509"/>
      <c r="K80" s="509"/>
      <c r="L80" s="535"/>
      <c r="M80" s="536"/>
      <c r="N80" s="1061"/>
      <c r="O80" s="1061"/>
      <c r="P80" s="44"/>
      <c r="Q80" s="459"/>
    </row>
    <row r="81" spans="1:17" s="112" customFormat="1" ht="15.75" thickBot="1">
      <c r="A81" s="534"/>
      <c r="B81" s="498"/>
      <c r="C81" s="515"/>
      <c r="D81" s="491"/>
      <c r="E81" s="491"/>
      <c r="F81" s="491"/>
      <c r="G81" s="491"/>
      <c r="H81" s="491"/>
      <c r="I81" s="491"/>
      <c r="J81" s="491"/>
      <c r="K81" s="491"/>
      <c r="L81" s="491"/>
      <c r="M81" s="492"/>
      <c r="N81" s="1063"/>
      <c r="O81" s="1063"/>
      <c r="P81" s="44"/>
      <c r="Q81" s="459"/>
    </row>
    <row r="82" spans="1:17" s="112" customFormat="1" ht="15.75" thickTop="1">
      <c r="A82" s="534"/>
      <c r="B82" s="493">
        <f>B26</f>
        <v>111</v>
      </c>
      <c r="C82" s="509"/>
      <c r="D82" s="509"/>
      <c r="E82" s="509"/>
      <c r="F82" s="509"/>
      <c r="G82" s="509"/>
      <c r="H82" s="509"/>
      <c r="I82" s="509"/>
      <c r="J82" s="509"/>
      <c r="K82" s="509"/>
      <c r="L82" s="535"/>
      <c r="M82" s="536"/>
      <c r="N82" s="1061"/>
      <c r="O82" s="1061"/>
      <c r="P82" s="44"/>
      <c r="Q82" s="459"/>
    </row>
    <row r="83" spans="1:17" s="112" customFormat="1" ht="15.75" thickBot="1">
      <c r="A83" s="534"/>
      <c r="B83" s="498"/>
      <c r="C83" s="515"/>
      <c r="D83" s="491"/>
      <c r="E83" s="491"/>
      <c r="F83" s="491"/>
      <c r="G83" s="491"/>
      <c r="H83" s="491"/>
      <c r="I83" s="491"/>
      <c r="J83" s="491"/>
      <c r="K83" s="491"/>
      <c r="L83" s="491"/>
      <c r="M83" s="492"/>
      <c r="N83" s="1063"/>
      <c r="O83" s="1063"/>
      <c r="P83" s="44"/>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4"/>
      <c r="Q86" s="459"/>
    </row>
    <row r="87" spans="1:17" ht="15.75" thickBot="1">
      <c r="A87" s="2111"/>
      <c r="B87" s="524"/>
      <c r="C87" s="525"/>
      <c r="D87" s="525"/>
      <c r="E87" s="525"/>
      <c r="F87" s="525"/>
      <c r="G87" s="546"/>
      <c r="H87" s="546"/>
      <c r="I87" s="546"/>
      <c r="J87" s="546"/>
      <c r="K87" s="546"/>
      <c r="L87" s="546"/>
      <c r="M87" s="547"/>
      <c r="N87" s="1063"/>
      <c r="O87" s="1063"/>
      <c r="P87" s="44"/>
      <c r="Q87" s="459"/>
    </row>
    <row r="88" spans="1:17">
      <c r="A88" s="482" t="s">
        <v>2381</v>
      </c>
      <c r="B88" s="483" t="s">
        <v>2430</v>
      </c>
      <c r="C88" s="485"/>
      <c r="D88" s="485"/>
      <c r="E88" s="485"/>
      <c r="F88" s="485"/>
      <c r="G88" s="485"/>
      <c r="H88" s="485"/>
      <c r="I88" s="485"/>
      <c r="J88" s="485"/>
      <c r="K88" s="486"/>
      <c r="L88" s="487"/>
      <c r="M88" s="488"/>
      <c r="N88" s="1062"/>
      <c r="O88" s="1062"/>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4"/>
      <c r="Q89" s="459"/>
    </row>
    <row r="90" spans="1:17" ht="15.75" thickTop="1">
      <c r="A90" s="489"/>
      <c r="B90" s="493" t="s">
        <v>2431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4"/>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2432</v>
      </c>
      <c r="C93" s="509"/>
      <c r="D93" s="509"/>
      <c r="E93" s="538"/>
      <c r="F93" s="538"/>
      <c r="G93" s="538"/>
      <c r="H93" s="538"/>
      <c r="I93" s="538"/>
      <c r="J93" s="538"/>
      <c r="K93" s="539"/>
      <c r="L93" s="540"/>
      <c r="M93" s="541"/>
      <c r="N93" s="1062"/>
      <c r="O93" s="1062"/>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4"/>
      <c r="Q94" s="459"/>
    </row>
    <row r="95" spans="1:17" ht="15" thickTop="1">
      <c r="A95" s="554"/>
      <c r="B95" s="493" t="s">
        <v>2434</v>
      </c>
      <c r="C95" s="509"/>
      <c r="D95" s="509"/>
      <c r="E95" s="509"/>
      <c r="F95" s="538"/>
      <c r="G95" s="538"/>
      <c r="H95" s="538"/>
      <c r="I95" s="538"/>
      <c r="J95" s="538"/>
      <c r="K95" s="539"/>
      <c r="L95" s="540"/>
      <c r="M95" s="541"/>
      <c r="N95" s="1062"/>
      <c r="O95" s="1062"/>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4"/>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4"/>
      <c r="Q97" s="459"/>
    </row>
    <row r="98" spans="1:17">
      <c r="A98" s="554"/>
      <c r="B98" s="501"/>
      <c r="C98" s="558">
        <v>0.5</v>
      </c>
      <c r="D98" s="558">
        <v>0.6</v>
      </c>
      <c r="E98" s="558">
        <v>0.7</v>
      </c>
      <c r="F98" s="558">
        <v>0.8</v>
      </c>
      <c r="G98" s="558">
        <v>0.9</v>
      </c>
      <c r="H98" s="558">
        <v>1.0001</v>
      </c>
      <c r="I98" s="577"/>
      <c r="J98" s="577"/>
      <c r="K98" s="578"/>
      <c r="L98" s="579"/>
      <c r="M98" s="580"/>
      <c r="N98" s="1062"/>
      <c r="O98" s="1062"/>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4"/>
      <c r="Q99" s="459"/>
    </row>
    <row r="100" spans="1:17" s="428" customFormat="1" ht="15" thickTop="1">
      <c r="A100" s="548"/>
      <c r="B100" s="493" t="s">
        <v>2435</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2436</v>
      </c>
      <c r="C102" s="509"/>
      <c r="D102" s="509"/>
      <c r="E102" s="509"/>
      <c r="F102" s="509"/>
      <c r="G102" s="509"/>
      <c r="H102" s="538"/>
      <c r="I102" s="538"/>
      <c r="J102" s="538"/>
      <c r="K102" s="539"/>
      <c r="L102" s="540"/>
      <c r="M102" s="541"/>
      <c r="N102" s="1062"/>
      <c r="O102" s="1062"/>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4"/>
      <c r="Q103" s="459"/>
    </row>
    <row r="104" spans="1:17" ht="15" thickTop="1">
      <c r="A104" s="554"/>
      <c r="B104" s="493" t="s">
        <v>2438</v>
      </c>
      <c r="C104" s="509"/>
      <c r="D104" s="509"/>
      <c r="E104" s="509"/>
      <c r="F104" s="509"/>
      <c r="G104" s="509"/>
      <c r="H104" s="538"/>
      <c r="I104" s="538"/>
      <c r="J104" s="538"/>
      <c r="K104" s="539"/>
      <c r="L104" s="540"/>
      <c r="M104" s="541"/>
      <c r="N104" s="1062"/>
      <c r="O104" s="1062"/>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4"/>
      <c r="Q105" s="459"/>
    </row>
    <row r="106" spans="1:17" ht="15" thickTop="1">
      <c r="A106" s="554"/>
      <c r="B106" s="590" t="s">
        <v>2524</v>
      </c>
      <c r="C106" s="533" t="s">
        <v>2415</v>
      </c>
      <c r="D106" s="533" t="s">
        <v>2416</v>
      </c>
      <c r="E106" s="533" t="s">
        <v>2417</v>
      </c>
      <c r="F106" s="533" t="s">
        <v>2418</v>
      </c>
      <c r="G106" s="533" t="s">
        <v>2419</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4"/>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4"/>
      <c r="Q110" s="459"/>
    </row>
    <row r="111" spans="1:17" ht="15.75" thickBot="1">
      <c r="A111" s="489"/>
      <c r="B111" s="498"/>
      <c r="C111" s="515"/>
      <c r="D111" s="491"/>
      <c r="E111" s="491"/>
      <c r="F111" s="491"/>
      <c r="G111" s="515"/>
      <c r="H111" s="517"/>
      <c r="I111" s="517"/>
      <c r="J111" s="517"/>
      <c r="K111" s="517"/>
      <c r="L111" s="517"/>
      <c r="M111" s="518"/>
      <c r="N111" s="1063"/>
      <c r="O111" s="1063"/>
      <c r="P111" s="44"/>
      <c r="Q111" s="459"/>
    </row>
    <row r="112" spans="1:17" ht="15" thickTop="1">
      <c r="A112" s="554"/>
      <c r="B112" s="501">
        <f>B40</f>
        <v>111</v>
      </c>
      <c r="C112" s="478"/>
      <c r="D112" s="478"/>
      <c r="E112" s="478"/>
      <c r="F112" s="478"/>
      <c r="G112" s="542"/>
      <c r="H112" s="542"/>
      <c r="I112" s="542"/>
      <c r="J112" s="542"/>
      <c r="K112" s="478"/>
      <c r="L112" s="479"/>
      <c r="M112" s="545"/>
      <c r="N112" s="1062"/>
      <c r="O112" s="1062"/>
      <c r="P112" s="44"/>
      <c r="Q112" s="459"/>
    </row>
    <row r="113" spans="1:17" ht="15.75" thickBot="1">
      <c r="A113" s="2111"/>
      <c r="B113" s="524"/>
      <c r="C113" s="525"/>
      <c r="D113" s="525"/>
      <c r="E113" s="525"/>
      <c r="F113" s="525"/>
      <c r="G113" s="546"/>
      <c r="H113" s="546"/>
      <c r="I113" s="546"/>
      <c r="J113" s="546"/>
      <c r="K113" s="546"/>
      <c r="L113" s="546"/>
      <c r="M113" s="547"/>
      <c r="N113" s="1063"/>
      <c r="O113" s="1063"/>
      <c r="P113" s="44"/>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2525</v>
      </c>
      <c r="B1" s="1388"/>
      <c r="C1" s="1389" t="s">
        <v>2348</v>
      </c>
      <c r="D1" s="1390"/>
      <c r="E1" s="1391"/>
      <c r="F1" s="2062"/>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2145</v>
      </c>
      <c r="B2" s="1324" t="e">
        <f ca="1">IF(C2="——",IF(B37="元/平方米",ROUND(C39*D3/10000,0),ROUND(F3*C39/10000,0)),IF(B37="元/平方米",ROUND(C39*D3/10000,0),ROUND(F3*C39/10000,0))-D2)</f>
        <v>#DIV/0!</v>
      </c>
      <c r="C2" s="2064"/>
      <c r="D2" s="1036" t="e">
        <f ca="1">SUMIF(INDIRECT("'"&amp;F2&amp;"'"&amp;"!A:A"),"承租人权益价值",INDIRECT("'"&amp;F2&amp;"'"&amp;"!c:c"))</f>
        <v>#REF!</v>
      </c>
      <c r="E2" s="2065" t="s">
        <v>2146</v>
      </c>
      <c r="F2" s="2066"/>
      <c r="G2" s="1037"/>
      <c r="H2" s="1037"/>
      <c r="I2" s="1037"/>
      <c r="J2" s="1037"/>
      <c r="K2" s="1039"/>
      <c r="L2" s="2957"/>
      <c r="M2" s="2958"/>
      <c r="N2" s="2958"/>
      <c r="O2" s="2958"/>
      <c r="P2" s="1325"/>
      <c r="Q2" s="706"/>
      <c r="R2" s="706"/>
      <c r="S2" s="706"/>
      <c r="T2" s="706"/>
      <c r="U2" s="706"/>
      <c r="V2" s="706"/>
      <c r="W2" s="706"/>
      <c r="X2" s="706"/>
      <c r="Y2" s="706"/>
      <c r="Z2" s="706"/>
      <c r="AA2" s="706"/>
      <c r="AB2" s="706"/>
      <c r="AC2" s="707"/>
    </row>
    <row r="3" spans="1:29" s="356" customFormat="1" ht="28.5" customHeight="1" thickBot="1">
      <c r="A3" s="207" t="s">
        <v>2147</v>
      </c>
      <c r="B3" s="564" t="e">
        <f ca="1">IF(AND(C2="——",B37="元/平方米"),C39,ROUND(B2*10000/D3,0))</f>
        <v>#DIV/0!</v>
      </c>
      <c r="C3" s="358" t="s">
        <v>2462</v>
      </c>
      <c r="D3" s="357">
        <f>SUMIF('数据-汇总表'!$C19:$C33,D1,'数据-汇总表'!$E19:$E33)</f>
        <v>0</v>
      </c>
      <c r="E3" s="358" t="s">
        <v>2526</v>
      </c>
      <c r="F3" s="357">
        <f>SUMIF('数据-取费表'!A5:A15,D1,'数据-取费表'!AH5:AH15)</f>
        <v>0</v>
      </c>
      <c r="G3" s="1037"/>
      <c r="H3" s="1037"/>
      <c r="I3" s="1037"/>
      <c r="J3" s="1037"/>
      <c r="K3" s="1039"/>
      <c r="L3" s="2957"/>
      <c r="M3" s="2958"/>
      <c r="N3" s="2958"/>
      <c r="O3" s="2958"/>
      <c r="P3" s="1325"/>
      <c r="Q3" s="706"/>
      <c r="R3" s="706"/>
      <c r="S3" s="706"/>
      <c r="T3" s="706"/>
      <c r="U3" s="706"/>
      <c r="V3" s="706"/>
      <c r="W3" s="706"/>
      <c r="X3" s="706"/>
      <c r="Y3" s="706"/>
      <c r="Z3" s="706"/>
      <c r="AA3" s="706"/>
      <c r="AB3" s="723"/>
      <c r="AC3" s="720"/>
    </row>
    <row r="4" spans="1:29" ht="15">
      <c r="A4" s="359" t="s">
        <v>2463</v>
      </c>
      <c r="B4" s="360"/>
      <c r="C4" s="3280" t="s">
        <v>2464</v>
      </c>
      <c r="D4" s="3281"/>
      <c r="E4" s="3282" t="s">
        <v>2465</v>
      </c>
      <c r="F4" s="3283"/>
      <c r="G4" s="3280" t="s">
        <v>2466</v>
      </c>
      <c r="H4" s="3281"/>
      <c r="I4" s="3280" t="s">
        <v>2467</v>
      </c>
      <c r="J4" s="3281"/>
      <c r="K4" s="565" t="s">
        <v>2468</v>
      </c>
      <c r="L4" s="2938"/>
      <c r="M4" s="2939"/>
      <c r="N4" s="2939"/>
      <c r="O4" s="2939"/>
      <c r="P4" s="3284" t="s">
        <v>2469</v>
      </c>
      <c r="Q4" s="3285"/>
      <c r="R4" s="3267" t="s">
        <v>2465</v>
      </c>
      <c r="S4" s="3268"/>
      <c r="T4" s="3267" t="s">
        <v>2466</v>
      </c>
      <c r="U4" s="3268"/>
      <c r="V4" s="3292" t="s">
        <v>2467</v>
      </c>
      <c r="W4" s="3292"/>
      <c r="X4" s="1537"/>
      <c r="Y4" s="3267" t="s">
        <v>2469</v>
      </c>
      <c r="Z4" s="3268"/>
      <c r="AA4" s="3262" t="s">
        <v>2465</v>
      </c>
      <c r="AB4" s="3263" t="s">
        <v>2466</v>
      </c>
      <c r="AC4" s="3262" t="s">
        <v>2467</v>
      </c>
    </row>
    <row r="5" spans="1:29" ht="15">
      <c r="A5" s="362"/>
      <c r="B5" s="363"/>
      <c r="C5" s="3273" t="s">
        <v>2360</v>
      </c>
      <c r="D5" s="3274"/>
      <c r="E5" s="3271" t="s">
        <v>2361</v>
      </c>
      <c r="F5" s="3272"/>
      <c r="G5" s="3273" t="s">
        <v>2362</v>
      </c>
      <c r="H5" s="3274"/>
      <c r="I5" s="3273" t="s">
        <v>2363</v>
      </c>
      <c r="J5" s="3274"/>
      <c r="K5" s="565"/>
      <c r="L5" s="2938"/>
      <c r="M5" s="2939"/>
      <c r="N5" s="2939"/>
      <c r="O5" s="2939"/>
      <c r="P5" s="3286"/>
      <c r="Q5" s="3287"/>
      <c r="R5" s="3269"/>
      <c r="S5" s="3270"/>
      <c r="T5" s="3269"/>
      <c r="U5" s="3270"/>
      <c r="V5" s="3292"/>
      <c r="W5" s="3292"/>
      <c r="X5" s="1537"/>
      <c r="Y5" s="3269"/>
      <c r="Z5" s="3270"/>
      <c r="AA5" s="3263"/>
      <c r="AB5" s="3263"/>
      <c r="AC5" s="3263"/>
    </row>
    <row r="6" spans="1:29" ht="15.75" thickBot="1">
      <c r="A6" s="364"/>
      <c r="B6" s="365"/>
      <c r="C6" s="3275" t="s">
        <v>2364</v>
      </c>
      <c r="D6" s="3276"/>
      <c r="E6" s="3277" t="s">
        <v>2364</v>
      </c>
      <c r="F6" s="3278"/>
      <c r="G6" s="3275" t="s">
        <v>2364</v>
      </c>
      <c r="H6" s="3276"/>
      <c r="I6" s="3275" t="s">
        <v>2364</v>
      </c>
      <c r="J6" s="3276"/>
      <c r="K6" s="565" t="s">
        <v>2365</v>
      </c>
      <c r="L6" s="2938"/>
      <c r="M6" s="2939"/>
      <c r="N6" s="2939"/>
      <c r="O6" s="2939"/>
      <c r="P6" s="3288"/>
      <c r="Q6" s="3289"/>
      <c r="R6" s="3269"/>
      <c r="S6" s="3270"/>
      <c r="T6" s="3290"/>
      <c r="U6" s="3291"/>
      <c r="V6" s="3292"/>
      <c r="W6" s="3292"/>
      <c r="X6" s="1537"/>
      <c r="Y6" s="3290"/>
      <c r="Z6" s="3291"/>
      <c r="AA6" s="3264"/>
      <c r="AB6" s="3264"/>
      <c r="AC6" s="3264"/>
    </row>
    <row r="7" spans="1:29" s="112" customFormat="1" ht="15.75" thickBot="1">
      <c r="A7" s="366" t="s">
        <v>2366</v>
      </c>
      <c r="B7" s="367"/>
      <c r="C7" s="368">
        <f>'数据-取费表'!B2</f>
        <v>44299</v>
      </c>
      <c r="D7" s="369">
        <v>100</v>
      </c>
      <c r="E7" s="370"/>
      <c r="F7" s="371">
        <f>SUMIF(48:48,YEAR(E7)&amp;"-"&amp;MONTH(E7),49:49)</f>
        <v>0</v>
      </c>
      <c r="G7" s="370"/>
      <c r="H7" s="369">
        <f>SUMIF(48:48,YEAR(G7)&amp;"-"&amp;MONTH(G7),49:49)</f>
        <v>0</v>
      </c>
      <c r="I7" s="370"/>
      <c r="J7" s="369">
        <f>SUMIF(48:48,YEAR(I7)&amp;"-"&amp;MONTH(I7),49:49)</f>
        <v>0</v>
      </c>
      <c r="K7" s="566"/>
      <c r="L7" s="2940"/>
      <c r="M7" s="2941"/>
      <c r="N7" s="2941"/>
      <c r="O7" s="2941"/>
      <c r="P7" s="3265" t="s">
        <v>2367</v>
      </c>
      <c r="Q7" s="3293"/>
      <c r="R7" s="708" t="s">
        <v>17</v>
      </c>
      <c r="S7" s="709">
        <f t="shared" ref="S7:S14" si="0">F7</f>
        <v>0</v>
      </c>
      <c r="T7" s="708" t="s">
        <v>17</v>
      </c>
      <c r="U7" s="709">
        <f t="shared" ref="U7:U14" si="1">H7</f>
        <v>0</v>
      </c>
      <c r="V7" s="708" t="s">
        <v>17</v>
      </c>
      <c r="W7" s="709">
        <f t="shared" ref="W7:W14" si="2">J7</f>
        <v>0</v>
      </c>
      <c r="X7" s="710"/>
      <c r="Y7" s="3265" t="s">
        <v>2367</v>
      </c>
      <c r="Z7" s="3266"/>
      <c r="AA7" s="711" t="e">
        <f>D7/F7</f>
        <v>#DIV/0!</v>
      </c>
      <c r="AB7" s="711" t="e">
        <f>D7/H7</f>
        <v>#DIV/0!</v>
      </c>
      <c r="AC7" s="711" t="e">
        <f>D7/J7</f>
        <v>#DIV/0!</v>
      </c>
    </row>
    <row r="8" spans="1:29" s="112" customFormat="1" ht="15.75" thickBot="1">
      <c r="A8" s="366" t="s">
        <v>2368</v>
      </c>
      <c r="B8" s="367"/>
      <c r="C8" s="372" t="s">
        <v>2470</v>
      </c>
      <c r="D8" s="369">
        <v>100</v>
      </c>
      <c r="E8" s="372"/>
      <c r="F8" s="371">
        <f>SUMIF(51:51,E8,52:52)-SUMIF(51:51,C8,52:52)+100</f>
        <v>0</v>
      </c>
      <c r="G8" s="372"/>
      <c r="H8" s="369">
        <f>SUMIF(51:51,G8,52:52)-SUMIF(51:51,C8,52:52)+100</f>
        <v>0</v>
      </c>
      <c r="I8" s="372"/>
      <c r="J8" s="369">
        <f>SUMIF(51:51,I8,52:52)-SUMIF(51:51,C8,52:52)+100</f>
        <v>0</v>
      </c>
      <c r="K8" s="566"/>
      <c r="L8" s="2940"/>
      <c r="M8" s="2941"/>
      <c r="N8" s="2941"/>
      <c r="O8" s="2941"/>
      <c r="P8" s="3265" t="s">
        <v>2370</v>
      </c>
      <c r="Q8" s="3266"/>
      <c r="R8" s="708" t="s">
        <v>17</v>
      </c>
      <c r="S8" s="709">
        <f t="shared" si="0"/>
        <v>0</v>
      </c>
      <c r="T8" s="708" t="s">
        <v>17</v>
      </c>
      <c r="U8" s="709">
        <f t="shared" si="1"/>
        <v>0</v>
      </c>
      <c r="V8" s="708" t="s">
        <v>17</v>
      </c>
      <c r="W8" s="709">
        <f t="shared" si="2"/>
        <v>0</v>
      </c>
      <c r="X8" s="710"/>
      <c r="Y8" s="3265" t="s">
        <v>2370</v>
      </c>
      <c r="Z8" s="3266"/>
      <c r="AA8" s="711" t="e">
        <f t="shared" ref="AA8:AA36" si="3">D8/F8</f>
        <v>#DIV/0!</v>
      </c>
      <c r="AB8" s="711" t="e">
        <f t="shared" ref="AB8:AB36" si="4">D8/H8</f>
        <v>#DIV/0!</v>
      </c>
      <c r="AC8" s="711" t="e">
        <f t="shared" ref="AC8:AC36" si="5">D8/J8</f>
        <v>#DIV/0!</v>
      </c>
    </row>
    <row r="9" spans="1:29" s="112" customFormat="1">
      <c r="A9" s="63" t="s">
        <v>2371</v>
      </c>
      <c r="B9" s="594" t="s">
        <v>2372</v>
      </c>
      <c r="C9" s="374"/>
      <c r="D9" s="129">
        <v>100</v>
      </c>
      <c r="E9" s="377"/>
      <c r="F9" s="129">
        <f>SUMIF(53:53,E9,54:54)-SUMIF(53:53,C9,54:54)+100</f>
        <v>100</v>
      </c>
      <c r="G9" s="375"/>
      <c r="H9" s="129">
        <f>SUMIF(53:53,G9,54:54)-SUMIF(53:53,C9,54:54)+100</f>
        <v>100</v>
      </c>
      <c r="I9" s="375"/>
      <c r="J9" s="129">
        <f>SUMIF(53:53,I9,54:54)-SUMIF(53:53,C9,54:54)+100</f>
        <v>100</v>
      </c>
      <c r="K9" s="566"/>
      <c r="L9" s="2940"/>
      <c r="M9" s="2941"/>
      <c r="N9" s="2941"/>
      <c r="O9" s="2941"/>
      <c r="P9" s="3279" t="s">
        <v>2373</v>
      </c>
      <c r="Q9" s="1525" t="str">
        <f t="shared" ref="Q9:Q14" si="6">B9</f>
        <v>用途</v>
      </c>
      <c r="R9" s="708" t="s">
        <v>17</v>
      </c>
      <c r="S9" s="709">
        <f t="shared" si="0"/>
        <v>100</v>
      </c>
      <c r="T9" s="708" t="s">
        <v>17</v>
      </c>
      <c r="U9" s="709">
        <f t="shared" si="1"/>
        <v>100</v>
      </c>
      <c r="V9" s="708" t="s">
        <v>17</v>
      </c>
      <c r="W9" s="709">
        <f t="shared" si="2"/>
        <v>100</v>
      </c>
      <c r="X9" s="710"/>
      <c r="Y9" s="3231" t="s">
        <v>2374</v>
      </c>
      <c r="Z9" s="54" t="str">
        <f t="shared" ref="Z9:Z14" si="7">Q9</f>
        <v>用途</v>
      </c>
      <c r="AA9" s="711">
        <f t="shared" si="3"/>
        <v>1</v>
      </c>
      <c r="AB9" s="711">
        <f t="shared" si="4"/>
        <v>1</v>
      </c>
      <c r="AC9" s="711">
        <f t="shared" si="5"/>
        <v>1</v>
      </c>
    </row>
    <row r="10" spans="1:29" s="384" customFormat="1" ht="27">
      <c r="A10" s="595"/>
      <c r="B10" s="596" t="s">
        <v>2375</v>
      </c>
      <c r="C10" s="380"/>
      <c r="D10" s="130">
        <v>100</v>
      </c>
      <c r="E10" s="380"/>
      <c r="F10" s="130">
        <f>SUMIF(55:55,E10,56:56)-SUMIF(55:55,C10,56:56)+100</f>
        <v>100</v>
      </c>
      <c r="G10" s="381"/>
      <c r="H10" s="130">
        <f>SUMIF(55:55,G10,56:56)-SUMIF(55:55,C10,56:56)+100</f>
        <v>100</v>
      </c>
      <c r="I10" s="380"/>
      <c r="J10" s="130">
        <f>SUMIF(55:55,I10,56:56)-SUMIF(55:55,C10,56:56)+100</f>
        <v>100</v>
      </c>
      <c r="K10" s="567"/>
      <c r="L10" s="2942"/>
      <c r="M10" s="2943"/>
      <c r="N10" s="2943"/>
      <c r="O10" s="2943"/>
      <c r="P10" s="3279"/>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4"/>
      <c r="M11" s="2939"/>
      <c r="N11" s="2939"/>
      <c r="O11" s="2939"/>
      <c r="P11" s="3279"/>
      <c r="Q11" s="1525">
        <f t="shared" si="6"/>
        <v>111</v>
      </c>
      <c r="R11" s="708" t="s">
        <v>17</v>
      </c>
      <c r="S11" s="709">
        <f t="shared" si="0"/>
        <v>100</v>
      </c>
      <c r="T11" s="708" t="s">
        <v>17</v>
      </c>
      <c r="U11" s="709">
        <f t="shared" si="1"/>
        <v>100</v>
      </c>
      <c r="V11" s="708" t="s">
        <v>17</v>
      </c>
      <c r="W11" s="709">
        <f t="shared" si="2"/>
        <v>100</v>
      </c>
      <c r="X11" s="710"/>
      <c r="Y11" s="3231"/>
      <c r="Z11" s="54">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0"/>
      <c r="M12" s="2941"/>
      <c r="N12" s="2941"/>
      <c r="O12" s="2941"/>
      <c r="P12" s="3279"/>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5"/>
      <c r="M13" s="2939"/>
      <c r="N13" s="2939"/>
      <c r="O13" s="2939"/>
      <c r="P13" s="3279"/>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711">
        <f t="shared" si="5"/>
        <v>1</v>
      </c>
    </row>
    <row r="14" spans="1:29" ht="85.5">
      <c r="A14" s="359" t="s">
        <v>2377</v>
      </c>
      <c r="B14" s="583" t="s">
        <v>2527</v>
      </c>
      <c r="C14" s="2154"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5"/>
      <c r="M14" s="2939"/>
      <c r="N14" s="2939"/>
      <c r="O14" s="2939"/>
      <c r="P14" s="3294" t="s">
        <v>2378</v>
      </c>
      <c r="Q14" s="1534" t="str">
        <f t="shared" si="6"/>
        <v>交通便捷度</v>
      </c>
      <c r="R14" s="712" t="s">
        <v>17</v>
      </c>
      <c r="S14" s="713">
        <f t="shared" si="0"/>
        <v>100</v>
      </c>
      <c r="T14" s="712" t="s">
        <v>17</v>
      </c>
      <c r="U14" s="713">
        <f t="shared" si="1"/>
        <v>100</v>
      </c>
      <c r="V14" s="712" t="s">
        <v>17</v>
      </c>
      <c r="W14" s="713">
        <f t="shared" si="2"/>
        <v>100</v>
      </c>
      <c r="X14" s="1537"/>
      <c r="Y14" s="3294" t="s">
        <v>2378</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5"/>
      <c r="M15" s="2939"/>
      <c r="N15" s="2939"/>
      <c r="O15" s="2939"/>
      <c r="P15" s="3295"/>
      <c r="Q15" s="1534"/>
      <c r="R15" s="712"/>
      <c r="S15" s="713"/>
      <c r="T15" s="712"/>
      <c r="U15" s="713"/>
      <c r="V15" s="712"/>
      <c r="W15" s="713"/>
      <c r="X15" s="1537"/>
      <c r="Y15" s="3295"/>
      <c r="Z15" s="1538"/>
      <c r="AA15" s="1535">
        <v>1</v>
      </c>
      <c r="AB15" s="1535">
        <v>1</v>
      </c>
      <c r="AC15" s="1535">
        <v>1</v>
      </c>
    </row>
    <row r="16" spans="1:29" ht="42.75">
      <c r="A16" s="362"/>
      <c r="B16" s="585" t="s">
        <v>2506</v>
      </c>
      <c r="C16" s="2083"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5"/>
      <c r="M16" s="2939"/>
      <c r="N16" s="2939"/>
      <c r="O16" s="2939"/>
      <c r="P16" s="3295"/>
      <c r="Q16" s="1534" t="str">
        <f>B16</f>
        <v>公共配套设施</v>
      </c>
      <c r="R16" s="712" t="s">
        <v>17</v>
      </c>
      <c r="S16" s="713">
        <f>F16</f>
        <v>100</v>
      </c>
      <c r="T16" s="712" t="s">
        <v>17</v>
      </c>
      <c r="U16" s="713">
        <f>H16</f>
        <v>100</v>
      </c>
      <c r="V16" s="712" t="s">
        <v>17</v>
      </c>
      <c r="W16" s="713">
        <f>J16</f>
        <v>100</v>
      </c>
      <c r="X16" s="1537"/>
      <c r="Y16" s="3295"/>
      <c r="Z16" s="1538" t="str">
        <f>Q16</f>
        <v>公共配套设施</v>
      </c>
      <c r="AA16" s="1535">
        <f t="shared" si="3"/>
        <v>1</v>
      </c>
      <c r="AB16" s="1535">
        <f t="shared" si="4"/>
        <v>1</v>
      </c>
      <c r="AC16" s="1535">
        <f t="shared" si="5"/>
        <v>1</v>
      </c>
    </row>
    <row r="17" spans="1:29" ht="15">
      <c r="A17" s="362"/>
      <c r="B17" s="586"/>
      <c r="C17" s="2084"/>
      <c r="D17" s="405"/>
      <c r="E17" s="404"/>
      <c r="F17" s="406"/>
      <c r="G17" s="404"/>
      <c r="H17" s="405"/>
      <c r="I17" s="404"/>
      <c r="J17" s="405"/>
      <c r="K17" s="570"/>
      <c r="L17" s="2945"/>
      <c r="M17" s="2939"/>
      <c r="N17" s="2939"/>
      <c r="O17" s="2939"/>
      <c r="P17" s="3295"/>
      <c r="Q17" s="1534"/>
      <c r="R17" s="712"/>
      <c r="S17" s="713"/>
      <c r="T17" s="712"/>
      <c r="U17" s="713"/>
      <c r="V17" s="712"/>
      <c r="W17" s="713"/>
      <c r="X17" s="1537"/>
      <c r="Y17" s="3295"/>
      <c r="Z17" s="1538"/>
      <c r="AA17" s="1535">
        <v>1</v>
      </c>
      <c r="AB17" s="1535">
        <v>1</v>
      </c>
      <c r="AC17" s="1535">
        <v>1</v>
      </c>
    </row>
    <row r="18" spans="1:29" ht="28.5">
      <c r="A18" s="362"/>
      <c r="B18" s="587" t="s">
        <v>2507</v>
      </c>
      <c r="C18" s="2083"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5"/>
      <c r="M18" s="2939"/>
      <c r="N18" s="2939"/>
      <c r="O18" s="2939"/>
      <c r="P18" s="3295"/>
      <c r="Q18" s="1534" t="str">
        <f>B18</f>
        <v>基础设施水平</v>
      </c>
      <c r="R18" s="712" t="s">
        <v>17</v>
      </c>
      <c r="S18" s="713">
        <f>F18</f>
        <v>100</v>
      </c>
      <c r="T18" s="712" t="s">
        <v>17</v>
      </c>
      <c r="U18" s="713">
        <f>H18</f>
        <v>100</v>
      </c>
      <c r="V18" s="712" t="s">
        <v>17</v>
      </c>
      <c r="W18" s="713">
        <f>J18</f>
        <v>100</v>
      </c>
      <c r="X18" s="1537"/>
      <c r="Y18" s="3295"/>
      <c r="Z18" s="1538" t="str">
        <f>Q18</f>
        <v>基础设施水平</v>
      </c>
      <c r="AA18" s="1535">
        <f t="shared" ref="AA18" si="8">D18/F18</f>
        <v>1</v>
      </c>
      <c r="AB18" s="1535">
        <f t="shared" ref="AB18" si="9">D18/H18</f>
        <v>1</v>
      </c>
      <c r="AC18" s="1535">
        <f t="shared" ref="AC18" si="10">D18/J18</f>
        <v>1</v>
      </c>
    </row>
    <row r="19" spans="1:29" ht="15">
      <c r="A19" s="362"/>
      <c r="B19" s="587"/>
      <c r="C19" s="2084"/>
      <c r="D19" s="407"/>
      <c r="E19" s="2084"/>
      <c r="F19" s="410"/>
      <c r="G19" s="2084"/>
      <c r="H19" s="405"/>
      <c r="I19" s="404"/>
      <c r="J19" s="405"/>
      <c r="K19" s="1290"/>
      <c r="L19" s="2945"/>
      <c r="M19" s="2939"/>
      <c r="N19" s="2939"/>
      <c r="O19" s="2939"/>
      <c r="P19" s="3295"/>
      <c r="Q19" s="1534"/>
      <c r="R19" s="712"/>
      <c r="S19" s="713"/>
      <c r="T19" s="712"/>
      <c r="U19" s="713"/>
      <c r="V19" s="712"/>
      <c r="W19" s="713"/>
      <c r="X19" s="1537"/>
      <c r="Y19" s="3295"/>
      <c r="Z19" s="1538"/>
      <c r="AA19" s="1535">
        <v>1</v>
      </c>
      <c r="AB19" s="1535">
        <v>1</v>
      </c>
      <c r="AC19" s="1535">
        <v>1</v>
      </c>
    </row>
    <row r="20" spans="1:29" ht="57">
      <c r="A20" s="362"/>
      <c r="B20" s="585" t="s">
        <v>2528</v>
      </c>
      <c r="C20" s="2083"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5"/>
      <c r="M20" s="2939"/>
      <c r="N20" s="2939"/>
      <c r="O20" s="2939"/>
      <c r="P20" s="3295"/>
      <c r="Q20" s="1534" t="str">
        <f>B20</f>
        <v>自然及人文环境</v>
      </c>
      <c r="R20" s="712" t="s">
        <v>17</v>
      </c>
      <c r="S20" s="713">
        <f>F20</f>
        <v>100</v>
      </c>
      <c r="T20" s="712" t="s">
        <v>17</v>
      </c>
      <c r="U20" s="713">
        <f>H20</f>
        <v>100</v>
      </c>
      <c r="V20" s="712" t="s">
        <v>17</v>
      </c>
      <c r="W20" s="713">
        <f>J20</f>
        <v>100</v>
      </c>
      <c r="X20" s="1537"/>
      <c r="Y20" s="3295"/>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5"/>
      <c r="M21" s="2939"/>
      <c r="N21" s="2939"/>
      <c r="O21" s="2939"/>
      <c r="P21" s="3295"/>
      <c r="Q21" s="1534"/>
      <c r="R21" s="712"/>
      <c r="S21" s="713"/>
      <c r="T21" s="712"/>
      <c r="U21" s="713"/>
      <c r="V21" s="712"/>
      <c r="W21" s="713"/>
      <c r="X21" s="1537"/>
      <c r="Y21" s="3295"/>
      <c r="Z21" s="1538"/>
      <c r="AA21" s="1535">
        <v>1</v>
      </c>
      <c r="AB21" s="1535">
        <v>1</v>
      </c>
      <c r="AC21" s="1535">
        <v>1</v>
      </c>
    </row>
    <row r="22" spans="1:29" ht="15">
      <c r="A22" s="362"/>
      <c r="B22" s="585" t="s">
        <v>2529</v>
      </c>
      <c r="C22" s="571"/>
      <c r="D22" s="407">
        <v>100</v>
      </c>
      <c r="E22" s="571"/>
      <c r="F22" s="418">
        <f>SUMIF(71:71,E22,72:72)-SUMIF(71:71,C22,72:72)+100</f>
        <v>100</v>
      </c>
      <c r="G22" s="571"/>
      <c r="H22" s="392">
        <f>SUMIF(71:71,G22,72:72)-SUMIF(71:71,C22,72:72)+100</f>
        <v>100</v>
      </c>
      <c r="I22" s="571"/>
      <c r="J22" s="392">
        <f>SUMIF(71:71,I22,72:72)-SUMIF(71:71,C22,72:72)+100</f>
        <v>100</v>
      </c>
      <c r="K22" s="567"/>
      <c r="L22" s="2945"/>
      <c r="M22" s="2939"/>
      <c r="N22" s="2939"/>
      <c r="O22" s="2939"/>
      <c r="P22" s="3295"/>
      <c r="Q22" s="1534" t="str">
        <f>B22</f>
        <v>楼层</v>
      </c>
      <c r="R22" s="712" t="s">
        <v>17</v>
      </c>
      <c r="S22" s="713">
        <f>F22</f>
        <v>100</v>
      </c>
      <c r="T22" s="712" t="s">
        <v>17</v>
      </c>
      <c r="U22" s="713">
        <f>H22</f>
        <v>100</v>
      </c>
      <c r="V22" s="712" t="s">
        <v>17</v>
      </c>
      <c r="W22" s="713">
        <f>J22</f>
        <v>100</v>
      </c>
      <c r="X22" s="1537"/>
      <c r="Y22" s="3295"/>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5"/>
      <c r="M23" s="2939"/>
      <c r="N23" s="2939"/>
      <c r="O23" s="2939"/>
      <c r="P23" s="3295"/>
      <c r="Q23" s="1534">
        <f>B23</f>
        <v>111</v>
      </c>
      <c r="R23" s="712" t="s">
        <v>17</v>
      </c>
      <c r="S23" s="713">
        <f>F23</f>
        <v>100</v>
      </c>
      <c r="T23" s="712" t="s">
        <v>17</v>
      </c>
      <c r="U23" s="713">
        <f>H23</f>
        <v>100</v>
      </c>
      <c r="V23" s="712" t="s">
        <v>17</v>
      </c>
      <c r="W23" s="713">
        <f>J23</f>
        <v>100</v>
      </c>
      <c r="X23" s="1537"/>
      <c r="Y23" s="3295"/>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5"/>
      <c r="M24" s="2939"/>
      <c r="N24" s="2939"/>
      <c r="O24" s="2939"/>
      <c r="P24" s="3295"/>
      <c r="Q24" s="1534">
        <f t="shared" ref="Q24:Q36" si="11">B24</f>
        <v>111</v>
      </c>
      <c r="R24" s="712" t="s">
        <v>17</v>
      </c>
      <c r="S24" s="713">
        <f>F24</f>
        <v>100</v>
      </c>
      <c r="T24" s="712" t="s">
        <v>17</v>
      </c>
      <c r="U24" s="713">
        <f>H24</f>
        <v>100</v>
      </c>
      <c r="V24" s="712" t="s">
        <v>17</v>
      </c>
      <c r="W24" s="713">
        <f>J24</f>
        <v>100</v>
      </c>
      <c r="X24" s="1537"/>
      <c r="Y24" s="3295"/>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0"/>
      <c r="M25" s="2941"/>
      <c r="N25" s="2941"/>
      <c r="O25" s="2941"/>
      <c r="P25" s="3295"/>
      <c r="Q25" s="1525">
        <f t="shared" si="11"/>
        <v>111</v>
      </c>
      <c r="R25" s="708" t="s">
        <v>17</v>
      </c>
      <c r="S25" s="709">
        <f>F25</f>
        <v>100</v>
      </c>
      <c r="T25" s="708" t="s">
        <v>17</v>
      </c>
      <c r="U25" s="709">
        <f>H25</f>
        <v>100</v>
      </c>
      <c r="V25" s="708" t="s">
        <v>17</v>
      </c>
      <c r="W25" s="709">
        <f>J25</f>
        <v>100</v>
      </c>
      <c r="X25" s="710"/>
      <c r="Y25" s="3295"/>
      <c r="Z25" s="54">
        <f>Q25</f>
        <v>111</v>
      </c>
      <c r="AA25" s="1535">
        <f>D25/F25</f>
        <v>1</v>
      </c>
      <c r="AB25" s="1535">
        <f>D25/H25</f>
        <v>1</v>
      </c>
      <c r="AC25" s="1535">
        <f>D25/J25</f>
        <v>1</v>
      </c>
    </row>
    <row r="26" spans="1:29" ht="28.5">
      <c r="A26" s="606" t="s">
        <v>2381</v>
      </c>
      <c r="B26" s="65" t="s">
        <v>2530</v>
      </c>
      <c r="C26" s="2155">
        <f>B1</f>
        <v>0</v>
      </c>
      <c r="D26" s="405">
        <v>100</v>
      </c>
      <c r="E26" s="404"/>
      <c r="F26" s="406">
        <f>SUMIF(79:79,E26,80:80)-SUMIF(79:79,C26,80:80)+100</f>
        <v>100</v>
      </c>
      <c r="G26" s="404"/>
      <c r="H26" s="405">
        <f>SUMIF(79:79,G26,80:80)-SUMIF(79:79,C26,80:80)+100</f>
        <v>100</v>
      </c>
      <c r="I26" s="404"/>
      <c r="J26" s="405">
        <f>SUMIF(79:79,I26,80:80)-SUMIF(79:79,C26,80:80)+100</f>
        <v>100</v>
      </c>
      <c r="K26" s="567"/>
      <c r="L26" s="2945"/>
      <c r="M26" s="2939"/>
      <c r="N26" s="2939"/>
      <c r="O26" s="2939"/>
      <c r="P26" s="3296" t="s">
        <v>2383</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297" t="s">
        <v>2383</v>
      </c>
      <c r="Z26" s="1538" t="str">
        <f t="shared" ref="Z26:Z36" si="15">Q26</f>
        <v>配套类型</v>
      </c>
      <c r="AA26" s="1535">
        <f t="shared" si="3"/>
        <v>1</v>
      </c>
      <c r="AB26" s="1535">
        <f t="shared" si="4"/>
        <v>1</v>
      </c>
      <c r="AC26" s="1535">
        <f t="shared" si="5"/>
        <v>1</v>
      </c>
    </row>
    <row r="27" spans="1:29" s="428" customFormat="1" ht="15">
      <c r="A27" s="607"/>
      <c r="B27" s="608" t="s">
        <v>2531</v>
      </c>
      <c r="C27" s="609"/>
      <c r="D27" s="130">
        <v>100</v>
      </c>
      <c r="E27" s="609"/>
      <c r="F27" s="418">
        <f>SUMIF(81:81,E27,82:82)-SUMIF(81:81,C27,82:82)+100</f>
        <v>100</v>
      </c>
      <c r="G27" s="609"/>
      <c r="H27" s="392">
        <f>SUMIF(81:81,G27,82:82)-SUMIF(81:81,C27,82:82)+100</f>
        <v>100</v>
      </c>
      <c r="I27" s="609"/>
      <c r="J27" s="392">
        <f>SUMIF(81:81,I27,82:82)-SUMIF(81:81,C27,82:82)+100</f>
        <v>100</v>
      </c>
      <c r="K27" s="568"/>
      <c r="L27" s="2944"/>
      <c r="M27" s="2946"/>
      <c r="N27" s="2946"/>
      <c r="O27" s="2946"/>
      <c r="P27" s="3297"/>
      <c r="Q27" s="714" t="str">
        <f t="shared" si="11"/>
        <v>项目停车位配比</v>
      </c>
      <c r="R27" s="715" t="s">
        <v>17</v>
      </c>
      <c r="S27" s="716">
        <f t="shared" si="12"/>
        <v>100</v>
      </c>
      <c r="T27" s="715" t="s">
        <v>17</v>
      </c>
      <c r="U27" s="716">
        <f t="shared" si="13"/>
        <v>100</v>
      </c>
      <c r="V27" s="715" t="s">
        <v>17</v>
      </c>
      <c r="W27" s="716">
        <f t="shared" si="14"/>
        <v>100</v>
      </c>
      <c r="X27" s="717"/>
      <c r="Y27" s="3297"/>
      <c r="Z27" s="718" t="str">
        <f t="shared" si="15"/>
        <v>项目停车位配比</v>
      </c>
      <c r="AA27" s="1535">
        <f t="shared" si="3"/>
        <v>1</v>
      </c>
      <c r="AB27" s="1535">
        <f t="shared" si="4"/>
        <v>1</v>
      </c>
      <c r="AC27" s="1535">
        <f t="shared" si="5"/>
        <v>1</v>
      </c>
    </row>
    <row r="28" spans="1:29" ht="15">
      <c r="A28" s="610"/>
      <c r="B28" s="608" t="s">
        <v>2532</v>
      </c>
      <c r="C28" s="417"/>
      <c r="D28" s="392">
        <v>100</v>
      </c>
      <c r="E28" s="417"/>
      <c r="F28" s="418">
        <f>SUMIF(83:83,E28,84:84)-SUMIF(83:83,C28,84:84)+100</f>
        <v>100</v>
      </c>
      <c r="G28" s="417"/>
      <c r="H28" s="392">
        <f>SUMIF(83:83,G28,84:84)-SUMIF(83:83,C28,84:84)+100</f>
        <v>100</v>
      </c>
      <c r="I28" s="417"/>
      <c r="J28" s="392">
        <f>SUMIF(83:83,I28,84:84)-SUMIF(83:83,C28,84:84)+100</f>
        <v>100</v>
      </c>
      <c r="K28" s="567"/>
      <c r="L28" s="2945"/>
      <c r="M28" s="2939"/>
      <c r="N28" s="2939"/>
      <c r="O28" s="2939"/>
      <c r="P28" s="3297"/>
      <c r="Q28" s="1534" t="str">
        <f t="shared" si="11"/>
        <v>公共部分装修</v>
      </c>
      <c r="R28" s="712" t="s">
        <v>17</v>
      </c>
      <c r="S28" s="713">
        <f t="shared" si="12"/>
        <v>100</v>
      </c>
      <c r="T28" s="712" t="s">
        <v>17</v>
      </c>
      <c r="U28" s="713">
        <f t="shared" si="13"/>
        <v>100</v>
      </c>
      <c r="V28" s="712" t="s">
        <v>17</v>
      </c>
      <c r="W28" s="713">
        <f t="shared" si="14"/>
        <v>100</v>
      </c>
      <c r="X28" s="1537"/>
      <c r="Y28" s="3297"/>
      <c r="Z28" s="1538" t="str">
        <f t="shared" si="15"/>
        <v>公共部分装修</v>
      </c>
      <c r="AA28" s="1535">
        <f t="shared" si="3"/>
        <v>1</v>
      </c>
      <c r="AB28" s="1535">
        <f t="shared" si="4"/>
        <v>1</v>
      </c>
      <c r="AC28" s="1535">
        <f t="shared" si="5"/>
        <v>1</v>
      </c>
    </row>
    <row r="29" spans="1:29" ht="15">
      <c r="A29" s="610"/>
      <c r="B29" s="608" t="s">
        <v>2533</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5"/>
      <c r="M29" s="2939"/>
      <c r="N29" s="2939"/>
      <c r="O29" s="2939"/>
      <c r="P29" s="3297"/>
      <c r="Q29" s="1534" t="str">
        <f t="shared" si="11"/>
        <v>成新率</v>
      </c>
      <c r="R29" s="712" t="s">
        <v>17</v>
      </c>
      <c r="S29" s="713" t="e">
        <f t="shared" si="12"/>
        <v>#N/A</v>
      </c>
      <c r="T29" s="712" t="s">
        <v>17</v>
      </c>
      <c r="U29" s="713" t="e">
        <f t="shared" si="13"/>
        <v>#N/A</v>
      </c>
      <c r="V29" s="712" t="s">
        <v>17</v>
      </c>
      <c r="W29" s="713" t="e">
        <f t="shared" si="14"/>
        <v>#N/A</v>
      </c>
      <c r="X29" s="1537"/>
      <c r="Y29" s="3297"/>
      <c r="Z29" s="1538" t="str">
        <f t="shared" si="15"/>
        <v>成新率</v>
      </c>
      <c r="AA29" s="1535" t="e">
        <f t="shared" si="3"/>
        <v>#N/A</v>
      </c>
      <c r="AB29" s="1535" t="e">
        <f t="shared" si="4"/>
        <v>#N/A</v>
      </c>
      <c r="AC29" s="1535" t="e">
        <f t="shared" si="5"/>
        <v>#N/A</v>
      </c>
    </row>
    <row r="30" spans="1:29" ht="15">
      <c r="A30" s="610"/>
      <c r="B30" s="608" t="s">
        <v>2534</v>
      </c>
      <c r="C30" s="611"/>
      <c r="D30" s="392">
        <v>100</v>
      </c>
      <c r="E30" s="611"/>
      <c r="F30" s="418">
        <f>SUMIF(88:88,E30,89:89)-SUMIF(88:88,C30,89:89)+100</f>
        <v>100</v>
      </c>
      <c r="G30" s="611"/>
      <c r="H30" s="392">
        <f>SUMIF(88:88,E30,89:89)-SUMIF(88:88,C30,89:89)+100</f>
        <v>100</v>
      </c>
      <c r="I30" s="611"/>
      <c r="J30" s="392">
        <f>SUMIF(88:88,E30,89:89)-SUMIF(88:88,C30,89:89)+100</f>
        <v>100</v>
      </c>
      <c r="K30" s="567"/>
      <c r="L30" s="2945"/>
      <c r="M30" s="2939"/>
      <c r="N30" s="2939"/>
      <c r="O30" s="2939"/>
      <c r="P30" s="3297"/>
      <c r="Q30" s="1534" t="str">
        <f t="shared" si="11"/>
        <v>物业等级</v>
      </c>
      <c r="R30" s="712" t="s">
        <v>17</v>
      </c>
      <c r="S30" s="713">
        <f t="shared" si="12"/>
        <v>100</v>
      </c>
      <c r="T30" s="712" t="s">
        <v>17</v>
      </c>
      <c r="U30" s="713">
        <f t="shared" si="13"/>
        <v>100</v>
      </c>
      <c r="V30" s="712" t="s">
        <v>17</v>
      </c>
      <c r="W30" s="713">
        <f t="shared" si="14"/>
        <v>100</v>
      </c>
      <c r="X30" s="1537"/>
      <c r="Y30" s="3297"/>
      <c r="Z30" s="1538" t="str">
        <f t="shared" si="15"/>
        <v>物业等级</v>
      </c>
      <c r="AA30" s="1535">
        <f t="shared" si="3"/>
        <v>1</v>
      </c>
      <c r="AB30" s="1535">
        <f t="shared" si="4"/>
        <v>1</v>
      </c>
      <c r="AC30" s="1535">
        <f t="shared" si="5"/>
        <v>1</v>
      </c>
    </row>
    <row r="31" spans="1:29" s="112" customFormat="1" ht="15">
      <c r="A31" s="612"/>
      <c r="B31" s="608" t="s">
        <v>2535</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0"/>
      <c r="M31" s="2941"/>
      <c r="N31" s="2941"/>
      <c r="O31" s="2941"/>
      <c r="P31" s="3297"/>
      <c r="Q31" s="1525" t="str">
        <f t="shared" si="11"/>
        <v>停车位面积</v>
      </c>
      <c r="R31" s="708" t="s">
        <v>17</v>
      </c>
      <c r="S31" s="709" t="e">
        <f t="shared" si="12"/>
        <v>#N/A</v>
      </c>
      <c r="T31" s="708" t="s">
        <v>17</v>
      </c>
      <c r="U31" s="709" t="e">
        <f t="shared" si="13"/>
        <v>#N/A</v>
      </c>
      <c r="V31" s="708" t="s">
        <v>17</v>
      </c>
      <c r="W31" s="709" t="e">
        <f t="shared" si="14"/>
        <v>#N/A</v>
      </c>
      <c r="X31" s="710"/>
      <c r="Y31" s="3297"/>
      <c r="Z31" s="54" t="str">
        <f t="shared" si="15"/>
        <v>停车位面积</v>
      </c>
      <c r="AA31" s="711" t="e">
        <f t="shared" si="3"/>
        <v>#N/A</v>
      </c>
      <c r="AB31" s="711" t="e">
        <f t="shared" si="4"/>
        <v>#N/A</v>
      </c>
      <c r="AC31" s="711" t="e">
        <f t="shared" si="5"/>
        <v>#N/A</v>
      </c>
    </row>
    <row r="32" spans="1:29" ht="15">
      <c r="A32" s="610"/>
      <c r="B32" s="608" t="s">
        <v>2536</v>
      </c>
      <c r="C32" s="417"/>
      <c r="D32" s="392">
        <v>100</v>
      </c>
      <c r="E32" s="417"/>
      <c r="F32" s="418">
        <f>SUMIF(93:93,E32,94:94)-SUMIF(93:93,C32,94:94)+100</f>
        <v>100</v>
      </c>
      <c r="G32" s="417"/>
      <c r="H32" s="392">
        <f>SUMIF(93:93,G32,94:94)-SUMIF(93:93,C32,94:94)+100</f>
        <v>100</v>
      </c>
      <c r="I32" s="417"/>
      <c r="J32" s="392">
        <f>SUMIF(93:93,I32,94:94)-SUMIF(93:93,C32,94:94)+100</f>
        <v>100</v>
      </c>
      <c r="K32" s="567"/>
      <c r="L32" s="2945"/>
      <c r="M32" s="2939"/>
      <c r="N32" s="2939"/>
      <c r="O32" s="2939"/>
      <c r="P32" s="3297" t="s">
        <v>2383</v>
      </c>
      <c r="Q32" s="1534" t="str">
        <f t="shared" si="11"/>
        <v>车位类型</v>
      </c>
      <c r="R32" s="712" t="s">
        <v>17</v>
      </c>
      <c r="S32" s="713">
        <f t="shared" si="12"/>
        <v>100</v>
      </c>
      <c r="T32" s="712" t="s">
        <v>17</v>
      </c>
      <c r="U32" s="713">
        <f t="shared" si="13"/>
        <v>100</v>
      </c>
      <c r="V32" s="712" t="s">
        <v>17</v>
      </c>
      <c r="W32" s="713">
        <f t="shared" si="14"/>
        <v>100</v>
      </c>
      <c r="X32" s="1537"/>
      <c r="Y32" s="3297" t="s">
        <v>2383</v>
      </c>
      <c r="Z32" s="1538" t="str">
        <f t="shared" si="15"/>
        <v>车位类型</v>
      </c>
      <c r="AA32" s="1535">
        <f t="shared" si="3"/>
        <v>1</v>
      </c>
      <c r="AB32" s="1535">
        <f t="shared" si="4"/>
        <v>1</v>
      </c>
      <c r="AC32" s="1535">
        <f t="shared" si="5"/>
        <v>1</v>
      </c>
    </row>
    <row r="33" spans="1:29" ht="15">
      <c r="A33" s="610"/>
      <c r="B33" s="608" t="s">
        <v>2537</v>
      </c>
      <c r="C33" s="417"/>
      <c r="D33" s="392">
        <v>100</v>
      </c>
      <c r="E33" s="417"/>
      <c r="F33" s="418">
        <f>SUMIF(95:95,E33,96:96)-SUMIF(95:95,C33,96:96)+100</f>
        <v>100</v>
      </c>
      <c r="G33" s="417"/>
      <c r="H33" s="392">
        <f>SUMIF(95:95,G33,96:96)-SUMIF(95:95,C33,96:96)+100</f>
        <v>100</v>
      </c>
      <c r="I33" s="417"/>
      <c r="J33" s="392">
        <f>SUMIF(95:95,I33,96:96)-SUMIF(95:95,C33,96:96)+100</f>
        <v>100</v>
      </c>
      <c r="K33" s="567"/>
      <c r="L33" s="2945"/>
      <c r="M33" s="2939"/>
      <c r="N33" s="2939"/>
      <c r="O33" s="2939"/>
      <c r="P33" s="3297"/>
      <c r="Q33" s="1534" t="str">
        <f t="shared" si="11"/>
        <v>是否直接入户</v>
      </c>
      <c r="R33" s="712" t="s">
        <v>17</v>
      </c>
      <c r="S33" s="713">
        <f t="shared" si="12"/>
        <v>100</v>
      </c>
      <c r="T33" s="712" t="s">
        <v>17</v>
      </c>
      <c r="U33" s="713">
        <f t="shared" si="13"/>
        <v>100</v>
      </c>
      <c r="V33" s="712" t="s">
        <v>17</v>
      </c>
      <c r="W33" s="713">
        <f t="shared" si="14"/>
        <v>100</v>
      </c>
      <c r="X33" s="1537"/>
      <c r="Y33" s="3297"/>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5"/>
      <c r="M34" s="2939"/>
      <c r="N34" s="2939"/>
      <c r="O34" s="2939"/>
      <c r="P34" s="3297"/>
      <c r="Q34" s="1534">
        <f t="shared" si="11"/>
        <v>111</v>
      </c>
      <c r="R34" s="712" t="s">
        <v>17</v>
      </c>
      <c r="S34" s="713">
        <f t="shared" si="12"/>
        <v>100</v>
      </c>
      <c r="T34" s="712" t="s">
        <v>17</v>
      </c>
      <c r="U34" s="713">
        <f t="shared" si="13"/>
        <v>100</v>
      </c>
      <c r="V34" s="712" t="s">
        <v>17</v>
      </c>
      <c r="W34" s="713">
        <f t="shared" si="14"/>
        <v>100</v>
      </c>
      <c r="X34" s="1537"/>
      <c r="Y34" s="3297"/>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4"/>
      <c r="M35" s="2946"/>
      <c r="N35" s="2946"/>
      <c r="O35" s="2946"/>
      <c r="P35" s="3297"/>
      <c r="Q35" s="714">
        <f t="shared" si="11"/>
        <v>111</v>
      </c>
      <c r="R35" s="715" t="s">
        <v>17</v>
      </c>
      <c r="S35" s="716">
        <f t="shared" si="12"/>
        <v>100</v>
      </c>
      <c r="T35" s="715" t="s">
        <v>17</v>
      </c>
      <c r="U35" s="716">
        <f t="shared" si="13"/>
        <v>100</v>
      </c>
      <c r="V35" s="715" t="s">
        <v>17</v>
      </c>
      <c r="W35" s="716">
        <f t="shared" si="14"/>
        <v>100</v>
      </c>
      <c r="X35" s="717"/>
      <c r="Y35" s="3297"/>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5"/>
      <c r="M36" s="2939"/>
      <c r="N36" s="2939"/>
      <c r="O36" s="2939"/>
      <c r="P36" s="3297"/>
      <c r="Q36" s="1534">
        <f t="shared" si="11"/>
        <v>111</v>
      </c>
      <c r="R36" s="712" t="s">
        <v>17</v>
      </c>
      <c r="S36" s="713">
        <f t="shared" si="12"/>
        <v>100</v>
      </c>
      <c r="T36" s="712" t="s">
        <v>17</v>
      </c>
      <c r="U36" s="713">
        <f t="shared" si="13"/>
        <v>100</v>
      </c>
      <c r="V36" s="712" t="s">
        <v>17</v>
      </c>
      <c r="W36" s="713">
        <f t="shared" si="14"/>
        <v>100</v>
      </c>
      <c r="X36" s="1537"/>
      <c r="Y36" s="3297"/>
      <c r="Z36" s="1538">
        <f t="shared" si="15"/>
        <v>111</v>
      </c>
      <c r="AA36" s="1535">
        <f t="shared" si="3"/>
        <v>1</v>
      </c>
      <c r="AB36" s="1535">
        <f t="shared" si="4"/>
        <v>1</v>
      </c>
      <c r="AC36" s="1535">
        <f t="shared" si="5"/>
        <v>1</v>
      </c>
    </row>
    <row r="37" spans="1:29" ht="15">
      <c r="A37" s="436" t="s">
        <v>2538</v>
      </c>
      <c r="B37" s="2156" t="s">
        <v>2539</v>
      </c>
      <c r="C37" s="1314" t="s">
        <v>1</v>
      </c>
      <c r="D37" s="1315"/>
      <c r="E37" s="1316"/>
      <c r="F37" s="1317"/>
      <c r="G37" s="1318"/>
      <c r="H37" s="1319"/>
      <c r="I37" s="1316"/>
      <c r="J37" s="1319"/>
      <c r="K37" s="574"/>
      <c r="L37" s="2947"/>
      <c r="M37" s="2948"/>
      <c r="N37" s="2939"/>
      <c r="O37" s="2948"/>
      <c r="P37" s="3279" t="str">
        <f>A37</f>
        <v>成交单价</v>
      </c>
      <c r="Q37" s="3279"/>
      <c r="R37" s="3334">
        <f>E37</f>
        <v>0</v>
      </c>
      <c r="S37" s="3334"/>
      <c r="T37" s="3334">
        <f>G37</f>
        <v>0</v>
      </c>
      <c r="U37" s="3334"/>
      <c r="V37" s="3334">
        <f>I37</f>
        <v>0</v>
      </c>
      <c r="W37" s="3334"/>
      <c r="X37" s="697"/>
      <c r="Y37" s="719"/>
      <c r="Z37" s="697"/>
      <c r="AA37" s="697"/>
      <c r="AB37" s="697"/>
      <c r="AC37" s="697"/>
    </row>
    <row r="38" spans="1:29" ht="15.75" thickBot="1">
      <c r="A38" s="443" t="s">
        <v>2540</v>
      </c>
      <c r="B38" s="444" t="str">
        <f>B37</f>
        <v>元/车位</v>
      </c>
      <c r="C38" s="1320" t="e">
        <f>R39</f>
        <v>#DIV/0!</v>
      </c>
      <c r="D38" s="2535" t="s">
        <v>2876</v>
      </c>
      <c r="E38" s="1321" t="e">
        <f>R38</f>
        <v>#DIV/0!</v>
      </c>
      <c r="F38" s="2536"/>
      <c r="G38" s="1320" t="e">
        <f>T38</f>
        <v>#DIV/0!</v>
      </c>
      <c r="H38" s="2536"/>
      <c r="I38" s="1321" t="e">
        <f>V38</f>
        <v>#DIV/0!</v>
      </c>
      <c r="J38" s="2536"/>
      <c r="K38" s="2538">
        <f>F38+H38+J38</f>
        <v>0</v>
      </c>
      <c r="L38" s="2947"/>
      <c r="M38" s="2948"/>
      <c r="N38" s="2948"/>
      <c r="O38" s="2948"/>
      <c r="P38" s="3279" t="str">
        <f>A38</f>
        <v>比较价值（元/平方米）</v>
      </c>
      <c r="Q38" s="3279"/>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7"/>
      <c r="Y38" s="697"/>
      <c r="Z38" s="697"/>
      <c r="AA38" s="697"/>
      <c r="AB38" s="697"/>
      <c r="AC38" s="697"/>
    </row>
    <row r="39" spans="1:29" ht="15.75" thickBot="1">
      <c r="A39" s="447" t="s">
        <v>2541</v>
      </c>
      <c r="B39" s="448"/>
      <c r="C39" s="1323" t="e">
        <f>R39</f>
        <v>#DIV/0!</v>
      </c>
      <c r="D39" s="1323"/>
      <c r="E39" s="1323"/>
      <c r="F39" s="1323"/>
      <c r="G39" s="1323"/>
      <c r="H39" s="1323"/>
      <c r="I39" s="1323"/>
      <c r="J39" s="1323"/>
      <c r="K39" s="575"/>
      <c r="L39" s="2947"/>
      <c r="M39" s="2948"/>
      <c r="N39" s="2948"/>
      <c r="O39" s="2948"/>
      <c r="P39" s="3299" t="str">
        <f>A39</f>
        <v>估价对象XX用房的比较价值（楼面单价，元/平方米）</v>
      </c>
      <c r="Q39" s="3300"/>
      <c r="R39" s="3356" t="e">
        <f>IF(F1="售价",ROUND(IF(D38="简单平均",AVERAGE(R38:W38),R38*F38+T38*H38+V38*J38),0),ROUND(IF(D38="简单平均",AVERAGE(R38:V38),R38*F38+T38*H38+V38*J38),1))</f>
        <v>#DIV/0!</v>
      </c>
      <c r="S39" s="3356"/>
      <c r="T39" s="3356"/>
      <c r="U39" s="3356"/>
      <c r="V39" s="3356"/>
      <c r="W39" s="3356"/>
      <c r="X39" s="697"/>
      <c r="Y39" s="697"/>
      <c r="Z39" s="697"/>
      <c r="AA39" s="697"/>
      <c r="AB39" s="697"/>
      <c r="AC39" s="697"/>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2" t="s">
        <v>2542</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2" t="s">
        <v>2543</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7" customFormat="1" ht="13.5" customHeight="1">
      <c r="A44" s="2951"/>
      <c r="B44" s="2951"/>
      <c r="C44" s="452" t="s">
        <v>2544</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7"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2545</v>
      </c>
      <c r="B47" s="1056"/>
      <c r="C47" s="1069"/>
      <c r="D47" s="1069"/>
      <c r="E47" s="1069"/>
      <c r="F47" s="1327"/>
      <c r="G47" s="1327"/>
      <c r="H47" s="1069"/>
      <c r="I47" s="1069"/>
      <c r="J47" s="1069"/>
      <c r="K47" s="1070"/>
      <c r="L47" s="1071"/>
      <c r="M47" s="1069"/>
      <c r="N47" s="2992"/>
      <c r="O47" s="2992"/>
      <c r="P47" s="2981"/>
      <c r="Q47" s="2962"/>
      <c r="R47" s="2948"/>
      <c r="S47" s="2948"/>
      <c r="T47" s="2948"/>
      <c r="U47" s="2948"/>
      <c r="V47" s="2948"/>
      <c r="W47" s="2948"/>
      <c r="X47" s="2948"/>
      <c r="Y47" s="2948"/>
      <c r="Z47" s="2948"/>
      <c r="AA47" s="2948"/>
      <c r="AB47" s="2948"/>
      <c r="AC47" s="2948"/>
    </row>
    <row r="48" spans="1:29" s="463" customFormat="1" ht="15">
      <c r="A48" s="460" t="s">
        <v>2546</v>
      </c>
      <c r="B48" s="461"/>
      <c r="C48" s="1343" t="str">
        <f>YEAR(C7)&amp;"-"&amp;MONTH(C7)</f>
        <v>2021-4</v>
      </c>
      <c r="D48" s="1344">
        <f>EDATE(C48,-1)</f>
        <v>44256</v>
      </c>
      <c r="E48" s="1344">
        <f t="shared" ref="E48:O48" si="16">EDATE(D48,-1)</f>
        <v>44228</v>
      </c>
      <c r="F48" s="1344">
        <f t="shared" si="16"/>
        <v>44197</v>
      </c>
      <c r="G48" s="1344">
        <f t="shared" si="16"/>
        <v>44166</v>
      </c>
      <c r="H48" s="1344">
        <f t="shared" si="16"/>
        <v>44136</v>
      </c>
      <c r="I48" s="1344">
        <f t="shared" si="16"/>
        <v>44105</v>
      </c>
      <c r="J48" s="1344">
        <f t="shared" si="16"/>
        <v>44075</v>
      </c>
      <c r="K48" s="1344">
        <f t="shared" si="16"/>
        <v>44044</v>
      </c>
      <c r="L48" s="1344">
        <f t="shared" si="16"/>
        <v>44013</v>
      </c>
      <c r="M48" s="1344">
        <f t="shared" si="16"/>
        <v>43983</v>
      </c>
      <c r="N48" s="1344">
        <f t="shared" si="16"/>
        <v>43952</v>
      </c>
      <c r="O48" s="1344">
        <f t="shared" si="16"/>
        <v>43922</v>
      </c>
      <c r="P48" s="2982"/>
      <c r="Q48" s="2964"/>
      <c r="R48" s="2964"/>
      <c r="S48" s="2964"/>
      <c r="T48" s="2964"/>
      <c r="U48" s="2964"/>
      <c r="V48" s="2964"/>
      <c r="W48" s="2964"/>
      <c r="X48" s="2964"/>
      <c r="Y48" s="2964"/>
      <c r="Z48" s="2964"/>
      <c r="AA48" s="2964"/>
      <c r="AB48" s="2964"/>
      <c r="AC48" s="2964"/>
    </row>
    <row r="49" spans="1:29" s="112" customFormat="1" ht="15">
      <c r="A49" s="464"/>
      <c r="B49" s="465"/>
      <c r="C49" s="1337">
        <v>100</v>
      </c>
      <c r="D49" s="467"/>
      <c r="E49" s="467"/>
      <c r="F49" s="467"/>
      <c r="G49" s="467"/>
      <c r="H49" s="467"/>
      <c r="I49" s="467"/>
      <c r="J49" s="467"/>
      <c r="K49" s="467"/>
      <c r="L49" s="467"/>
      <c r="M49" s="468"/>
      <c r="N49" s="467"/>
      <c r="O49" s="468"/>
      <c r="P49" s="2983"/>
      <c r="Q49" s="2882"/>
      <c r="R49" s="2882"/>
      <c r="S49" s="2882"/>
      <c r="T49" s="2882"/>
      <c r="U49" s="2882"/>
      <c r="V49" s="2882"/>
      <c r="W49" s="2882"/>
      <c r="X49" s="2882"/>
      <c r="Y49" s="2882"/>
      <c r="Z49" s="2882"/>
      <c r="AA49" s="2882"/>
      <c r="AB49" s="2882"/>
      <c r="AC49" s="2882"/>
    </row>
    <row r="50" spans="1:29" s="112" customFormat="1" ht="15.75" thickBot="1">
      <c r="A50" s="470" t="s">
        <v>2403</v>
      </c>
      <c r="B50" s="471"/>
      <c r="C50" s="472"/>
      <c r="D50" s="473"/>
      <c r="E50" s="473"/>
      <c r="F50" s="473"/>
      <c r="G50" s="473"/>
      <c r="H50" s="473"/>
      <c r="I50" s="473"/>
      <c r="J50" s="473"/>
      <c r="K50" s="473"/>
      <c r="L50" s="473"/>
      <c r="M50" s="474"/>
      <c r="N50" s="473"/>
      <c r="O50" s="474"/>
      <c r="P50" s="2983"/>
      <c r="Q50" s="2962"/>
      <c r="R50" s="2882"/>
      <c r="S50" s="2882"/>
      <c r="T50" s="2882"/>
      <c r="U50" s="2882"/>
      <c r="V50" s="2882"/>
      <c r="W50" s="2882"/>
      <c r="X50" s="2882"/>
      <c r="Y50" s="2882"/>
      <c r="Z50" s="2882"/>
      <c r="AA50" s="2882"/>
      <c r="AB50" s="2882"/>
      <c r="AC50" s="2882"/>
    </row>
    <row r="51" spans="1:29" s="112" customFormat="1" ht="15">
      <c r="A51" s="476" t="s">
        <v>2368</v>
      </c>
      <c r="B51" s="465"/>
      <c r="C51" s="477" t="s">
        <v>2470</v>
      </c>
      <c r="D51" s="478"/>
      <c r="E51" s="478"/>
      <c r="F51" s="478"/>
      <c r="G51" s="478"/>
      <c r="H51" s="478"/>
      <c r="I51" s="478"/>
      <c r="J51" s="478"/>
      <c r="K51" s="478"/>
      <c r="L51" s="479"/>
      <c r="M51" s="480"/>
      <c r="N51" s="2975"/>
      <c r="O51" s="2975"/>
      <c r="P51" s="2984"/>
      <c r="Q51" s="2962"/>
      <c r="R51" s="2882"/>
      <c r="S51" s="2882"/>
      <c r="T51" s="2882"/>
      <c r="U51" s="2882"/>
      <c r="V51" s="2882"/>
      <c r="W51" s="2882"/>
      <c r="X51" s="2882"/>
      <c r="Y51" s="2882"/>
      <c r="Z51" s="2882"/>
      <c r="AA51" s="2882"/>
      <c r="AB51" s="2882"/>
      <c r="AC51" s="2882"/>
    </row>
    <row r="52" spans="1:29" s="112" customFormat="1" ht="15.75" thickBot="1">
      <c r="A52" s="476"/>
      <c r="B52" s="465"/>
      <c r="C52" s="593">
        <v>100</v>
      </c>
      <c r="D52" s="467"/>
      <c r="E52" s="467"/>
      <c r="F52" s="467"/>
      <c r="G52" s="467"/>
      <c r="H52" s="467"/>
      <c r="I52" s="467"/>
      <c r="J52" s="467"/>
      <c r="K52" s="467"/>
      <c r="L52" s="467"/>
      <c r="M52" s="469"/>
      <c r="N52" s="2975"/>
      <c r="O52" s="2975"/>
      <c r="P52" s="2983"/>
      <c r="Q52" s="2962"/>
      <c r="R52" s="2882"/>
      <c r="S52" s="2882"/>
      <c r="T52" s="2882"/>
      <c r="U52" s="2882"/>
      <c r="V52" s="2882"/>
      <c r="W52" s="2882"/>
      <c r="X52" s="2882"/>
      <c r="Y52" s="2882"/>
      <c r="Z52" s="2882"/>
      <c r="AA52" s="2882"/>
      <c r="AB52" s="2882"/>
      <c r="AC52" s="2882"/>
    </row>
    <row r="53" spans="1:29">
      <c r="A53" s="482" t="s">
        <v>2406</v>
      </c>
      <c r="B53" s="483" t="s">
        <v>2372</v>
      </c>
      <c r="C53" s="484">
        <f>C9</f>
        <v>0</v>
      </c>
      <c r="D53" s="485"/>
      <c r="E53" s="485"/>
      <c r="F53" s="485"/>
      <c r="G53" s="485"/>
      <c r="H53" s="485"/>
      <c r="I53" s="485"/>
      <c r="J53" s="485"/>
      <c r="K53" s="486"/>
      <c r="L53" s="487"/>
      <c r="M53" s="488"/>
      <c r="N53" s="2976"/>
      <c r="O53" s="2976"/>
      <c r="P53" s="2985"/>
      <c r="Q53" s="2962"/>
      <c r="R53" s="2948"/>
      <c r="S53" s="2948"/>
      <c r="T53" s="2948"/>
      <c r="U53" s="2948"/>
      <c r="V53" s="2948"/>
      <c r="W53" s="2948"/>
      <c r="X53" s="2948"/>
      <c r="Y53" s="2948"/>
      <c r="Z53" s="2948"/>
      <c r="AA53" s="2948"/>
      <c r="AB53" s="2948"/>
      <c r="AC53" s="2948"/>
    </row>
    <row r="54" spans="1:29" ht="15.75" thickBot="1">
      <c r="A54" s="489"/>
      <c r="B54" s="490"/>
      <c r="C54" s="491">
        <v>100</v>
      </c>
      <c r="D54" s="491"/>
      <c r="E54" s="491"/>
      <c r="F54" s="491"/>
      <c r="G54" s="491"/>
      <c r="H54" s="491"/>
      <c r="I54" s="491"/>
      <c r="J54" s="491"/>
      <c r="K54" s="491"/>
      <c r="L54" s="491"/>
      <c r="M54" s="492"/>
      <c r="N54" s="2977"/>
      <c r="O54" s="2977"/>
      <c r="P54" s="2985"/>
      <c r="Q54" s="2962"/>
      <c r="R54" s="2948"/>
      <c r="S54" s="2948"/>
      <c r="T54" s="2948"/>
      <c r="U54" s="2948"/>
      <c r="V54" s="2948"/>
      <c r="W54" s="2948"/>
      <c r="X54" s="2948"/>
      <c r="Y54" s="2948"/>
      <c r="Z54" s="2948"/>
      <c r="AA54" s="2948"/>
      <c r="AB54" s="2948"/>
      <c r="AC54" s="2948"/>
    </row>
    <row r="55" spans="1:29" ht="27.75" thickTop="1">
      <c r="A55" s="489"/>
      <c r="B55" s="493" t="s">
        <v>2375</v>
      </c>
      <c r="C55" s="494" t="s">
        <v>2407</v>
      </c>
      <c r="D55" s="494" t="s">
        <v>2408</v>
      </c>
      <c r="E55" s="494" t="s">
        <v>2409</v>
      </c>
      <c r="F55" s="494" t="s">
        <v>2410</v>
      </c>
      <c r="G55" s="494" t="s">
        <v>2411</v>
      </c>
      <c r="H55" s="494" t="s">
        <v>2412</v>
      </c>
      <c r="I55" s="494" t="s">
        <v>2413</v>
      </c>
      <c r="J55" s="494"/>
      <c r="K55" s="495"/>
      <c r="L55" s="496"/>
      <c r="M55" s="497"/>
      <c r="N55" s="2976"/>
      <c r="O55" s="2976"/>
      <c r="P55" s="2985"/>
      <c r="Q55" s="2962"/>
      <c r="R55" s="2948"/>
      <c r="S55" s="2948"/>
      <c r="T55" s="2948"/>
      <c r="U55" s="2948"/>
      <c r="V55" s="2948"/>
      <c r="W55" s="2948"/>
      <c r="X55" s="2948"/>
      <c r="Y55" s="2948"/>
      <c r="Z55" s="2948"/>
      <c r="AA55" s="2948"/>
      <c r="AB55" s="2948"/>
      <c r="AC55" s="2948"/>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77"/>
      <c r="O56" s="2977"/>
      <c r="P56" s="2985"/>
      <c r="Q56" s="2962"/>
      <c r="R56" s="2948"/>
      <c r="S56" s="2948"/>
      <c r="T56" s="2948"/>
      <c r="U56" s="2948"/>
      <c r="V56" s="2948"/>
      <c r="W56" s="2948"/>
      <c r="X56" s="2948"/>
      <c r="Y56" s="2948"/>
      <c r="Z56" s="2948"/>
      <c r="AA56" s="2948"/>
      <c r="AB56" s="2948"/>
      <c r="AC56" s="2948"/>
    </row>
    <row r="57" spans="1:29" ht="15.75" thickTop="1">
      <c r="A57" s="489"/>
      <c r="B57" s="614">
        <f>B11</f>
        <v>111</v>
      </c>
      <c r="C57" s="504"/>
      <c r="D57" s="504"/>
      <c r="E57" s="504"/>
      <c r="F57" s="504"/>
      <c r="G57" s="504"/>
      <c r="H57" s="504"/>
      <c r="I57" s="504"/>
      <c r="J57" s="504"/>
      <c r="K57" s="505"/>
      <c r="L57" s="506"/>
      <c r="M57" s="507"/>
      <c r="N57" s="2976"/>
      <c r="O57" s="2976"/>
      <c r="P57" s="2985"/>
      <c r="Q57" s="2962"/>
      <c r="R57" s="2948"/>
      <c r="S57" s="2948"/>
      <c r="T57" s="2948"/>
      <c r="U57" s="2948"/>
      <c r="V57" s="2948"/>
      <c r="W57" s="2948"/>
      <c r="X57" s="2948"/>
      <c r="Y57" s="2948"/>
      <c r="Z57" s="2948"/>
      <c r="AA57" s="2948"/>
      <c r="AB57" s="2948"/>
      <c r="AC57" s="2948"/>
    </row>
    <row r="58" spans="1:29" ht="15.75" thickBot="1">
      <c r="A58" s="489"/>
      <c r="B58" s="490"/>
      <c r="C58" s="515"/>
      <c r="D58" s="491"/>
      <c r="E58" s="491"/>
      <c r="F58" s="491"/>
      <c r="G58" s="491"/>
      <c r="H58" s="491"/>
      <c r="I58" s="491"/>
      <c r="J58" s="491"/>
      <c r="K58" s="491"/>
      <c r="L58" s="491"/>
      <c r="M58" s="492"/>
      <c r="N58" s="2977"/>
      <c r="O58" s="2977"/>
      <c r="P58" s="2985"/>
      <c r="Q58" s="2962"/>
      <c r="R58" s="2948"/>
      <c r="S58" s="2948"/>
      <c r="T58" s="2948"/>
      <c r="U58" s="2948"/>
      <c r="V58" s="2948"/>
      <c r="W58" s="2948"/>
      <c r="X58" s="2948"/>
      <c r="Y58" s="2948"/>
      <c r="Z58" s="2948"/>
      <c r="AA58" s="2948"/>
      <c r="AB58" s="2948"/>
      <c r="AC58" s="2948"/>
    </row>
    <row r="59" spans="1:29" s="428" customFormat="1" ht="15.75" thickTop="1">
      <c r="A59" s="508"/>
      <c r="B59" s="493">
        <f>B12</f>
        <v>111</v>
      </c>
      <c r="C59" s="504"/>
      <c r="D59" s="504"/>
      <c r="E59" s="504"/>
      <c r="F59" s="504"/>
      <c r="G59" s="509"/>
      <c r="H59" s="510"/>
      <c r="I59" s="510"/>
      <c r="J59" s="510"/>
      <c r="K59" s="510"/>
      <c r="L59" s="511"/>
      <c r="M59" s="512"/>
      <c r="N59" s="2978"/>
      <c r="O59" s="2978"/>
      <c r="P59" s="2986"/>
      <c r="Q59" s="2969"/>
      <c r="R59" s="2970"/>
      <c r="S59" s="2970"/>
      <c r="T59" s="2970"/>
      <c r="U59" s="2970"/>
      <c r="V59" s="2970"/>
      <c r="W59" s="2970"/>
      <c r="X59" s="2970"/>
      <c r="Y59" s="2970"/>
      <c r="Z59" s="2970"/>
      <c r="AA59" s="2970"/>
      <c r="AB59" s="2970"/>
      <c r="AC59" s="2970"/>
    </row>
    <row r="60" spans="1:29" s="428" customFormat="1" ht="15.75" thickBot="1">
      <c r="A60" s="508"/>
      <c r="B60" s="498"/>
      <c r="C60" s="515"/>
      <c r="D60" s="491"/>
      <c r="E60" s="491"/>
      <c r="F60" s="491"/>
      <c r="G60" s="491"/>
      <c r="H60" s="491"/>
      <c r="I60" s="491"/>
      <c r="J60" s="491"/>
      <c r="K60" s="491"/>
      <c r="L60" s="491"/>
      <c r="M60" s="492"/>
      <c r="N60" s="2977"/>
      <c r="O60" s="2977"/>
      <c r="P60" s="2986"/>
      <c r="Q60" s="2969"/>
      <c r="R60" s="2970"/>
      <c r="S60" s="2970"/>
      <c r="T60" s="2970"/>
      <c r="U60" s="2970"/>
      <c r="V60" s="2970"/>
      <c r="W60" s="2970"/>
      <c r="X60" s="2970"/>
      <c r="Y60" s="2970"/>
      <c r="Z60" s="2970"/>
      <c r="AA60" s="2970"/>
      <c r="AB60" s="2970"/>
      <c r="AC60" s="2970"/>
    </row>
    <row r="61" spans="1:29" s="428" customFormat="1" ht="15.75" thickTop="1">
      <c r="A61" s="508"/>
      <c r="B61" s="493">
        <f>B13</f>
        <v>111</v>
      </c>
      <c r="C61" s="509"/>
      <c r="D61" s="509"/>
      <c r="E61" s="509"/>
      <c r="F61" s="509"/>
      <c r="G61" s="509"/>
      <c r="H61" s="510"/>
      <c r="I61" s="510"/>
      <c r="J61" s="510"/>
      <c r="K61" s="510"/>
      <c r="L61" s="511"/>
      <c r="M61" s="512"/>
      <c r="N61" s="2978"/>
      <c r="O61" s="2978"/>
      <c r="P61" s="2987"/>
      <c r="Q61" s="2972"/>
      <c r="R61" s="2970"/>
      <c r="S61" s="2970"/>
      <c r="T61" s="2970"/>
      <c r="U61" s="2970"/>
      <c r="V61" s="2970"/>
      <c r="W61" s="2970"/>
      <c r="X61" s="2970"/>
      <c r="Y61" s="2970"/>
      <c r="Z61" s="2970"/>
      <c r="AA61" s="2970"/>
      <c r="AB61" s="2970"/>
      <c r="AC61" s="2970"/>
    </row>
    <row r="62" spans="1:29" s="428" customFormat="1" ht="15.75" thickBot="1">
      <c r="A62" s="508"/>
      <c r="B62" s="498"/>
      <c r="C62" s="515"/>
      <c r="D62" s="515"/>
      <c r="E62" s="515"/>
      <c r="F62" s="515"/>
      <c r="G62" s="515"/>
      <c r="H62" s="517"/>
      <c r="I62" s="517"/>
      <c r="J62" s="517"/>
      <c r="K62" s="517"/>
      <c r="L62" s="517"/>
      <c r="M62" s="518"/>
      <c r="N62" s="2978"/>
      <c r="O62" s="2978"/>
      <c r="P62" s="2986"/>
      <c r="Q62" s="2969"/>
      <c r="R62" s="2970"/>
      <c r="S62" s="2970"/>
      <c r="T62" s="2970"/>
      <c r="U62" s="2970"/>
      <c r="V62" s="2970"/>
      <c r="W62" s="2970"/>
      <c r="X62" s="2970"/>
      <c r="Y62" s="2970"/>
      <c r="Z62" s="2970"/>
      <c r="AA62" s="2970"/>
      <c r="AB62" s="2970"/>
      <c r="AC62" s="2970"/>
    </row>
    <row r="63" spans="1:29" ht="15" thickTop="1">
      <c r="A63" s="482" t="s">
        <v>2377</v>
      </c>
      <c r="B63" s="483" t="s">
        <v>2420</v>
      </c>
      <c r="C63" s="528" t="s">
        <v>2415</v>
      </c>
      <c r="D63" s="528" t="s">
        <v>2416</v>
      </c>
      <c r="E63" s="528" t="s">
        <v>2417</v>
      </c>
      <c r="F63" s="528" t="s">
        <v>2418</v>
      </c>
      <c r="G63" s="528" t="s">
        <v>2419</v>
      </c>
      <c r="H63" s="484"/>
      <c r="I63" s="484"/>
      <c r="J63" s="484"/>
      <c r="K63" s="529"/>
      <c r="L63" s="530"/>
      <c r="M63" s="531"/>
      <c r="N63" s="2976"/>
      <c r="O63" s="2976"/>
      <c r="P63" s="2989"/>
      <c r="Q63" s="2962"/>
      <c r="R63" s="2948"/>
      <c r="S63" s="2948"/>
      <c r="T63" s="2948"/>
      <c r="U63" s="2948"/>
      <c r="V63" s="2948"/>
      <c r="W63" s="2948"/>
      <c r="X63" s="2948"/>
      <c r="Y63" s="2948"/>
      <c r="Z63" s="2948"/>
      <c r="AA63" s="2948"/>
      <c r="AB63" s="2948"/>
      <c r="AC63" s="2948"/>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77"/>
      <c r="O64" s="2977"/>
      <c r="P64" s="2985"/>
      <c r="Q64" s="2962"/>
      <c r="R64" s="2948"/>
      <c r="S64" s="2948"/>
      <c r="T64" s="2948"/>
      <c r="U64" s="2948"/>
      <c r="V64" s="2948"/>
      <c r="W64" s="2948"/>
      <c r="X64" s="2948"/>
      <c r="Y64" s="2948"/>
      <c r="Z64" s="2948"/>
      <c r="AA64" s="2948"/>
      <c r="AB64" s="2948"/>
      <c r="AC64" s="2948"/>
    </row>
    <row r="65" spans="1:29" ht="15.75" thickTop="1">
      <c r="A65" s="489"/>
      <c r="B65" s="493" t="s">
        <v>2421</v>
      </c>
      <c r="C65" s="533" t="s">
        <v>2415</v>
      </c>
      <c r="D65" s="533" t="s">
        <v>2416</v>
      </c>
      <c r="E65" s="533" t="s">
        <v>2417</v>
      </c>
      <c r="F65" s="533" t="s">
        <v>2418</v>
      </c>
      <c r="G65" s="533" t="s">
        <v>2419</v>
      </c>
      <c r="H65" s="494"/>
      <c r="I65" s="494"/>
      <c r="J65" s="494"/>
      <c r="K65" s="495"/>
      <c r="L65" s="496"/>
      <c r="M65" s="497"/>
      <c r="N65" s="2976"/>
      <c r="O65" s="2976"/>
      <c r="P65" s="2985"/>
      <c r="Q65" s="2962"/>
      <c r="R65" s="2948"/>
      <c r="S65" s="2948"/>
      <c r="T65" s="2948"/>
      <c r="U65" s="2948"/>
      <c r="V65" s="2948"/>
      <c r="W65" s="2948"/>
      <c r="X65" s="2948"/>
      <c r="Y65" s="2948"/>
      <c r="Z65" s="2948"/>
      <c r="AA65" s="2948"/>
      <c r="AB65" s="2948"/>
      <c r="AC65" s="2948"/>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77"/>
      <c r="O66" s="2977"/>
      <c r="P66" s="2985"/>
      <c r="Q66" s="2962"/>
      <c r="R66" s="2948"/>
      <c r="S66" s="2948"/>
      <c r="T66" s="2948"/>
      <c r="U66" s="2948"/>
      <c r="V66" s="2948"/>
      <c r="W66" s="2948"/>
      <c r="X66" s="2948"/>
      <c r="Y66" s="2948"/>
      <c r="Z66" s="2948"/>
      <c r="AA66" s="2948"/>
      <c r="AB66" s="2948"/>
      <c r="AC66" s="2948"/>
    </row>
    <row r="67" spans="1:29" ht="15.75" thickTop="1">
      <c r="A67" s="489"/>
      <c r="B67" s="501" t="s">
        <v>2507</v>
      </c>
      <c r="C67" s="614" t="s">
        <v>2493</v>
      </c>
      <c r="D67" s="614" t="s">
        <v>2494</v>
      </c>
      <c r="E67" s="614" t="s">
        <v>2495</v>
      </c>
      <c r="F67" s="614" t="s">
        <v>2496</v>
      </c>
      <c r="G67" s="614" t="s">
        <v>2497</v>
      </c>
      <c r="H67" s="494"/>
      <c r="I67" s="494"/>
      <c r="J67" s="494"/>
      <c r="K67" s="494"/>
      <c r="L67" s="494"/>
      <c r="M67" s="1289"/>
      <c r="N67" s="2977"/>
      <c r="O67" s="2977"/>
      <c r="P67" s="2985"/>
      <c r="Q67" s="2962"/>
      <c r="R67" s="2948"/>
      <c r="S67" s="2948"/>
      <c r="T67" s="2948"/>
      <c r="U67" s="2948"/>
      <c r="V67" s="2948"/>
      <c r="W67" s="2948"/>
      <c r="X67" s="2948"/>
      <c r="Y67" s="2948"/>
      <c r="Z67" s="2948"/>
      <c r="AA67" s="2948"/>
      <c r="AB67" s="2948"/>
      <c r="AC67" s="2948"/>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7"/>
      <c r="O68" s="2977"/>
      <c r="P68" s="2985"/>
      <c r="Q68" s="2962"/>
      <c r="R68" s="2948"/>
      <c r="S68" s="2948"/>
      <c r="T68" s="2948"/>
      <c r="U68" s="2948"/>
      <c r="V68" s="2948"/>
      <c r="W68" s="2948"/>
      <c r="X68" s="2948"/>
      <c r="Y68" s="2948"/>
      <c r="Z68" s="2948"/>
      <c r="AA68" s="2948"/>
      <c r="AB68" s="2948"/>
      <c r="AC68" s="2948"/>
    </row>
    <row r="69" spans="1:29" ht="15.75" thickTop="1">
      <c r="A69" s="489"/>
      <c r="B69" s="493" t="s">
        <v>2427</v>
      </c>
      <c r="C69" s="533" t="s">
        <v>2415</v>
      </c>
      <c r="D69" s="533" t="s">
        <v>2416</v>
      </c>
      <c r="E69" s="533" t="s">
        <v>2417</v>
      </c>
      <c r="F69" s="533" t="s">
        <v>2418</v>
      </c>
      <c r="G69" s="533" t="s">
        <v>2419</v>
      </c>
      <c r="H69" s="494"/>
      <c r="I69" s="494"/>
      <c r="J69" s="494"/>
      <c r="K69" s="495"/>
      <c r="L69" s="496"/>
      <c r="M69" s="497"/>
      <c r="N69" s="2976"/>
      <c r="O69" s="2976"/>
      <c r="P69" s="2985"/>
      <c r="Q69" s="2962"/>
      <c r="R69" s="2948"/>
      <c r="S69" s="2948"/>
      <c r="T69" s="2948"/>
      <c r="U69" s="2948"/>
      <c r="V69" s="2948"/>
      <c r="W69" s="2948"/>
      <c r="X69" s="2948"/>
      <c r="Y69" s="2948"/>
      <c r="Z69" s="2948"/>
      <c r="AA69" s="2948"/>
      <c r="AB69" s="2948"/>
      <c r="AC69" s="2948"/>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77"/>
      <c r="O70" s="2977"/>
      <c r="P70" s="2985"/>
      <c r="Q70" s="2962"/>
      <c r="R70" s="2948"/>
      <c r="S70" s="2948"/>
      <c r="T70" s="2948"/>
      <c r="U70" s="2948"/>
      <c r="V70" s="2948"/>
      <c r="W70" s="2948"/>
      <c r="X70" s="2948"/>
      <c r="Y70" s="2948"/>
      <c r="Z70" s="2948"/>
      <c r="AA70" s="2948"/>
      <c r="AB70" s="2948"/>
      <c r="AC70" s="2948"/>
    </row>
    <row r="71" spans="1:29" ht="15.75" thickTop="1">
      <c r="A71" s="489"/>
      <c r="B71" s="493" t="s">
        <v>2547</v>
      </c>
      <c r="C71" s="509"/>
      <c r="D71" s="509"/>
      <c r="E71" s="509"/>
      <c r="F71" s="509"/>
      <c r="G71" s="509"/>
      <c r="H71" s="538"/>
      <c r="I71" s="538"/>
      <c r="J71" s="538"/>
      <c r="K71" s="539"/>
      <c r="L71" s="540"/>
      <c r="M71" s="541"/>
      <c r="N71" s="2976"/>
      <c r="O71" s="2976"/>
      <c r="P71" s="2985"/>
      <c r="Q71" s="2962"/>
      <c r="R71" s="2948"/>
      <c r="S71" s="2948"/>
      <c r="T71" s="2948"/>
      <c r="U71" s="2948"/>
      <c r="V71" s="2948"/>
      <c r="W71" s="2948"/>
      <c r="X71" s="2948"/>
      <c r="Y71" s="2948"/>
      <c r="Z71" s="2948"/>
      <c r="AA71" s="2948"/>
      <c r="AB71" s="2948"/>
      <c r="AC71" s="2948"/>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7"/>
      <c r="O72" s="2977"/>
      <c r="P72" s="2985"/>
      <c r="Q72" s="2962"/>
      <c r="R72" s="2948"/>
      <c r="S72" s="2948"/>
      <c r="T72" s="2948"/>
      <c r="U72" s="2948"/>
      <c r="V72" s="2948"/>
      <c r="W72" s="2948"/>
      <c r="X72" s="2948"/>
      <c r="Y72" s="2948"/>
      <c r="Z72" s="2948"/>
      <c r="AA72" s="2948"/>
      <c r="AB72" s="2948"/>
      <c r="AC72" s="2948"/>
    </row>
    <row r="73" spans="1:29" s="112" customFormat="1" ht="15.75" thickTop="1">
      <c r="A73" s="534"/>
      <c r="B73" s="493">
        <f>B23</f>
        <v>111</v>
      </c>
      <c r="C73" s="504"/>
      <c r="D73" s="504"/>
      <c r="E73" s="504"/>
      <c r="F73" s="504"/>
      <c r="G73" s="509"/>
      <c r="H73" s="509"/>
      <c r="I73" s="509"/>
      <c r="J73" s="509"/>
      <c r="K73" s="509"/>
      <c r="L73" s="535"/>
      <c r="M73" s="536"/>
      <c r="N73" s="2975"/>
      <c r="O73" s="2975"/>
      <c r="P73" s="2985"/>
      <c r="Q73" s="2962"/>
      <c r="R73" s="2882"/>
      <c r="S73" s="2882"/>
      <c r="T73" s="2882"/>
      <c r="U73" s="2882"/>
      <c r="V73" s="2882"/>
      <c r="W73" s="2882"/>
      <c r="X73" s="2882"/>
      <c r="Y73" s="2882"/>
      <c r="Z73" s="2882"/>
      <c r="AA73" s="2882"/>
      <c r="AB73" s="2882"/>
      <c r="AC73" s="2882"/>
    </row>
    <row r="74" spans="1:29" s="112" customFormat="1" ht="15.75" thickBot="1">
      <c r="A74" s="534"/>
      <c r="B74" s="498"/>
      <c r="C74" s="515"/>
      <c r="D74" s="491"/>
      <c r="E74" s="491"/>
      <c r="F74" s="491"/>
      <c r="G74" s="491"/>
      <c r="H74" s="491"/>
      <c r="I74" s="491"/>
      <c r="J74" s="491"/>
      <c r="K74" s="491"/>
      <c r="L74" s="491"/>
      <c r="M74" s="492"/>
      <c r="N74" s="2977"/>
      <c r="O74" s="2977"/>
      <c r="P74" s="2985"/>
      <c r="Q74" s="2962"/>
      <c r="R74" s="2882"/>
      <c r="S74" s="2882"/>
      <c r="T74" s="2882"/>
      <c r="U74" s="2882"/>
      <c r="V74" s="2882"/>
      <c r="W74" s="2882"/>
      <c r="X74" s="2882"/>
      <c r="Y74" s="2882"/>
      <c r="Z74" s="2882"/>
      <c r="AA74" s="2882"/>
      <c r="AB74" s="2882"/>
      <c r="AC74" s="2882"/>
    </row>
    <row r="75" spans="1:29" s="112" customFormat="1" ht="15.75" thickTop="1">
      <c r="A75" s="534"/>
      <c r="B75" s="493">
        <f>B24</f>
        <v>111</v>
      </c>
      <c r="C75" s="504"/>
      <c r="D75" s="504"/>
      <c r="E75" s="504"/>
      <c r="F75" s="504"/>
      <c r="G75" s="509"/>
      <c r="H75" s="509"/>
      <c r="I75" s="509"/>
      <c r="J75" s="509"/>
      <c r="K75" s="509"/>
      <c r="L75" s="509"/>
      <c r="M75" s="536"/>
      <c r="N75" s="2975"/>
      <c r="O75" s="2975"/>
      <c r="P75" s="2985"/>
      <c r="Q75" s="2962"/>
      <c r="R75" s="2882"/>
      <c r="S75" s="2882"/>
      <c r="T75" s="2882"/>
      <c r="U75" s="2882"/>
      <c r="V75" s="2882"/>
      <c r="W75" s="2882"/>
      <c r="X75" s="2882"/>
      <c r="Y75" s="2882"/>
      <c r="Z75" s="2882"/>
      <c r="AA75" s="2882"/>
      <c r="AB75" s="2882"/>
      <c r="AC75" s="2882"/>
    </row>
    <row r="76" spans="1:29" s="112" customFormat="1" ht="15.75" thickBot="1">
      <c r="A76" s="534"/>
      <c r="B76" s="498"/>
      <c r="C76" s="515"/>
      <c r="D76" s="491"/>
      <c r="E76" s="491"/>
      <c r="F76" s="491"/>
      <c r="G76" s="491"/>
      <c r="H76" s="491"/>
      <c r="I76" s="491"/>
      <c r="J76" s="491"/>
      <c r="K76" s="491"/>
      <c r="L76" s="491"/>
      <c r="M76" s="492"/>
      <c r="N76" s="2977"/>
      <c r="O76" s="2977"/>
      <c r="P76" s="2985"/>
      <c r="Q76" s="2962"/>
      <c r="R76" s="2882"/>
      <c r="S76" s="2882"/>
      <c r="T76" s="2882"/>
      <c r="U76" s="2882"/>
      <c r="V76" s="2882"/>
      <c r="W76" s="2882"/>
      <c r="X76" s="2882"/>
      <c r="Y76" s="2882"/>
      <c r="Z76" s="2882"/>
      <c r="AA76" s="2882"/>
      <c r="AB76" s="2882"/>
      <c r="AC76" s="2882"/>
    </row>
    <row r="77" spans="1:29" s="428" customFormat="1" ht="15.75" thickTop="1">
      <c r="A77" s="508"/>
      <c r="B77" s="493">
        <f>B25</f>
        <v>111</v>
      </c>
      <c r="C77" s="509"/>
      <c r="D77" s="509"/>
      <c r="E77" s="509"/>
      <c r="F77" s="509"/>
      <c r="G77" s="509"/>
      <c r="H77" s="510"/>
      <c r="I77" s="510"/>
      <c r="J77" s="510"/>
      <c r="K77" s="510"/>
      <c r="L77" s="511"/>
      <c r="M77" s="512"/>
      <c r="N77" s="2978"/>
      <c r="O77" s="2978"/>
      <c r="P77" s="2986"/>
      <c r="Q77" s="2969"/>
      <c r="R77" s="2970"/>
      <c r="S77" s="2970"/>
      <c r="T77" s="2970"/>
      <c r="U77" s="2970"/>
      <c r="V77" s="2970"/>
      <c r="W77" s="2970"/>
      <c r="X77" s="2970"/>
      <c r="Y77" s="2970"/>
      <c r="Z77" s="2970"/>
      <c r="AA77" s="2970"/>
      <c r="AB77" s="2970"/>
      <c r="AC77" s="2970"/>
    </row>
    <row r="78" spans="1:29" s="428" customFormat="1" ht="15.75" thickBot="1">
      <c r="A78" s="508"/>
      <c r="B78" s="498"/>
      <c r="C78" s="515"/>
      <c r="D78" s="515"/>
      <c r="E78" s="515"/>
      <c r="F78" s="515"/>
      <c r="G78" s="491"/>
      <c r="H78" s="491"/>
      <c r="I78" s="491"/>
      <c r="J78" s="491"/>
      <c r="K78" s="491"/>
      <c r="L78" s="491"/>
      <c r="M78" s="492"/>
      <c r="N78" s="2978"/>
      <c r="O78" s="2978"/>
      <c r="P78" s="2986"/>
      <c r="Q78" s="2969"/>
      <c r="R78" s="2970"/>
      <c r="S78" s="2970"/>
      <c r="T78" s="2970"/>
      <c r="U78" s="2970"/>
      <c r="V78" s="2970"/>
      <c r="W78" s="2970"/>
      <c r="X78" s="2970"/>
      <c r="Y78" s="2970"/>
      <c r="Z78" s="2970"/>
      <c r="AA78" s="2970"/>
      <c r="AB78" s="2970"/>
      <c r="AC78" s="2970"/>
    </row>
    <row r="79" spans="1:29" ht="27.75" thickTop="1">
      <c r="A79" s="482" t="s">
        <v>2381</v>
      </c>
      <c r="B79" s="483" t="s">
        <v>2548</v>
      </c>
      <c r="C79" s="484">
        <f>C26</f>
        <v>0</v>
      </c>
      <c r="D79" s="485"/>
      <c r="E79" s="485"/>
      <c r="F79" s="485"/>
      <c r="G79" s="485"/>
      <c r="H79" s="485"/>
      <c r="I79" s="485"/>
      <c r="J79" s="485"/>
      <c r="K79" s="486"/>
      <c r="L79" s="487"/>
      <c r="M79" s="488"/>
      <c r="N79" s="2976"/>
      <c r="O79" s="2976"/>
      <c r="P79" s="2985"/>
      <c r="Q79" s="2962"/>
      <c r="R79" s="2948"/>
      <c r="S79" s="2948"/>
      <c r="T79" s="2948"/>
      <c r="U79" s="2948"/>
      <c r="V79" s="2948"/>
      <c r="W79" s="2948"/>
      <c r="X79" s="2948"/>
      <c r="Y79" s="2948"/>
      <c r="Z79" s="2948"/>
      <c r="AA79" s="2948"/>
      <c r="AB79" s="2948"/>
      <c r="AC79" s="2948"/>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89"/>
      <c r="B81" s="493" t="s">
        <v>2549</v>
      </c>
      <c r="C81" s="615"/>
      <c r="D81" s="615"/>
      <c r="E81" s="615"/>
      <c r="F81" s="615"/>
      <c r="G81" s="615"/>
      <c r="H81" s="615"/>
      <c r="I81" s="615"/>
      <c r="J81" s="615"/>
      <c r="K81" s="616"/>
      <c r="L81" s="617"/>
      <c r="M81" s="618"/>
      <c r="N81" s="2975"/>
      <c r="O81" s="2975"/>
      <c r="P81" s="2985"/>
      <c r="Q81" s="2962"/>
      <c r="R81" s="2948"/>
      <c r="S81" s="2948"/>
      <c r="T81" s="2948"/>
      <c r="U81" s="2948"/>
      <c r="V81" s="2948"/>
      <c r="W81" s="2948"/>
      <c r="X81" s="2948"/>
      <c r="Y81" s="2948"/>
      <c r="Z81" s="2948"/>
      <c r="AA81" s="2948"/>
      <c r="AB81" s="2948"/>
      <c r="AC81" s="2948"/>
    </row>
    <row r="82" spans="1:29" s="428" customFormat="1" ht="15.75" thickBot="1">
      <c r="A82" s="508"/>
      <c r="B82" s="498"/>
      <c r="C82" s="515"/>
      <c r="D82" s="491"/>
      <c r="E82" s="491"/>
      <c r="F82" s="491"/>
      <c r="G82" s="491"/>
      <c r="H82" s="491"/>
      <c r="I82" s="491"/>
      <c r="J82" s="491"/>
      <c r="K82" s="491"/>
      <c r="L82" s="491"/>
      <c r="M82" s="492"/>
      <c r="N82" s="2977"/>
      <c r="O82" s="2977"/>
      <c r="P82" s="2986"/>
      <c r="Q82" s="2969"/>
      <c r="R82" s="2970"/>
      <c r="S82" s="2970"/>
      <c r="T82" s="2970"/>
      <c r="U82" s="2970"/>
      <c r="V82" s="2970"/>
      <c r="W82" s="2970"/>
      <c r="X82" s="2970"/>
      <c r="Y82" s="2970"/>
      <c r="Z82" s="2970"/>
      <c r="AA82" s="2970"/>
      <c r="AB82" s="2970"/>
      <c r="AC82" s="2970"/>
    </row>
    <row r="83" spans="1:29" ht="15" thickTop="1">
      <c r="A83" s="554"/>
      <c r="B83" s="493" t="s">
        <v>2434</v>
      </c>
      <c r="C83" s="509"/>
      <c r="D83" s="509"/>
      <c r="E83" s="538"/>
      <c r="F83" s="538"/>
      <c r="G83" s="538"/>
      <c r="H83" s="538"/>
      <c r="I83" s="538"/>
      <c r="J83" s="538"/>
      <c r="K83" s="539"/>
      <c r="L83" s="540"/>
      <c r="M83" s="541"/>
      <c r="N83" s="2976"/>
      <c r="O83" s="2976"/>
      <c r="P83" s="2985"/>
      <c r="Q83" s="2962"/>
      <c r="R83" s="2948"/>
      <c r="S83" s="2948"/>
      <c r="T83" s="2948"/>
      <c r="U83" s="2948"/>
      <c r="V83" s="2948"/>
      <c r="W83" s="2948"/>
      <c r="X83" s="2948"/>
      <c r="Y83" s="2948"/>
      <c r="Z83" s="2948"/>
      <c r="AA83" s="2948"/>
      <c r="AB83" s="2948"/>
      <c r="AC83" s="2948"/>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4"/>
      <c r="B85" s="493" t="s">
        <v>2550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6"/>
      <c r="O85" s="2976"/>
      <c r="P85" s="2985"/>
      <c r="Q85" s="2962"/>
      <c r="R85" s="2948"/>
      <c r="S85" s="2948"/>
      <c r="T85" s="2948"/>
      <c r="U85" s="2948"/>
      <c r="V85" s="2948"/>
      <c r="W85" s="2948"/>
      <c r="X85" s="2948"/>
      <c r="Y85" s="2948"/>
      <c r="Z85" s="2948"/>
      <c r="AA85" s="2948"/>
      <c r="AB85" s="2948"/>
      <c r="AC85" s="2948"/>
    </row>
    <row r="86" spans="1:29">
      <c r="A86" s="554"/>
      <c r="B86" s="501"/>
      <c r="C86" s="558">
        <v>0.5</v>
      </c>
      <c r="D86" s="558">
        <v>0.6</v>
      </c>
      <c r="E86" s="558">
        <v>0.7</v>
      </c>
      <c r="F86" s="558">
        <v>0.8</v>
      </c>
      <c r="G86" s="558">
        <v>0.9</v>
      </c>
      <c r="H86" s="558">
        <v>1.0001</v>
      </c>
      <c r="I86" s="577"/>
      <c r="J86" s="577"/>
      <c r="K86" s="578"/>
      <c r="L86" s="579"/>
      <c r="M86" s="580"/>
      <c r="N86" s="2976"/>
      <c r="O86" s="2976"/>
      <c r="P86" s="2985"/>
      <c r="Q86" s="2962"/>
      <c r="R86" s="2948"/>
      <c r="S86" s="2948"/>
      <c r="T86" s="2948"/>
      <c r="U86" s="2948"/>
      <c r="V86" s="2948"/>
      <c r="W86" s="2948"/>
      <c r="X86" s="2948"/>
      <c r="Y86" s="2948"/>
      <c r="Z86" s="2948"/>
      <c r="AA86" s="2948"/>
      <c r="AB86" s="2948"/>
      <c r="AC86" s="2948"/>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4"/>
      <c r="B88" s="501" t="s">
        <v>2551</v>
      </c>
      <c r="C88" s="485"/>
      <c r="D88" s="485"/>
      <c r="E88" s="485"/>
      <c r="F88" s="485"/>
      <c r="G88" s="485"/>
      <c r="H88" s="485"/>
      <c r="I88" s="485"/>
      <c r="J88" s="485"/>
      <c r="K88" s="486"/>
      <c r="L88" s="487"/>
      <c r="M88" s="488"/>
      <c r="N88" s="2976"/>
      <c r="O88" s="2976"/>
      <c r="P88" s="2985"/>
      <c r="Q88" s="2962"/>
      <c r="R88" s="2948"/>
      <c r="S88" s="2948"/>
      <c r="T88" s="2948"/>
      <c r="U88" s="2948"/>
      <c r="V88" s="2948"/>
      <c r="W88" s="2948"/>
      <c r="X88" s="2948"/>
      <c r="Y88" s="2948"/>
      <c r="Z88" s="2948"/>
      <c r="AA88" s="2948"/>
      <c r="AB88" s="2948"/>
      <c r="AC88" s="2948"/>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7"/>
      <c r="O89" s="2977"/>
      <c r="P89" s="2985"/>
      <c r="Q89" s="2962"/>
      <c r="R89" s="2948"/>
      <c r="S89" s="2948"/>
      <c r="T89" s="2948"/>
      <c r="U89" s="2948"/>
      <c r="V89" s="2948"/>
      <c r="W89" s="2948"/>
      <c r="X89" s="2948"/>
      <c r="Y89" s="2948"/>
      <c r="Z89" s="2948"/>
      <c r="AA89" s="2948"/>
      <c r="AB89" s="2948"/>
      <c r="AC89" s="2948"/>
    </row>
    <row r="90" spans="1:29" s="428" customFormat="1" ht="15" thickTop="1">
      <c r="A90" s="548"/>
      <c r="B90" s="493" t="s">
        <v>2552</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8"/>
      <c r="O90" s="2978"/>
      <c r="P90" s="2986"/>
      <c r="Q90" s="2969"/>
      <c r="R90" s="2970"/>
      <c r="S90" s="2970"/>
      <c r="T90" s="2970"/>
      <c r="U90" s="2970"/>
      <c r="V90" s="2970"/>
      <c r="W90" s="2970"/>
      <c r="X90" s="2970"/>
      <c r="Y90" s="2970"/>
      <c r="Z90" s="2970"/>
      <c r="AA90" s="2970"/>
      <c r="AB90" s="2970"/>
      <c r="AC90" s="2970"/>
    </row>
    <row r="91" spans="1:29" s="428" customFormat="1">
      <c r="A91" s="548"/>
      <c r="B91" s="501"/>
      <c r="C91" s="550"/>
      <c r="D91" s="550"/>
      <c r="E91" s="550"/>
      <c r="F91" s="550"/>
      <c r="G91" s="550"/>
      <c r="H91" s="550"/>
      <c r="I91" s="550"/>
      <c r="J91" s="551"/>
      <c r="K91" s="551"/>
      <c r="L91" s="552"/>
      <c r="M91" s="553"/>
      <c r="N91" s="2978"/>
      <c r="O91" s="2978"/>
      <c r="P91" s="2986"/>
      <c r="Q91" s="2969"/>
      <c r="R91" s="2970"/>
      <c r="S91" s="2970"/>
      <c r="T91" s="2970"/>
      <c r="U91" s="2970"/>
      <c r="V91" s="2970"/>
      <c r="W91" s="2970"/>
      <c r="X91" s="2970"/>
      <c r="Y91" s="2970"/>
      <c r="Z91" s="2970"/>
      <c r="AA91" s="2970"/>
      <c r="AB91" s="2970"/>
      <c r="AC91" s="2970"/>
    </row>
    <row r="92" spans="1:29" s="428" customFormat="1" ht="15.75" thickBot="1">
      <c r="A92" s="508"/>
      <c r="B92" s="498"/>
      <c r="C92" s="515"/>
      <c r="D92" s="491"/>
      <c r="E92" s="491"/>
      <c r="F92" s="491"/>
      <c r="G92" s="491"/>
      <c r="H92" s="491"/>
      <c r="I92" s="491"/>
      <c r="J92" s="491"/>
      <c r="K92" s="491"/>
      <c r="L92" s="491"/>
      <c r="M92" s="492"/>
      <c r="N92" s="2978"/>
      <c r="O92" s="2978"/>
      <c r="P92" s="2986"/>
      <c r="Q92" s="2969"/>
      <c r="R92" s="2970"/>
      <c r="S92" s="2970"/>
      <c r="T92" s="2970"/>
      <c r="U92" s="2970"/>
      <c r="V92" s="2970"/>
      <c r="W92" s="2970"/>
      <c r="X92" s="2970"/>
      <c r="Y92" s="2970"/>
      <c r="Z92" s="2970"/>
      <c r="AA92" s="2970"/>
      <c r="AB92" s="2970"/>
      <c r="AC92" s="2970"/>
    </row>
    <row r="93" spans="1:29" ht="15" thickTop="1">
      <c r="A93" s="554"/>
      <c r="B93" s="493" t="s">
        <v>2553</v>
      </c>
      <c r="C93" s="509"/>
      <c r="D93" s="509"/>
      <c r="E93" s="538"/>
      <c r="F93" s="538"/>
      <c r="G93" s="538"/>
      <c r="H93" s="538"/>
      <c r="I93" s="538"/>
      <c r="J93" s="538"/>
      <c r="K93" s="539"/>
      <c r="L93" s="540"/>
      <c r="M93" s="541"/>
      <c r="N93" s="2976"/>
      <c r="O93" s="2976"/>
      <c r="P93" s="2985"/>
      <c r="Q93" s="2962"/>
      <c r="R93" s="2948"/>
      <c r="S93" s="2948"/>
      <c r="T93" s="2948"/>
      <c r="U93" s="2948"/>
      <c r="V93" s="2948"/>
      <c r="W93" s="2948"/>
      <c r="X93" s="2948"/>
      <c r="Y93" s="2948"/>
      <c r="Z93" s="2948"/>
      <c r="AA93" s="2948"/>
      <c r="AB93" s="2948"/>
      <c r="AC93" s="2948"/>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4"/>
      <c r="B95" s="493" t="s">
        <v>2554</v>
      </c>
      <c r="C95" s="485"/>
      <c r="D95" s="485"/>
      <c r="E95" s="485"/>
      <c r="F95" s="485"/>
      <c r="G95" s="485"/>
      <c r="H95" s="485"/>
      <c r="I95" s="485"/>
      <c r="J95" s="485"/>
      <c r="K95" s="486"/>
      <c r="L95" s="487"/>
      <c r="M95" s="488"/>
      <c r="N95" s="2976"/>
      <c r="O95" s="2976"/>
      <c r="P95" s="2985"/>
      <c r="Q95" s="2962"/>
      <c r="R95" s="2948"/>
      <c r="S95" s="2948"/>
      <c r="T95" s="2948"/>
      <c r="U95" s="2948"/>
      <c r="V95" s="2948"/>
      <c r="W95" s="2948"/>
      <c r="X95" s="2948"/>
      <c r="Y95" s="2948"/>
      <c r="Z95" s="2948"/>
      <c r="AA95" s="2948"/>
      <c r="AB95" s="2948"/>
      <c r="AC95" s="2948"/>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7"/>
      <c r="O96" s="2977"/>
      <c r="P96" s="2985"/>
      <c r="Q96" s="2962"/>
      <c r="R96" s="2948"/>
      <c r="S96" s="2948"/>
      <c r="T96" s="2948"/>
      <c r="U96" s="2948"/>
      <c r="V96" s="2948"/>
      <c r="W96" s="2948"/>
      <c r="X96" s="2948"/>
      <c r="Y96" s="2948"/>
      <c r="Z96" s="2948"/>
      <c r="AA96" s="2948"/>
      <c r="AB96" s="2948"/>
      <c r="AC96" s="2948"/>
    </row>
    <row r="97" spans="1:29" ht="15" thickTop="1">
      <c r="A97" s="554"/>
      <c r="B97" s="590">
        <f>B34</f>
        <v>111</v>
      </c>
      <c r="C97" s="504"/>
      <c r="D97" s="504"/>
      <c r="E97" s="504"/>
      <c r="F97" s="504"/>
      <c r="G97" s="509"/>
      <c r="H97" s="510"/>
      <c r="I97" s="510"/>
      <c r="J97" s="510"/>
      <c r="K97" s="510"/>
      <c r="L97" s="511"/>
      <c r="M97" s="512"/>
      <c r="N97" s="2977"/>
      <c r="O97" s="2977"/>
      <c r="P97" s="2990"/>
      <c r="Q97" s="2991"/>
      <c r="R97" s="2948"/>
      <c r="S97" s="2948"/>
      <c r="T97" s="2948"/>
      <c r="U97" s="2948"/>
      <c r="V97" s="2948"/>
      <c r="W97" s="2948"/>
      <c r="X97" s="2948"/>
      <c r="Y97" s="2948"/>
      <c r="Z97" s="2948"/>
      <c r="AA97" s="2948"/>
      <c r="AB97" s="2948"/>
      <c r="AC97" s="2948"/>
    </row>
    <row r="98" spans="1:29" ht="15.75" thickBot="1">
      <c r="A98" s="489"/>
      <c r="B98" s="498"/>
      <c r="C98" s="515"/>
      <c r="D98" s="491"/>
      <c r="E98" s="491"/>
      <c r="F98" s="491"/>
      <c r="G98" s="515"/>
      <c r="H98" s="517"/>
      <c r="I98" s="517"/>
      <c r="J98" s="517"/>
      <c r="K98" s="517"/>
      <c r="L98" s="517"/>
      <c r="M98" s="518"/>
      <c r="N98" s="2977"/>
      <c r="O98" s="2977"/>
      <c r="P98" s="2985"/>
      <c r="Q98" s="2962"/>
      <c r="R98" s="2948"/>
      <c r="S98" s="2948"/>
      <c r="T98" s="2948"/>
      <c r="U98" s="2948"/>
      <c r="V98" s="2948"/>
      <c r="W98" s="2948"/>
      <c r="X98" s="2948"/>
      <c r="Y98" s="2948"/>
      <c r="Z98" s="2948"/>
      <c r="AA98" s="2948"/>
      <c r="AB98" s="2948"/>
      <c r="AC98" s="2948"/>
    </row>
    <row r="99" spans="1:29" s="428" customFormat="1" ht="15" thickTop="1">
      <c r="A99" s="548"/>
      <c r="B99" s="493">
        <f>B35</f>
        <v>111</v>
      </c>
      <c r="C99" s="504"/>
      <c r="D99" s="504"/>
      <c r="E99" s="504"/>
      <c r="F99" s="504"/>
      <c r="G99" s="509"/>
      <c r="H99" s="510"/>
      <c r="I99" s="510"/>
      <c r="J99" s="510"/>
      <c r="K99" s="510"/>
      <c r="L99" s="511"/>
      <c r="M99" s="512"/>
      <c r="N99" s="2978"/>
      <c r="O99" s="2978"/>
      <c r="P99" s="2986"/>
      <c r="Q99" s="2969"/>
      <c r="R99" s="2970"/>
      <c r="S99" s="2970"/>
      <c r="T99" s="2970"/>
      <c r="U99" s="2970"/>
      <c r="V99" s="2970"/>
      <c r="W99" s="2970"/>
      <c r="X99" s="2970"/>
      <c r="Y99" s="2970"/>
      <c r="Z99" s="2970"/>
      <c r="AA99" s="2970"/>
      <c r="AB99" s="2970"/>
      <c r="AC99" s="2970"/>
    </row>
    <row r="100" spans="1:29" s="428" customFormat="1" ht="15.75" thickBot="1">
      <c r="A100" s="508"/>
      <c r="B100" s="490"/>
      <c r="C100" s="515"/>
      <c r="D100" s="491"/>
      <c r="E100" s="491"/>
      <c r="F100" s="491"/>
      <c r="G100" s="515"/>
      <c r="H100" s="517"/>
      <c r="I100" s="517"/>
      <c r="J100" s="517"/>
      <c r="K100" s="517"/>
      <c r="L100" s="517"/>
      <c r="M100" s="518"/>
      <c r="N100" s="2978"/>
      <c r="O100" s="2978"/>
      <c r="P100" s="2986"/>
      <c r="Q100" s="2969"/>
      <c r="R100" s="2970"/>
      <c r="S100" s="2970"/>
      <c r="T100" s="2970"/>
      <c r="U100" s="2970"/>
      <c r="V100" s="2970"/>
      <c r="W100" s="2970"/>
      <c r="X100" s="2970"/>
      <c r="Y100" s="2970"/>
      <c r="Z100" s="2970"/>
      <c r="AA100" s="2970"/>
      <c r="AB100" s="2970"/>
      <c r="AC100" s="2970"/>
    </row>
    <row r="101" spans="1:29" ht="15" thickTop="1">
      <c r="A101" s="554"/>
      <c r="B101" s="493">
        <f>B36</f>
        <v>111</v>
      </c>
      <c r="C101" s="509"/>
      <c r="D101" s="509"/>
      <c r="E101" s="509"/>
      <c r="F101" s="509"/>
      <c r="G101" s="509"/>
      <c r="H101" s="510"/>
      <c r="I101" s="510"/>
      <c r="J101" s="510"/>
      <c r="K101" s="510"/>
      <c r="L101" s="511"/>
      <c r="M101" s="512"/>
      <c r="N101" s="2976"/>
      <c r="O101" s="2976"/>
      <c r="P101" s="2985"/>
      <c r="Q101" s="2962"/>
      <c r="R101" s="2948"/>
      <c r="S101" s="2948"/>
      <c r="T101" s="2948"/>
      <c r="U101" s="2948"/>
      <c r="V101" s="2948"/>
      <c r="W101" s="2948"/>
      <c r="X101" s="2948"/>
      <c r="Y101" s="2948"/>
      <c r="Z101" s="2948"/>
      <c r="AA101" s="2948"/>
      <c r="AB101" s="2948"/>
      <c r="AC101" s="2948"/>
    </row>
    <row r="102" spans="1:29" ht="15.75" thickBot="1">
      <c r="A102" s="489"/>
      <c r="B102" s="498"/>
      <c r="C102" s="515"/>
      <c r="D102" s="515"/>
      <c r="E102" s="515"/>
      <c r="F102" s="515"/>
      <c r="G102" s="515"/>
      <c r="H102" s="517"/>
      <c r="I102" s="517"/>
      <c r="J102" s="517"/>
      <c r="K102" s="517"/>
      <c r="L102" s="517"/>
      <c r="M102" s="518"/>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2525</v>
      </c>
      <c r="B1" s="1388"/>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2145</v>
      </c>
      <c r="B2" s="1324" t="e">
        <f ca="1">IF(C2="——",ROUND(C37*D3/10000,0),ROUND(C37*D3/10000,0)-D2)</f>
        <v>#DIV/0!</v>
      </c>
      <c r="C2" s="2064"/>
      <c r="D2" s="1036" t="e">
        <f ca="1">SUMIF(INDIRECT("'"&amp;F2&amp;"'"&amp;"!A:A"),"承租人权益价值",INDIRECT("'"&amp;F2&amp;"'"&amp;"!c:c"))</f>
        <v>#REF!</v>
      </c>
      <c r="E2" s="2065" t="s">
        <v>2146</v>
      </c>
      <c r="F2" s="2066"/>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2147</v>
      </c>
      <c r="B3" s="564" t="e">
        <f ca="1">IF(C2="——",C37,ROUND(B2*10000/D3,0))</f>
        <v>#DIV/0!</v>
      </c>
      <c r="C3" s="358" t="s">
        <v>2462</v>
      </c>
      <c r="D3" s="357">
        <f>SUMIF('数据-汇总表'!$C19:$C33,D1,'数据-汇总表'!$E19:$E33)</f>
        <v>0</v>
      </c>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59" t="s">
        <v>2463</v>
      </c>
      <c r="B4" s="360"/>
      <c r="C4" s="3280" t="s">
        <v>2464</v>
      </c>
      <c r="D4" s="3281"/>
      <c r="E4" s="3282" t="s">
        <v>2465</v>
      </c>
      <c r="F4" s="3283"/>
      <c r="G4" s="3280" t="s">
        <v>2466</v>
      </c>
      <c r="H4" s="3281"/>
      <c r="I4" s="3280" t="s">
        <v>2467</v>
      </c>
      <c r="J4" s="3281"/>
      <c r="K4" s="565" t="s">
        <v>2468</v>
      </c>
      <c r="L4" s="2938"/>
      <c r="M4" s="2939"/>
      <c r="N4" s="2939"/>
      <c r="O4" s="2939"/>
      <c r="P4" s="3284" t="s">
        <v>2469</v>
      </c>
      <c r="Q4" s="3285"/>
      <c r="R4" s="3267" t="s">
        <v>2465</v>
      </c>
      <c r="S4" s="3268"/>
      <c r="T4" s="3267" t="s">
        <v>2466</v>
      </c>
      <c r="U4" s="3268"/>
      <c r="V4" s="3292" t="s">
        <v>2467</v>
      </c>
      <c r="W4" s="3292"/>
      <c r="X4" s="1537"/>
      <c r="Y4" s="3267" t="s">
        <v>2469</v>
      </c>
      <c r="Z4" s="3268"/>
      <c r="AA4" s="3262" t="s">
        <v>2465</v>
      </c>
      <c r="AB4" s="3263" t="s">
        <v>2466</v>
      </c>
      <c r="AC4" s="3262" t="s">
        <v>2467</v>
      </c>
    </row>
    <row r="5" spans="1:29" ht="15">
      <c r="A5" s="362"/>
      <c r="B5" s="363"/>
      <c r="C5" s="3273" t="s">
        <v>2360</v>
      </c>
      <c r="D5" s="3274"/>
      <c r="E5" s="3271" t="s">
        <v>2361</v>
      </c>
      <c r="F5" s="3272"/>
      <c r="G5" s="3273" t="s">
        <v>2362</v>
      </c>
      <c r="H5" s="3274"/>
      <c r="I5" s="3273" t="s">
        <v>2363</v>
      </c>
      <c r="J5" s="3274"/>
      <c r="K5" s="565"/>
      <c r="L5" s="2938"/>
      <c r="M5" s="2939"/>
      <c r="N5" s="2939"/>
      <c r="O5" s="2939"/>
      <c r="P5" s="3286"/>
      <c r="Q5" s="3287"/>
      <c r="R5" s="3269"/>
      <c r="S5" s="3270"/>
      <c r="T5" s="3269"/>
      <c r="U5" s="3270"/>
      <c r="V5" s="3292"/>
      <c r="W5" s="3292"/>
      <c r="X5" s="1537"/>
      <c r="Y5" s="3269"/>
      <c r="Z5" s="3270"/>
      <c r="AA5" s="3263"/>
      <c r="AB5" s="3263"/>
      <c r="AC5" s="3263"/>
    </row>
    <row r="6" spans="1:29" ht="15.75" thickBot="1">
      <c r="A6" s="364"/>
      <c r="B6" s="365"/>
      <c r="C6" s="3275" t="s">
        <v>2364</v>
      </c>
      <c r="D6" s="3276"/>
      <c r="E6" s="3277" t="s">
        <v>2364</v>
      </c>
      <c r="F6" s="3278"/>
      <c r="G6" s="3275" t="s">
        <v>2364</v>
      </c>
      <c r="H6" s="3276"/>
      <c r="I6" s="3275" t="s">
        <v>2364</v>
      </c>
      <c r="J6" s="3276"/>
      <c r="K6" s="565" t="s">
        <v>2365</v>
      </c>
      <c r="L6" s="2938"/>
      <c r="M6" s="2939"/>
      <c r="N6" s="2939"/>
      <c r="O6" s="2939"/>
      <c r="P6" s="3288"/>
      <c r="Q6" s="3289"/>
      <c r="R6" s="3269"/>
      <c r="S6" s="3270"/>
      <c r="T6" s="3290"/>
      <c r="U6" s="3291"/>
      <c r="V6" s="3292"/>
      <c r="W6" s="3292"/>
      <c r="X6" s="1537"/>
      <c r="Y6" s="3290"/>
      <c r="Z6" s="3291"/>
      <c r="AA6" s="3264"/>
      <c r="AB6" s="3264"/>
      <c r="AC6" s="3264"/>
    </row>
    <row r="7" spans="1:29" s="112" customFormat="1" ht="15.75" thickBot="1">
      <c r="A7" s="366" t="s">
        <v>2366</v>
      </c>
      <c r="B7" s="367"/>
      <c r="C7" s="368">
        <f>'数据-取费表'!B2</f>
        <v>44299</v>
      </c>
      <c r="D7" s="369">
        <v>100</v>
      </c>
      <c r="E7" s="370"/>
      <c r="F7" s="371">
        <f>SUMIF(46:46,YEAR(E7)&amp;"-"&amp;MONTH(E7),47:47)</f>
        <v>0</v>
      </c>
      <c r="G7" s="2157"/>
      <c r="H7" s="369">
        <f>SUMIF(46:46,YEAR(G7)&amp;"-"&amp;MONTH(G7),47:47)</f>
        <v>0</v>
      </c>
      <c r="I7" s="370"/>
      <c r="J7" s="369">
        <f>SUMIF(46:46,YEAR(I7)&amp;"-"&amp;MONTH(I7),47:47)</f>
        <v>0</v>
      </c>
      <c r="K7" s="566"/>
      <c r="L7" s="2940"/>
      <c r="M7" s="2941"/>
      <c r="N7" s="2941"/>
      <c r="O7" s="2941"/>
      <c r="P7" s="3265" t="s">
        <v>2367</v>
      </c>
      <c r="Q7" s="3293"/>
      <c r="R7" s="708" t="s">
        <v>17</v>
      </c>
      <c r="S7" s="709">
        <f t="shared" ref="S7:S14" si="0">F7</f>
        <v>0</v>
      </c>
      <c r="T7" s="708" t="s">
        <v>17</v>
      </c>
      <c r="U7" s="709">
        <f t="shared" ref="U7:U14" si="1">H7</f>
        <v>0</v>
      </c>
      <c r="V7" s="708" t="s">
        <v>17</v>
      </c>
      <c r="W7" s="709">
        <f t="shared" ref="W7:W14" si="2">J7</f>
        <v>0</v>
      </c>
      <c r="X7" s="710"/>
      <c r="Y7" s="3265" t="s">
        <v>2367</v>
      </c>
      <c r="Z7" s="3266"/>
      <c r="AA7" s="711" t="e">
        <f>D7/F7</f>
        <v>#DIV/0!</v>
      </c>
      <c r="AB7" s="711" t="e">
        <f>D7/H7</f>
        <v>#DIV/0!</v>
      </c>
      <c r="AC7" s="711" t="e">
        <f>D7/J7</f>
        <v>#DIV/0!</v>
      </c>
    </row>
    <row r="8" spans="1:29" s="112" customFormat="1" ht="15.75" thickBot="1">
      <c r="A8" s="366" t="s">
        <v>2368</v>
      </c>
      <c r="B8" s="367"/>
      <c r="C8" s="372" t="s">
        <v>2470</v>
      </c>
      <c r="D8" s="369">
        <v>100</v>
      </c>
      <c r="E8" s="372"/>
      <c r="F8" s="371">
        <f>SUMIF(49:49,E8,50:50)-SUMIF(49:49,C8,50:50)+100</f>
        <v>0</v>
      </c>
      <c r="G8" s="372"/>
      <c r="H8" s="369">
        <f>SUMIF(49:49,G8,50:50)-SUMIF(49:49,C8,50:50)+100</f>
        <v>0</v>
      </c>
      <c r="I8" s="372"/>
      <c r="J8" s="369">
        <f>SUMIF(49:49,I8,50:50)-SUMIF(49:49,C8,50:50)+100</f>
        <v>0</v>
      </c>
      <c r="K8" s="566"/>
      <c r="L8" s="2940"/>
      <c r="M8" s="2941"/>
      <c r="N8" s="2941"/>
      <c r="O8" s="2941"/>
      <c r="P8" s="3265" t="s">
        <v>2370</v>
      </c>
      <c r="Q8" s="3266"/>
      <c r="R8" s="708" t="s">
        <v>17</v>
      </c>
      <c r="S8" s="709">
        <f t="shared" si="0"/>
        <v>0</v>
      </c>
      <c r="T8" s="708" t="s">
        <v>17</v>
      </c>
      <c r="U8" s="709">
        <f t="shared" si="1"/>
        <v>0</v>
      </c>
      <c r="V8" s="708" t="s">
        <v>17</v>
      </c>
      <c r="W8" s="709">
        <f t="shared" si="2"/>
        <v>0</v>
      </c>
      <c r="X8" s="710"/>
      <c r="Y8" s="3265" t="s">
        <v>2370</v>
      </c>
      <c r="Z8" s="3266"/>
      <c r="AA8" s="711" t="e">
        <f t="shared" ref="AA8:AA34" si="3">D8/F8</f>
        <v>#DIV/0!</v>
      </c>
      <c r="AB8" s="711" t="e">
        <f t="shared" ref="AB8:AB34" si="4">D8/H8</f>
        <v>#DIV/0!</v>
      </c>
      <c r="AC8" s="711" t="e">
        <f t="shared" ref="AC8:AC34" si="5">D8/J8</f>
        <v>#DIV/0!</v>
      </c>
    </row>
    <row r="9" spans="1:29" s="112" customFormat="1">
      <c r="A9" s="373" t="s">
        <v>2371</v>
      </c>
      <c r="B9" s="66" t="s">
        <v>2372</v>
      </c>
      <c r="C9" s="374"/>
      <c r="D9" s="129">
        <v>100</v>
      </c>
      <c r="E9" s="377"/>
      <c r="F9" s="376">
        <f>SUMIF(51:51,E9,52:52)-SUMIF(51:51,C9,52:52)+100</f>
        <v>100</v>
      </c>
      <c r="G9" s="377"/>
      <c r="H9" s="129">
        <f>SUMIF(51:51,G9,52:52)-SUMIF(51:51,C9,52:52)+100</f>
        <v>100</v>
      </c>
      <c r="I9" s="377"/>
      <c r="J9" s="129">
        <f>SUMIF(51:51,I9,52:52)-SUMIF(51:51,C9,52:52)+100</f>
        <v>100</v>
      </c>
      <c r="K9" s="566"/>
      <c r="L9" s="2940"/>
      <c r="M9" s="2941"/>
      <c r="N9" s="2941"/>
      <c r="O9" s="2995"/>
      <c r="P9" s="3279" t="s">
        <v>2373</v>
      </c>
      <c r="Q9" s="1525" t="str">
        <f t="shared" ref="Q9:Q14" si="6">B9</f>
        <v>用途</v>
      </c>
      <c r="R9" s="708" t="s">
        <v>17</v>
      </c>
      <c r="S9" s="709">
        <f t="shared" si="0"/>
        <v>100</v>
      </c>
      <c r="T9" s="708" t="s">
        <v>17</v>
      </c>
      <c r="U9" s="709">
        <f t="shared" si="1"/>
        <v>100</v>
      </c>
      <c r="V9" s="708" t="s">
        <v>17</v>
      </c>
      <c r="W9" s="709">
        <f t="shared" si="2"/>
        <v>100</v>
      </c>
      <c r="X9" s="710"/>
      <c r="Y9" s="3231" t="s">
        <v>2374</v>
      </c>
      <c r="Z9" s="54" t="str">
        <f t="shared" ref="Z9:Z14" si="7">Q9</f>
        <v>用途</v>
      </c>
      <c r="AA9" s="711">
        <f t="shared" si="3"/>
        <v>1</v>
      </c>
      <c r="AB9" s="711">
        <f t="shared" si="4"/>
        <v>1</v>
      </c>
      <c r="AC9" s="711">
        <f t="shared" si="5"/>
        <v>1</v>
      </c>
    </row>
    <row r="10" spans="1:29" s="384" customFormat="1" ht="27">
      <c r="A10" s="378"/>
      <c r="B10" s="379" t="s">
        <v>2375</v>
      </c>
      <c r="C10" s="380"/>
      <c r="D10" s="130">
        <v>100</v>
      </c>
      <c r="E10" s="380"/>
      <c r="F10" s="382">
        <f>SUMIF(53:53,E10,54:54)-SUMIF(53:53,C10,54:54)+100</f>
        <v>100</v>
      </c>
      <c r="G10" s="380"/>
      <c r="H10" s="130">
        <f>SUMIF(53:53,G10,54:54)-SUMIF(53:53,C10,54:54)+100</f>
        <v>100</v>
      </c>
      <c r="I10" s="380"/>
      <c r="J10" s="130">
        <f>SUMIF(53:53,I10,54:54)-SUMIF(53:53,C10,54:54)+100</f>
        <v>100</v>
      </c>
      <c r="K10" s="567"/>
      <c r="L10" s="2942"/>
      <c r="M10" s="2943"/>
      <c r="N10" s="2943"/>
      <c r="O10" s="2996"/>
      <c r="P10" s="3279"/>
      <c r="Q10" s="1525" t="str">
        <f t="shared" si="6"/>
        <v>土地使用年限（年）</v>
      </c>
      <c r="R10" s="708" t="s">
        <v>17</v>
      </c>
      <c r="S10" s="709">
        <f t="shared" si="0"/>
        <v>100</v>
      </c>
      <c r="T10" s="708" t="s">
        <v>17</v>
      </c>
      <c r="U10" s="709">
        <f t="shared" si="1"/>
        <v>100</v>
      </c>
      <c r="V10" s="708" t="s">
        <v>17</v>
      </c>
      <c r="W10" s="709">
        <f t="shared" si="2"/>
        <v>100</v>
      </c>
      <c r="X10" s="710"/>
      <c r="Y10" s="3231"/>
      <c r="Z10" s="54" t="str">
        <f t="shared" si="7"/>
        <v>土地使用年限（年）</v>
      </c>
      <c r="AA10" s="711">
        <f t="shared" si="3"/>
        <v>1</v>
      </c>
      <c r="AB10" s="711">
        <f t="shared" si="4"/>
        <v>1</v>
      </c>
      <c r="AC10" s="711">
        <f t="shared" si="5"/>
        <v>1</v>
      </c>
    </row>
    <row r="11" spans="1:29" ht="15">
      <c r="A11" s="385"/>
      <c r="B11" s="2076">
        <v>111</v>
      </c>
      <c r="C11" s="389"/>
      <c r="D11" s="130">
        <v>100</v>
      </c>
      <c r="E11" s="426"/>
      <c r="F11" s="382">
        <f>SUMIF(55:55,E11,56:56)-SUMIF(55:55,C11,56:56)+100</f>
        <v>100</v>
      </c>
      <c r="G11" s="426"/>
      <c r="H11" s="130">
        <f>SUMIF(55:55,G11,56:56)-SUMIF(55:55,C11,56:56)+100</f>
        <v>100</v>
      </c>
      <c r="I11" s="426"/>
      <c r="J11" s="130">
        <f>SUMIF(55:55,I11,56:56)-SUMIF(55:55,C11,56:56)+100</f>
        <v>100</v>
      </c>
      <c r="K11" s="568"/>
      <c r="L11" s="2944"/>
      <c r="M11" s="2939"/>
      <c r="N11" s="2939"/>
      <c r="O11" s="2997"/>
      <c r="P11" s="3279"/>
      <c r="Q11" s="1525">
        <f t="shared" si="6"/>
        <v>111</v>
      </c>
      <c r="R11" s="708" t="s">
        <v>17</v>
      </c>
      <c r="S11" s="709">
        <f t="shared" si="0"/>
        <v>100</v>
      </c>
      <c r="T11" s="708" t="s">
        <v>17</v>
      </c>
      <c r="U11" s="709">
        <f t="shared" si="1"/>
        <v>100</v>
      </c>
      <c r="V11" s="708" t="s">
        <v>17</v>
      </c>
      <c r="W11" s="709">
        <f t="shared" si="2"/>
        <v>100</v>
      </c>
      <c r="X11" s="710"/>
      <c r="Y11" s="3231"/>
      <c r="Z11" s="54">
        <f t="shared" si="7"/>
        <v>111</v>
      </c>
      <c r="AA11" s="711">
        <f t="shared" si="3"/>
        <v>1</v>
      </c>
      <c r="AB11" s="711">
        <f t="shared" si="4"/>
        <v>1</v>
      </c>
      <c r="AC11" s="711">
        <f t="shared" si="5"/>
        <v>1</v>
      </c>
    </row>
    <row r="12" spans="1:29" s="112" customFormat="1" ht="15">
      <c r="A12" s="388"/>
      <c r="B12" s="2076">
        <v>111</v>
      </c>
      <c r="C12" s="389"/>
      <c r="D12" s="390">
        <v>100</v>
      </c>
      <c r="E12" s="426"/>
      <c r="F12" s="382">
        <f>SUMIF(57:57,E12,58:58)-SUMIF(57:57,C12,58:58)+100</f>
        <v>100</v>
      </c>
      <c r="G12" s="426"/>
      <c r="H12" s="130">
        <f>SUMIF(57:57,G12,58:58)-SUMIF(57:57,C12,58:58)+100</f>
        <v>100</v>
      </c>
      <c r="I12" s="426"/>
      <c r="J12" s="130">
        <f>SUMIF(57:57,I12,58:58)-SUMIF(57:57,C12,58:58)+100</f>
        <v>100</v>
      </c>
      <c r="K12" s="568"/>
      <c r="L12" s="2940"/>
      <c r="M12" s="2941"/>
      <c r="N12" s="2941"/>
      <c r="O12" s="2995"/>
      <c r="P12" s="3279"/>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711">
        <f>D12/J12</f>
        <v>1</v>
      </c>
    </row>
    <row r="13" spans="1:29" ht="15.75" thickBot="1">
      <c r="A13" s="385"/>
      <c r="B13" s="2076">
        <v>111</v>
      </c>
      <c r="C13" s="391"/>
      <c r="D13" s="392">
        <v>100</v>
      </c>
      <c r="E13" s="426"/>
      <c r="F13" s="382">
        <f>SUMIF(59:59,E13,60:60)-SUMIF(59:59,C13,60:60)+100</f>
        <v>100</v>
      </c>
      <c r="G13" s="2158"/>
      <c r="H13" s="395">
        <f>SUMIF(59:59,G13,60:60)-SUMIF(59:59,C13,60:60)+100</f>
        <v>100</v>
      </c>
      <c r="I13" s="426"/>
      <c r="J13" s="392">
        <f>SUMIF(59:59,I13,60:60)-SUMIF(59:59,C13,60:60)+100</f>
        <v>100</v>
      </c>
      <c r="K13" s="568"/>
      <c r="L13" s="2945"/>
      <c r="M13" s="2939"/>
      <c r="N13" s="2939"/>
      <c r="O13" s="2997"/>
      <c r="P13" s="3279"/>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711">
        <f t="shared" si="5"/>
        <v>1</v>
      </c>
    </row>
    <row r="14" spans="1:29" ht="85.5">
      <c r="A14" s="397" t="s">
        <v>2377</v>
      </c>
      <c r="B14" s="64" t="s">
        <v>2527</v>
      </c>
      <c r="C14" s="2154"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5"/>
      <c r="M14" s="2939"/>
      <c r="N14" s="2939"/>
      <c r="O14" s="2997"/>
      <c r="P14" s="3294" t="s">
        <v>2378</v>
      </c>
      <c r="Q14" s="1534" t="str">
        <f t="shared" si="6"/>
        <v>交通便捷度</v>
      </c>
      <c r="R14" s="712" t="s">
        <v>17</v>
      </c>
      <c r="S14" s="713">
        <f t="shared" si="0"/>
        <v>100</v>
      </c>
      <c r="T14" s="712" t="s">
        <v>17</v>
      </c>
      <c r="U14" s="713">
        <f t="shared" si="1"/>
        <v>100</v>
      </c>
      <c r="V14" s="712" t="s">
        <v>17</v>
      </c>
      <c r="W14" s="713">
        <f t="shared" si="2"/>
        <v>100</v>
      </c>
      <c r="X14" s="1537"/>
      <c r="Y14" s="3294" t="s">
        <v>2378</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5"/>
      <c r="M15" s="2939"/>
      <c r="N15" s="2939"/>
      <c r="O15" s="2997"/>
      <c r="P15" s="3295"/>
      <c r="Q15" s="1534"/>
      <c r="R15" s="712"/>
      <c r="S15" s="713"/>
      <c r="T15" s="712"/>
      <c r="U15" s="713"/>
      <c r="V15" s="712"/>
      <c r="W15" s="713"/>
      <c r="X15" s="1537"/>
      <c r="Y15" s="3295"/>
      <c r="Z15" s="1538"/>
      <c r="AA15" s="1535">
        <v>1</v>
      </c>
      <c r="AB15" s="1535">
        <v>1</v>
      </c>
      <c r="AC15" s="1535">
        <v>1</v>
      </c>
    </row>
    <row r="16" spans="1:29" ht="42.75">
      <c r="A16" s="385"/>
      <c r="B16" s="408" t="s">
        <v>2506</v>
      </c>
      <c r="C16" s="2083"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5"/>
      <c r="M16" s="2939"/>
      <c r="N16" s="2939"/>
      <c r="O16" s="2997"/>
      <c r="P16" s="3295"/>
      <c r="Q16" s="1534" t="str">
        <f>B16</f>
        <v>公共配套设施</v>
      </c>
      <c r="R16" s="712" t="s">
        <v>17</v>
      </c>
      <c r="S16" s="713">
        <f>F16</f>
        <v>100</v>
      </c>
      <c r="T16" s="712" t="s">
        <v>17</v>
      </c>
      <c r="U16" s="713">
        <f>H16</f>
        <v>100</v>
      </c>
      <c r="V16" s="712" t="s">
        <v>17</v>
      </c>
      <c r="W16" s="713">
        <f>J16</f>
        <v>100</v>
      </c>
      <c r="X16" s="1537"/>
      <c r="Y16" s="3295"/>
      <c r="Z16" s="1538" t="str">
        <f>Q16</f>
        <v>公共配套设施</v>
      </c>
      <c r="AA16" s="1535">
        <f t="shared" si="3"/>
        <v>1</v>
      </c>
      <c r="AB16" s="1535">
        <f t="shared" si="4"/>
        <v>1</v>
      </c>
      <c r="AC16" s="1535">
        <f t="shared" si="5"/>
        <v>1</v>
      </c>
    </row>
    <row r="17" spans="1:29" ht="15">
      <c r="A17" s="385"/>
      <c r="B17" s="413"/>
      <c r="C17" s="2084"/>
      <c r="D17" s="405"/>
      <c r="E17" s="404"/>
      <c r="F17" s="406"/>
      <c r="G17" s="404"/>
      <c r="H17" s="405"/>
      <c r="I17" s="404"/>
      <c r="J17" s="405"/>
      <c r="K17" s="570"/>
      <c r="L17" s="2945"/>
      <c r="M17" s="2939"/>
      <c r="N17" s="2939"/>
      <c r="O17" s="2997"/>
      <c r="P17" s="3295"/>
      <c r="Q17" s="1534"/>
      <c r="R17" s="712"/>
      <c r="S17" s="713"/>
      <c r="T17" s="712"/>
      <c r="U17" s="713"/>
      <c r="V17" s="712"/>
      <c r="W17" s="713"/>
      <c r="X17" s="1537"/>
      <c r="Y17" s="3295"/>
      <c r="Z17" s="1538"/>
      <c r="AA17" s="1535">
        <v>1</v>
      </c>
      <c r="AB17" s="1535">
        <v>1</v>
      </c>
      <c r="AC17" s="1535">
        <v>1</v>
      </c>
    </row>
    <row r="18" spans="1:29" ht="28.5">
      <c r="A18" s="385"/>
      <c r="B18" s="1291" t="s">
        <v>2507</v>
      </c>
      <c r="C18" s="2083"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5"/>
      <c r="M18" s="2939"/>
      <c r="N18" s="2939"/>
      <c r="O18" s="2997"/>
      <c r="P18" s="3295"/>
      <c r="Q18" s="1534" t="str">
        <f>B18</f>
        <v>基础设施水平</v>
      </c>
      <c r="R18" s="712" t="s">
        <v>17</v>
      </c>
      <c r="S18" s="713">
        <f>F18</f>
        <v>100</v>
      </c>
      <c r="T18" s="712" t="s">
        <v>17</v>
      </c>
      <c r="U18" s="713">
        <f>H18</f>
        <v>100</v>
      </c>
      <c r="V18" s="712" t="s">
        <v>17</v>
      </c>
      <c r="W18" s="713">
        <f>J18</f>
        <v>100</v>
      </c>
      <c r="X18" s="1537"/>
      <c r="Y18" s="3295"/>
      <c r="Z18" s="1538" t="str">
        <f>Q18</f>
        <v>基础设施水平</v>
      </c>
      <c r="AA18" s="1535">
        <f t="shared" ref="AA18" si="8">D18/F18</f>
        <v>1</v>
      </c>
      <c r="AB18" s="1535">
        <f t="shared" ref="AB18" si="9">D18/H18</f>
        <v>1</v>
      </c>
      <c r="AC18" s="1535">
        <f t="shared" ref="AC18" si="10">D18/J18</f>
        <v>1</v>
      </c>
    </row>
    <row r="19" spans="1:29" ht="15">
      <c r="A19" s="385"/>
      <c r="B19" s="1291"/>
      <c r="C19" s="2084"/>
      <c r="D19" s="407"/>
      <c r="E19" s="2084"/>
      <c r="F19" s="410"/>
      <c r="G19" s="2084"/>
      <c r="H19" s="405"/>
      <c r="I19" s="404"/>
      <c r="J19" s="405"/>
      <c r="K19" s="1290"/>
      <c r="L19" s="2945"/>
      <c r="M19" s="2939"/>
      <c r="N19" s="2939"/>
      <c r="O19" s="2997"/>
      <c r="P19" s="3295"/>
      <c r="Q19" s="1534"/>
      <c r="R19" s="712"/>
      <c r="S19" s="713"/>
      <c r="T19" s="712"/>
      <c r="U19" s="713"/>
      <c r="V19" s="712"/>
      <c r="W19" s="713"/>
      <c r="X19" s="1537"/>
      <c r="Y19" s="3295"/>
      <c r="Z19" s="1538"/>
      <c r="AA19" s="1535">
        <v>1</v>
      </c>
      <c r="AB19" s="1535">
        <v>1</v>
      </c>
      <c r="AC19" s="1535">
        <v>1</v>
      </c>
    </row>
    <row r="20" spans="1:29" ht="57">
      <c r="A20" s="385"/>
      <c r="B20" s="408" t="s">
        <v>2528</v>
      </c>
      <c r="C20" s="2083"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5"/>
      <c r="M20" s="2939"/>
      <c r="N20" s="2939"/>
      <c r="O20" s="2997"/>
      <c r="P20" s="3295"/>
      <c r="Q20" s="1534" t="str">
        <f>B20</f>
        <v>自然及人文环境</v>
      </c>
      <c r="R20" s="712" t="s">
        <v>17</v>
      </c>
      <c r="S20" s="713">
        <f>F20</f>
        <v>100</v>
      </c>
      <c r="T20" s="712" t="s">
        <v>17</v>
      </c>
      <c r="U20" s="713">
        <f>H20</f>
        <v>100</v>
      </c>
      <c r="V20" s="712" t="s">
        <v>17</v>
      </c>
      <c r="W20" s="713">
        <f>J20</f>
        <v>100</v>
      </c>
      <c r="X20" s="1537"/>
      <c r="Y20" s="3295"/>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5"/>
      <c r="M21" s="2939"/>
      <c r="N21" s="2939"/>
      <c r="O21" s="2997"/>
      <c r="P21" s="3295"/>
      <c r="Q21" s="1534"/>
      <c r="R21" s="712"/>
      <c r="S21" s="713"/>
      <c r="T21" s="712"/>
      <c r="U21" s="713"/>
      <c r="V21" s="712"/>
      <c r="W21" s="713"/>
      <c r="X21" s="1537"/>
      <c r="Y21" s="3295"/>
      <c r="Z21" s="1538"/>
      <c r="AA21" s="1535">
        <v>1</v>
      </c>
      <c r="AB21" s="1535">
        <v>1</v>
      </c>
      <c r="AC21" s="1535">
        <v>1</v>
      </c>
    </row>
    <row r="22" spans="1:29" ht="15">
      <c r="A22" s="385"/>
      <c r="B22" s="408" t="s">
        <v>2529</v>
      </c>
      <c r="C22" s="571"/>
      <c r="D22" s="407">
        <v>100</v>
      </c>
      <c r="E22" s="571"/>
      <c r="F22" s="418">
        <f>SUMIF(69:69,E22,70:70)-SUMIF(69:69,C22,70:70)+100</f>
        <v>100</v>
      </c>
      <c r="G22" s="571"/>
      <c r="H22" s="392">
        <f>SUMIF(69:69,G22,70:70)-SUMIF(69:69,C22,70:70)+100</f>
        <v>100</v>
      </c>
      <c r="I22" s="571"/>
      <c r="J22" s="392">
        <f>SUMIF(69:69,I22,70:70)-SUMIF(69:69,C22,70:70)+100</f>
        <v>100</v>
      </c>
      <c r="K22" s="567"/>
      <c r="L22" s="2945"/>
      <c r="M22" s="2939"/>
      <c r="N22" s="2939"/>
      <c r="O22" s="2997"/>
      <c r="P22" s="3295"/>
      <c r="Q22" s="1534" t="str">
        <f>B22</f>
        <v>楼层</v>
      </c>
      <c r="R22" s="712" t="s">
        <v>17</v>
      </c>
      <c r="S22" s="713">
        <f>F22</f>
        <v>100</v>
      </c>
      <c r="T22" s="712" t="s">
        <v>17</v>
      </c>
      <c r="U22" s="713">
        <f>H22</f>
        <v>100</v>
      </c>
      <c r="V22" s="712" t="s">
        <v>17</v>
      </c>
      <c r="W22" s="713">
        <f>J22</f>
        <v>100</v>
      </c>
      <c r="X22" s="1537"/>
      <c r="Y22" s="3295"/>
      <c r="Z22" s="1538" t="str">
        <f>Q22</f>
        <v>楼层</v>
      </c>
      <c r="AA22" s="1535">
        <f t="shared" si="3"/>
        <v>1</v>
      </c>
      <c r="AB22" s="1535">
        <f t="shared" si="4"/>
        <v>1</v>
      </c>
      <c r="AC22" s="1535">
        <f t="shared" si="5"/>
        <v>1</v>
      </c>
    </row>
    <row r="23" spans="1:29" ht="15">
      <c r="A23" s="362"/>
      <c r="B23" s="2076">
        <v>111</v>
      </c>
      <c r="C23" s="389"/>
      <c r="D23" s="392">
        <v>100</v>
      </c>
      <c r="E23" s="391"/>
      <c r="F23" s="418">
        <f>SUMIF(71:71,E23,72:72)-SUMIF(71:71,C23,72:72)+100</f>
        <v>100</v>
      </c>
      <c r="G23" s="391"/>
      <c r="H23" s="392">
        <f>SUMIF(71:71,G23,72:72)-SUMIF(71:71,C23,72:72)+100</f>
        <v>100</v>
      </c>
      <c r="I23" s="391"/>
      <c r="J23" s="392">
        <f>SUMIF(71:71,I23,72:72)-SUMIF(71:71,C23,72:72)+100</f>
        <v>100</v>
      </c>
      <c r="K23" s="568"/>
      <c r="L23" s="2945"/>
      <c r="M23" s="2939"/>
      <c r="N23" s="2939"/>
      <c r="O23" s="2997"/>
      <c r="P23" s="3295"/>
      <c r="Q23" s="1534">
        <f>B23</f>
        <v>111</v>
      </c>
      <c r="R23" s="712" t="s">
        <v>17</v>
      </c>
      <c r="S23" s="713">
        <f>F23</f>
        <v>100</v>
      </c>
      <c r="T23" s="712" t="s">
        <v>17</v>
      </c>
      <c r="U23" s="713">
        <f>H23</f>
        <v>100</v>
      </c>
      <c r="V23" s="712" t="s">
        <v>17</v>
      </c>
      <c r="W23" s="713">
        <f>J23</f>
        <v>100</v>
      </c>
      <c r="X23" s="1537"/>
      <c r="Y23" s="3295"/>
      <c r="Z23" s="1538">
        <f>Q23</f>
        <v>111</v>
      </c>
      <c r="AA23" s="1535">
        <f t="shared" si="3"/>
        <v>1</v>
      </c>
      <c r="AB23" s="1535">
        <f t="shared" si="4"/>
        <v>1</v>
      </c>
      <c r="AC23" s="1535">
        <f t="shared" si="5"/>
        <v>1</v>
      </c>
    </row>
    <row r="24" spans="1:29" ht="15">
      <c r="A24" s="385"/>
      <c r="B24" s="2076">
        <v>111</v>
      </c>
      <c r="C24" s="389"/>
      <c r="D24" s="392">
        <v>100</v>
      </c>
      <c r="E24" s="391"/>
      <c r="F24" s="418">
        <f>SUMIF(73:73,E24,74:74)-SUMIF(73:73,C24,74:74)+100</f>
        <v>100</v>
      </c>
      <c r="G24" s="391"/>
      <c r="H24" s="392">
        <f>SUMIF(73:73,G24,74:74)-SUMIF(73:73,C24,74:74)+100</f>
        <v>100</v>
      </c>
      <c r="I24" s="391"/>
      <c r="J24" s="392">
        <f>SUMIF(73:73,I24,74:74)-SUMIF(73:73,C24,74:74)+100</f>
        <v>100</v>
      </c>
      <c r="K24" s="568"/>
      <c r="L24" s="2945"/>
      <c r="M24" s="2939"/>
      <c r="N24" s="2939"/>
      <c r="O24" s="2997"/>
      <c r="P24" s="3295"/>
      <c r="Q24" s="1534">
        <f t="shared" ref="Q24:Q34" si="11">B24</f>
        <v>111</v>
      </c>
      <c r="R24" s="712" t="s">
        <v>17</v>
      </c>
      <c r="S24" s="713">
        <f>F24</f>
        <v>100</v>
      </c>
      <c r="T24" s="712" t="s">
        <v>17</v>
      </c>
      <c r="U24" s="713">
        <f>H24</f>
        <v>100</v>
      </c>
      <c r="V24" s="712" t="s">
        <v>17</v>
      </c>
      <c r="W24" s="713">
        <f>J24</f>
        <v>100</v>
      </c>
      <c r="X24" s="1537"/>
      <c r="Y24" s="3295"/>
      <c r="Z24" s="1538">
        <f>Q24</f>
        <v>111</v>
      </c>
      <c r="AA24" s="1535">
        <f t="shared" si="3"/>
        <v>1</v>
      </c>
      <c r="AB24" s="1535">
        <f t="shared" si="4"/>
        <v>1</v>
      </c>
      <c r="AC24" s="1535">
        <f t="shared" si="5"/>
        <v>1</v>
      </c>
    </row>
    <row r="25" spans="1:29" s="112" customFormat="1" ht="15.75" thickBot="1">
      <c r="A25" s="388"/>
      <c r="B25" s="2076">
        <v>111</v>
      </c>
      <c r="C25" s="2159"/>
      <c r="D25" s="619">
        <v>100</v>
      </c>
      <c r="E25" s="2159"/>
      <c r="F25" s="620">
        <f>SUMIF(75:75,E25,76:76)-SUMIF(75:75,C25,76:76)+100</f>
        <v>100</v>
      </c>
      <c r="G25" s="2159"/>
      <c r="H25" s="619">
        <f>SUMIF(75:75,G25,76:76)-SUMIF(75:75,C25,76:76)+100</f>
        <v>100</v>
      </c>
      <c r="I25" s="2159"/>
      <c r="J25" s="619">
        <f>SUMIF(75:75,I25,76:76)-SUMIF(75:75,C25,76:76)+100</f>
        <v>100</v>
      </c>
      <c r="K25" s="568"/>
      <c r="L25" s="2940"/>
      <c r="M25" s="2941"/>
      <c r="N25" s="2941"/>
      <c r="O25" s="2995"/>
      <c r="P25" s="3295"/>
      <c r="Q25" s="1525">
        <f t="shared" si="11"/>
        <v>111</v>
      </c>
      <c r="R25" s="708" t="s">
        <v>17</v>
      </c>
      <c r="S25" s="709">
        <f>F25</f>
        <v>100</v>
      </c>
      <c r="T25" s="708" t="s">
        <v>17</v>
      </c>
      <c r="U25" s="709">
        <f>H25</f>
        <v>100</v>
      </c>
      <c r="V25" s="708" t="s">
        <v>17</v>
      </c>
      <c r="W25" s="709">
        <f>J25</f>
        <v>100</v>
      </c>
      <c r="X25" s="710"/>
      <c r="Y25" s="3295"/>
      <c r="Z25" s="54">
        <f>Q25</f>
        <v>111</v>
      </c>
      <c r="AA25" s="1535">
        <f>D25/F25</f>
        <v>1</v>
      </c>
      <c r="AB25" s="1535">
        <f>D25/H25</f>
        <v>1</v>
      </c>
      <c r="AC25" s="1535">
        <f>D25/J25</f>
        <v>1</v>
      </c>
    </row>
    <row r="26" spans="1:29" ht="28.5">
      <c r="A26" s="423" t="s">
        <v>2381</v>
      </c>
      <c r="B26" s="66" t="s">
        <v>2532</v>
      </c>
      <c r="C26" s="2150"/>
      <c r="D26" s="424">
        <v>100</v>
      </c>
      <c r="E26" s="2150"/>
      <c r="F26" s="621">
        <f>SUMIF(77:77,E26,78:78)-SUMIF(77:77,C26,78:78)+100</f>
        <v>100</v>
      </c>
      <c r="G26" s="2150"/>
      <c r="H26" s="424">
        <f>SUMIF(77:77,G26,78:78)-SUMIF(77:77,C26,78:78)+100</f>
        <v>100</v>
      </c>
      <c r="I26" s="2150"/>
      <c r="J26" s="424">
        <f>SUMIF(77:77,I26,78:78)-SUMIF(77:77,C26,78:78)+100</f>
        <v>100</v>
      </c>
      <c r="K26" s="567"/>
      <c r="L26" s="2945"/>
      <c r="M26" s="2939"/>
      <c r="N26" s="2939"/>
      <c r="O26" s="2997"/>
      <c r="P26" s="3296" t="s">
        <v>2383</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297" t="s">
        <v>2383</v>
      </c>
      <c r="Z26" s="1538" t="str">
        <f t="shared" ref="Z26:Z34" si="15">Q26</f>
        <v>公共部分装修</v>
      </c>
      <c r="AA26" s="1535">
        <f t="shared" si="3"/>
        <v>1</v>
      </c>
      <c r="AB26" s="1535">
        <f t="shared" si="4"/>
        <v>1</v>
      </c>
      <c r="AC26" s="1535">
        <f t="shared" si="5"/>
        <v>1</v>
      </c>
    </row>
    <row r="27" spans="1:29" s="428" customFormat="1" ht="15">
      <c r="A27" s="425"/>
      <c r="B27" s="379" t="s">
        <v>2533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4"/>
      <c r="M27" s="2946"/>
      <c r="N27" s="2946"/>
      <c r="O27" s="2998"/>
      <c r="P27" s="3297"/>
      <c r="Q27" s="714" t="str">
        <f t="shared" si="11"/>
        <v>成新率</v>
      </c>
      <c r="R27" s="715" t="s">
        <v>17</v>
      </c>
      <c r="S27" s="716" t="e">
        <f t="shared" si="12"/>
        <v>#N/A</v>
      </c>
      <c r="T27" s="715" t="s">
        <v>17</v>
      </c>
      <c r="U27" s="716" t="e">
        <f t="shared" si="13"/>
        <v>#N/A</v>
      </c>
      <c r="V27" s="715" t="s">
        <v>17</v>
      </c>
      <c r="W27" s="716" t="e">
        <f t="shared" si="14"/>
        <v>#N/A</v>
      </c>
      <c r="X27" s="717"/>
      <c r="Y27" s="3297"/>
      <c r="Z27" s="718" t="str">
        <f t="shared" si="15"/>
        <v>成新率</v>
      </c>
      <c r="AA27" s="1535" t="e">
        <f t="shared" si="3"/>
        <v>#N/A</v>
      </c>
      <c r="AB27" s="1535" t="e">
        <f t="shared" si="4"/>
        <v>#N/A</v>
      </c>
      <c r="AC27" s="1535" t="e">
        <f t="shared" si="5"/>
        <v>#N/A</v>
      </c>
    </row>
    <row r="28" spans="1:29" ht="15">
      <c r="A28" s="429"/>
      <c r="B28" s="379" t="s">
        <v>2534</v>
      </c>
      <c r="C28" s="417"/>
      <c r="D28" s="392">
        <v>100</v>
      </c>
      <c r="E28" s="417"/>
      <c r="F28" s="418">
        <f>SUMIF(82:82,E28,83:83)-SUMIF(82:82,C28,83:83)+100</f>
        <v>100</v>
      </c>
      <c r="G28" s="417"/>
      <c r="H28" s="392">
        <f>SUMIF(82:82,G28,83:83)-SUMIF(82:82,C28,83:83)+100</f>
        <v>100</v>
      </c>
      <c r="I28" s="417"/>
      <c r="J28" s="392">
        <f>SUMIF(82:82,I28,83:83)-SUMIF(82:82,C28,83:83)+100</f>
        <v>100</v>
      </c>
      <c r="K28" s="567"/>
      <c r="L28" s="2945"/>
      <c r="M28" s="2939"/>
      <c r="N28" s="2939"/>
      <c r="O28" s="2997"/>
      <c r="P28" s="3297"/>
      <c r="Q28" s="1534" t="str">
        <f t="shared" si="11"/>
        <v>物业等级</v>
      </c>
      <c r="R28" s="712" t="s">
        <v>17</v>
      </c>
      <c r="S28" s="713">
        <f t="shared" si="12"/>
        <v>100</v>
      </c>
      <c r="T28" s="712" t="s">
        <v>17</v>
      </c>
      <c r="U28" s="713">
        <f t="shared" si="13"/>
        <v>100</v>
      </c>
      <c r="V28" s="712" t="s">
        <v>17</v>
      </c>
      <c r="W28" s="713">
        <f t="shared" si="14"/>
        <v>100</v>
      </c>
      <c r="X28" s="1537"/>
      <c r="Y28" s="3297"/>
      <c r="Z28" s="1538" t="str">
        <f t="shared" si="15"/>
        <v>物业等级</v>
      </c>
      <c r="AA28" s="1535">
        <f t="shared" si="3"/>
        <v>1</v>
      </c>
      <c r="AB28" s="1535">
        <f t="shared" si="4"/>
        <v>1</v>
      </c>
      <c r="AC28" s="1535">
        <f t="shared" si="5"/>
        <v>1</v>
      </c>
    </row>
    <row r="29" spans="1:29" ht="15">
      <c r="A29" s="429"/>
      <c r="B29" s="379" t="s">
        <v>2555</v>
      </c>
      <c r="C29" s="611"/>
      <c r="D29" s="392">
        <v>100</v>
      </c>
      <c r="E29" s="611"/>
      <c r="F29" s="418">
        <f>SUMIF(84:84,E29,85:85)-SUMIF(84:84,C29,85:85)+100</f>
        <v>100</v>
      </c>
      <c r="G29" s="611"/>
      <c r="H29" s="392">
        <f>SUMIF(84:84,G29,85:85)-SUMIF(84:84,C29,85:85)+100</f>
        <v>100</v>
      </c>
      <c r="I29" s="611"/>
      <c r="J29" s="392">
        <f>SUMIF(84:84,I29,85:85)-SUMIF(84:84,C29,85:85)+100</f>
        <v>100</v>
      </c>
      <c r="K29" s="567"/>
      <c r="L29" s="2945"/>
      <c r="M29" s="2939"/>
      <c r="N29" s="2939"/>
      <c r="O29" s="2997"/>
      <c r="P29" s="3297"/>
      <c r="Q29" s="1534" t="str">
        <f t="shared" si="11"/>
        <v>有无电梯</v>
      </c>
      <c r="R29" s="712" t="s">
        <v>17</v>
      </c>
      <c r="S29" s="713">
        <f t="shared" si="12"/>
        <v>100</v>
      </c>
      <c r="T29" s="712" t="s">
        <v>17</v>
      </c>
      <c r="U29" s="713">
        <f t="shared" si="13"/>
        <v>100</v>
      </c>
      <c r="V29" s="712" t="s">
        <v>17</v>
      </c>
      <c r="W29" s="713">
        <f t="shared" si="14"/>
        <v>100</v>
      </c>
      <c r="X29" s="1537"/>
      <c r="Y29" s="3297"/>
      <c r="Z29" s="1538" t="str">
        <f t="shared" si="15"/>
        <v>有无电梯</v>
      </c>
      <c r="AA29" s="1535">
        <f t="shared" si="3"/>
        <v>1</v>
      </c>
      <c r="AB29" s="1535">
        <f t="shared" si="4"/>
        <v>1</v>
      </c>
      <c r="AC29" s="1535">
        <f t="shared" si="5"/>
        <v>1</v>
      </c>
    </row>
    <row r="30" spans="1:29" ht="15">
      <c r="A30" s="429"/>
      <c r="B30" s="379" t="s">
        <v>2556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5"/>
      <c r="M30" s="2939"/>
      <c r="N30" s="2939"/>
      <c r="O30" s="2997"/>
      <c r="P30" s="3297"/>
      <c r="Q30" s="1534" t="str">
        <f t="shared" si="11"/>
        <v>建筑面积</v>
      </c>
      <c r="R30" s="712" t="s">
        <v>17</v>
      </c>
      <c r="S30" s="713" t="e">
        <f t="shared" si="12"/>
        <v>#N/A</v>
      </c>
      <c r="T30" s="712" t="s">
        <v>17</v>
      </c>
      <c r="U30" s="713" t="e">
        <f t="shared" si="13"/>
        <v>#N/A</v>
      </c>
      <c r="V30" s="712" t="s">
        <v>17</v>
      </c>
      <c r="W30" s="713" t="e">
        <f t="shared" si="14"/>
        <v>#N/A</v>
      </c>
      <c r="X30" s="1537"/>
      <c r="Y30" s="3297"/>
      <c r="Z30" s="1538" t="str">
        <f t="shared" si="15"/>
        <v>建筑面积</v>
      </c>
      <c r="AA30" s="1535" t="e">
        <f t="shared" si="3"/>
        <v>#N/A</v>
      </c>
      <c r="AB30" s="1535" t="e">
        <f t="shared" si="4"/>
        <v>#N/A</v>
      </c>
      <c r="AC30" s="1535" t="e">
        <f t="shared" si="5"/>
        <v>#N/A</v>
      </c>
    </row>
    <row r="31" spans="1:29" s="112" customFormat="1" ht="15">
      <c r="A31" s="430"/>
      <c r="B31" s="379" t="s">
        <v>2557</v>
      </c>
      <c r="C31" s="611"/>
      <c r="D31" s="130">
        <v>100</v>
      </c>
      <c r="E31" s="611"/>
      <c r="F31" s="418">
        <f>SUMIF(89:89,E31,90:90)-SUMIF(89:89,C31,90:90)+100</f>
        <v>100</v>
      </c>
      <c r="G31" s="611"/>
      <c r="H31" s="392">
        <f>SUMIF(89:89,G31,90:90)-SUMIF(89:89,C31,90:90)+100</f>
        <v>100</v>
      </c>
      <c r="I31" s="611"/>
      <c r="J31" s="392">
        <f>SUMIF(89:89,I31,90:90)-SUMIF(89:89,C31,90:90)+100</f>
        <v>100</v>
      </c>
      <c r="K31" s="567"/>
      <c r="L31" s="2940"/>
      <c r="M31" s="2941"/>
      <c r="N31" s="2941"/>
      <c r="O31" s="2995"/>
      <c r="P31" s="3297"/>
      <c r="Q31" s="1525" t="str">
        <f t="shared" si="11"/>
        <v>是否封闭</v>
      </c>
      <c r="R31" s="708" t="s">
        <v>17</v>
      </c>
      <c r="S31" s="709">
        <f t="shared" si="12"/>
        <v>100</v>
      </c>
      <c r="T31" s="708" t="s">
        <v>17</v>
      </c>
      <c r="U31" s="709">
        <f t="shared" si="13"/>
        <v>100</v>
      </c>
      <c r="V31" s="708" t="s">
        <v>17</v>
      </c>
      <c r="W31" s="709">
        <f t="shared" si="14"/>
        <v>100</v>
      </c>
      <c r="X31" s="710"/>
      <c r="Y31" s="3297"/>
      <c r="Z31" s="54" t="str">
        <f t="shared" si="15"/>
        <v>是否封闭</v>
      </c>
      <c r="AA31" s="711">
        <f t="shared" si="3"/>
        <v>1</v>
      </c>
      <c r="AB31" s="711">
        <f t="shared" si="4"/>
        <v>1</v>
      </c>
      <c r="AC31" s="711">
        <f t="shared" si="5"/>
        <v>1</v>
      </c>
    </row>
    <row r="32" spans="1:29" ht="15">
      <c r="A32" s="429"/>
      <c r="B32" s="2076">
        <v>111</v>
      </c>
      <c r="C32" s="389"/>
      <c r="D32" s="392">
        <v>100</v>
      </c>
      <c r="E32" s="426"/>
      <c r="F32" s="418">
        <f>SUMIF(91:91,E32,92:92)-SUMIF(91:91,C32,92:92)+100</f>
        <v>100</v>
      </c>
      <c r="G32" s="426"/>
      <c r="H32" s="392">
        <f>SUMIF(91:91,G32,92:92)-SUMIF(91:91,C32,92:92)+100</f>
        <v>100</v>
      </c>
      <c r="I32" s="426"/>
      <c r="J32" s="392">
        <f>SUMIF(91:91,I32,92:92)-SUMIF(91:91,C32,92:92)+100</f>
        <v>100</v>
      </c>
      <c r="K32" s="568"/>
      <c r="L32" s="2945"/>
      <c r="M32" s="2939"/>
      <c r="N32" s="2939"/>
      <c r="O32" s="2997"/>
      <c r="P32" s="3297" t="s">
        <v>2383</v>
      </c>
      <c r="Q32" s="1534">
        <f t="shared" si="11"/>
        <v>111</v>
      </c>
      <c r="R32" s="712" t="s">
        <v>17</v>
      </c>
      <c r="S32" s="713">
        <f t="shared" si="12"/>
        <v>100</v>
      </c>
      <c r="T32" s="712" t="s">
        <v>17</v>
      </c>
      <c r="U32" s="713">
        <f t="shared" si="13"/>
        <v>100</v>
      </c>
      <c r="V32" s="712" t="s">
        <v>17</v>
      </c>
      <c r="W32" s="713">
        <f t="shared" si="14"/>
        <v>100</v>
      </c>
      <c r="X32" s="1537"/>
      <c r="Y32" s="3297" t="s">
        <v>2383</v>
      </c>
      <c r="Z32" s="1538">
        <f t="shared" si="15"/>
        <v>111</v>
      </c>
      <c r="AA32" s="1535">
        <f t="shared" si="3"/>
        <v>1</v>
      </c>
      <c r="AB32" s="1535">
        <f t="shared" si="4"/>
        <v>1</v>
      </c>
      <c r="AC32" s="1535">
        <f t="shared" si="5"/>
        <v>1</v>
      </c>
    </row>
    <row r="33" spans="1:30" ht="15">
      <c r="A33" s="429"/>
      <c r="B33" s="2076">
        <v>111</v>
      </c>
      <c r="C33" s="389"/>
      <c r="D33" s="392">
        <v>100</v>
      </c>
      <c r="E33" s="426"/>
      <c r="F33" s="418">
        <f>SUMIF(93:93,E33,94:94)-SUMIF(93:93,C33,94:94)+100</f>
        <v>100</v>
      </c>
      <c r="G33" s="426"/>
      <c r="H33" s="392">
        <f>SUMIF(93:93,G33,94:94)-SUMIF(93:93,C33,94:94)+100</f>
        <v>100</v>
      </c>
      <c r="I33" s="426"/>
      <c r="J33" s="392">
        <f>SUMIF(93:93,I33,94:94)-SUMIF(93:93,C33,94:94)+100</f>
        <v>100</v>
      </c>
      <c r="K33" s="568"/>
      <c r="L33" s="2945"/>
      <c r="M33" s="2939"/>
      <c r="N33" s="2939"/>
      <c r="O33" s="2997"/>
      <c r="P33" s="3297"/>
      <c r="Q33" s="1534">
        <f t="shared" si="11"/>
        <v>111</v>
      </c>
      <c r="R33" s="712" t="s">
        <v>17</v>
      </c>
      <c r="S33" s="713">
        <f t="shared" si="12"/>
        <v>100</v>
      </c>
      <c r="T33" s="712" t="s">
        <v>17</v>
      </c>
      <c r="U33" s="713">
        <f t="shared" si="13"/>
        <v>100</v>
      </c>
      <c r="V33" s="712" t="s">
        <v>17</v>
      </c>
      <c r="W33" s="713">
        <f t="shared" si="14"/>
        <v>100</v>
      </c>
      <c r="X33" s="1537"/>
      <c r="Y33" s="3297"/>
      <c r="Z33" s="1538">
        <f t="shared" si="15"/>
        <v>111</v>
      </c>
      <c r="AA33" s="1535">
        <f t="shared" si="3"/>
        <v>1</v>
      </c>
      <c r="AB33" s="1535">
        <f t="shared" si="4"/>
        <v>1</v>
      </c>
      <c r="AC33" s="1535">
        <f t="shared" si="5"/>
        <v>1</v>
      </c>
    </row>
    <row r="34" spans="1:30" ht="15.75" thickBot="1">
      <c r="A34" s="435"/>
      <c r="B34" s="2078">
        <v>111</v>
      </c>
      <c r="C34" s="394"/>
      <c r="D34" s="395">
        <v>100</v>
      </c>
      <c r="E34" s="2158"/>
      <c r="F34" s="396">
        <f>SUMIF(95:95,E34,96:96)-SUMIF(95:95,C34,96:96)+100</f>
        <v>100</v>
      </c>
      <c r="G34" s="2158"/>
      <c r="H34" s="395">
        <f>SUMIF(95:95,G34,96:96)-SUMIF(95:95,C34,96:96)+100</f>
        <v>100</v>
      </c>
      <c r="I34" s="2158"/>
      <c r="J34" s="395">
        <f>SUMIF(95:95,I34,96:96)-SUMIF(95:95,C34,96:96)+100</f>
        <v>100</v>
      </c>
      <c r="K34" s="568"/>
      <c r="L34" s="2945"/>
      <c r="M34" s="2939"/>
      <c r="N34" s="2939"/>
      <c r="O34" s="2997"/>
      <c r="P34" s="3297"/>
      <c r="Q34" s="1534">
        <f t="shared" si="11"/>
        <v>111</v>
      </c>
      <c r="R34" s="712" t="s">
        <v>17</v>
      </c>
      <c r="S34" s="713">
        <f t="shared" si="12"/>
        <v>100</v>
      </c>
      <c r="T34" s="712" t="s">
        <v>17</v>
      </c>
      <c r="U34" s="713">
        <f t="shared" si="13"/>
        <v>100</v>
      </c>
      <c r="V34" s="712" t="s">
        <v>17</v>
      </c>
      <c r="W34" s="713">
        <f t="shared" si="14"/>
        <v>100</v>
      </c>
      <c r="X34" s="1537"/>
      <c r="Y34" s="3297"/>
      <c r="Z34" s="1538">
        <f t="shared" si="15"/>
        <v>111</v>
      </c>
      <c r="AA34" s="1535">
        <f t="shared" si="3"/>
        <v>1</v>
      </c>
      <c r="AB34" s="1535">
        <f t="shared" si="4"/>
        <v>1</v>
      </c>
      <c r="AC34" s="1535">
        <f t="shared" si="5"/>
        <v>1</v>
      </c>
    </row>
    <row r="35" spans="1:30" ht="15">
      <c r="A35" s="436" t="s">
        <v>2395</v>
      </c>
      <c r="B35" s="437"/>
      <c r="C35" s="1314" t="s">
        <v>1</v>
      </c>
      <c r="D35" s="1315"/>
      <c r="E35" s="1316"/>
      <c r="F35" s="1317"/>
      <c r="G35" s="1318"/>
      <c r="H35" s="1319"/>
      <c r="I35" s="1316"/>
      <c r="J35" s="1319"/>
      <c r="K35" s="721"/>
      <c r="L35" s="2947"/>
      <c r="M35" s="2948"/>
      <c r="N35" s="2939"/>
      <c r="O35" s="2948"/>
      <c r="P35" s="3279" t="str">
        <f>A35</f>
        <v>成交单价（元/平方米）</v>
      </c>
      <c r="Q35" s="3279"/>
      <c r="R35" s="3334">
        <f>E35</f>
        <v>0</v>
      </c>
      <c r="S35" s="3334"/>
      <c r="T35" s="3334">
        <f>G35</f>
        <v>0</v>
      </c>
      <c r="U35" s="3334"/>
      <c r="V35" s="3334">
        <f>I35</f>
        <v>0</v>
      </c>
      <c r="W35" s="3334"/>
      <c r="X35" s="697"/>
      <c r="Y35" s="719"/>
      <c r="Z35" s="697"/>
      <c r="AA35" s="697"/>
      <c r="AB35" s="697"/>
      <c r="AC35" s="697"/>
    </row>
    <row r="36" spans="1:30" ht="15.75" thickBot="1">
      <c r="A36" s="443" t="s">
        <v>2487</v>
      </c>
      <c r="B36" s="444"/>
      <c r="C36" s="1320" t="e">
        <f>R37</f>
        <v>#DIV/0!</v>
      </c>
      <c r="D36" s="2535" t="s">
        <v>2876</v>
      </c>
      <c r="E36" s="1321" t="e">
        <f>R36</f>
        <v>#DIV/0!</v>
      </c>
      <c r="F36" s="2536"/>
      <c r="G36" s="1320" t="e">
        <f>T36</f>
        <v>#DIV/0!</v>
      </c>
      <c r="H36" s="2536"/>
      <c r="I36" s="1321" t="e">
        <f>V36</f>
        <v>#DIV/0!</v>
      </c>
      <c r="J36" s="2536"/>
      <c r="K36" s="2538">
        <f>F36+H36+J36</f>
        <v>0</v>
      </c>
      <c r="L36" s="2947"/>
      <c r="M36" s="2948"/>
      <c r="N36" s="2939"/>
      <c r="O36" s="2948"/>
      <c r="P36" s="3279" t="str">
        <f>A36</f>
        <v>比较价值（元/平方米）</v>
      </c>
      <c r="Q36" s="3279"/>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7"/>
      <c r="Y36" s="697"/>
      <c r="Z36" s="697"/>
      <c r="AA36" s="697"/>
      <c r="AB36" s="697"/>
      <c r="AC36" s="697"/>
    </row>
    <row r="37" spans="1:30" ht="15.75" thickBot="1">
      <c r="A37" s="447" t="s">
        <v>2488</v>
      </c>
      <c r="B37" s="448"/>
      <c r="C37" s="1323" t="e">
        <f>R37</f>
        <v>#DIV/0!</v>
      </c>
      <c r="D37" s="1323"/>
      <c r="E37" s="1323"/>
      <c r="F37" s="1323"/>
      <c r="G37" s="1323"/>
      <c r="H37" s="1323"/>
      <c r="I37" s="1323"/>
      <c r="J37" s="1323"/>
      <c r="K37" s="722"/>
      <c r="L37" s="2947"/>
      <c r="M37" s="2948"/>
      <c r="N37" s="2948"/>
      <c r="O37" s="2948"/>
      <c r="P37" s="3299" t="str">
        <f>A37</f>
        <v>估价对象XX用房的比较价值（楼面单价，元/平方米）</v>
      </c>
      <c r="Q37" s="3300"/>
      <c r="R37" s="3356" t="e">
        <f>IF(F1="售价",ROUND(IF(D36="简单平均",AVERAGE(R36:W36),R36*F36+T36*H36+V36*J36),0),ROUND(IF(D36="简单平均",AVERAGE(R36:V36),R36*F36+T36*H36+V36*J36),1))</f>
        <v>#DIV/0!</v>
      </c>
      <c r="S37" s="3356"/>
      <c r="T37" s="3356"/>
      <c r="U37" s="3356"/>
      <c r="V37" s="3356"/>
      <c r="W37" s="3356"/>
      <c r="X37" s="697"/>
      <c r="Y37" s="697"/>
      <c r="Z37" s="697"/>
      <c r="AA37" s="697"/>
      <c r="AB37" s="697"/>
      <c r="AC37" s="697"/>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2" t="s">
        <v>2489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2" t="s">
        <v>2490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7" customFormat="1" ht="13.5" customHeight="1">
      <c r="A42" s="2951"/>
      <c r="B42" s="2951"/>
      <c r="C42" s="452" t="s">
        <v>2491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7"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1" t="s">
        <v>2492</v>
      </c>
      <c r="B45" s="697"/>
      <c r="C45" s="702"/>
      <c r="D45" s="702"/>
      <c r="E45" s="702"/>
      <c r="F45" s="703"/>
      <c r="G45" s="703"/>
      <c r="H45" s="702"/>
      <c r="I45" s="702"/>
      <c r="J45" s="702"/>
      <c r="K45" s="704"/>
      <c r="L45" s="705"/>
      <c r="M45" s="702"/>
      <c r="N45" s="2992"/>
      <c r="O45" s="2992"/>
      <c r="P45" s="2992"/>
      <c r="Q45" s="2962"/>
      <c r="R45" s="2948"/>
      <c r="S45" s="2948"/>
      <c r="T45" s="2948"/>
      <c r="U45" s="2948"/>
      <c r="V45" s="2948"/>
      <c r="W45" s="2948"/>
      <c r="X45" s="2948"/>
      <c r="Y45" s="2948"/>
      <c r="Z45" s="2948"/>
      <c r="AA45" s="2948"/>
      <c r="AB45" s="2948"/>
      <c r="AC45" s="2948"/>
      <c r="AD45" s="2948"/>
    </row>
    <row r="46" spans="1:30" s="463" customFormat="1" ht="15">
      <c r="A46" s="460" t="s">
        <v>2366</v>
      </c>
      <c r="B46" s="461"/>
      <c r="C46" s="1343" t="str">
        <f>YEAR(C7)&amp;"-"&amp;MONTH(C7)</f>
        <v>2021-4</v>
      </c>
      <c r="D46" s="1344">
        <f>EDATE(C46,-1)</f>
        <v>44256</v>
      </c>
      <c r="E46" s="1344">
        <f t="shared" ref="E46:O46" si="16">EDATE(D46,-1)</f>
        <v>44228</v>
      </c>
      <c r="F46" s="1344">
        <f t="shared" si="16"/>
        <v>44197</v>
      </c>
      <c r="G46" s="1344">
        <f t="shared" si="16"/>
        <v>44166</v>
      </c>
      <c r="H46" s="1344">
        <f t="shared" si="16"/>
        <v>44136</v>
      </c>
      <c r="I46" s="1344">
        <f t="shared" si="16"/>
        <v>44105</v>
      </c>
      <c r="J46" s="1344">
        <f t="shared" si="16"/>
        <v>44075</v>
      </c>
      <c r="K46" s="1344">
        <f t="shared" si="16"/>
        <v>44044</v>
      </c>
      <c r="L46" s="1344">
        <f t="shared" si="16"/>
        <v>44013</v>
      </c>
      <c r="M46" s="1344">
        <f t="shared" si="16"/>
        <v>43983</v>
      </c>
      <c r="N46" s="1344">
        <f t="shared" si="16"/>
        <v>43952</v>
      </c>
      <c r="O46" s="1344">
        <f t="shared" si="16"/>
        <v>43922</v>
      </c>
      <c r="P46" s="2999"/>
      <c r="Q46" s="2964"/>
      <c r="R46" s="2964"/>
      <c r="S46" s="2964"/>
      <c r="T46" s="2964"/>
      <c r="U46" s="2964"/>
      <c r="V46" s="2964"/>
      <c r="W46" s="2964"/>
      <c r="X46" s="2964"/>
      <c r="Y46" s="2964"/>
      <c r="Z46" s="2964"/>
      <c r="AA46" s="2964"/>
      <c r="AB46" s="2964"/>
      <c r="AC46" s="2964"/>
      <c r="AD46" s="2964"/>
    </row>
    <row r="47" spans="1:30" s="112" customFormat="1" ht="15">
      <c r="A47" s="464"/>
      <c r="B47" s="465"/>
      <c r="C47" s="1342">
        <v>100</v>
      </c>
      <c r="D47" s="467"/>
      <c r="E47" s="467"/>
      <c r="F47" s="467"/>
      <c r="G47" s="467"/>
      <c r="H47" s="467"/>
      <c r="I47" s="467"/>
      <c r="J47" s="467"/>
      <c r="K47" s="467"/>
      <c r="L47" s="467"/>
      <c r="M47" s="468"/>
      <c r="N47" s="467"/>
      <c r="O47" s="469"/>
      <c r="P47" s="2962"/>
      <c r="Q47" s="2882"/>
      <c r="R47" s="2882"/>
      <c r="S47" s="2882"/>
      <c r="T47" s="2882"/>
      <c r="U47" s="2882"/>
      <c r="V47" s="2882"/>
      <c r="W47" s="2882"/>
      <c r="X47" s="2882"/>
      <c r="Y47" s="2882"/>
      <c r="Z47" s="2882"/>
      <c r="AA47" s="2882"/>
      <c r="AB47" s="2882"/>
      <c r="AC47" s="2882"/>
      <c r="AD47" s="2882"/>
    </row>
    <row r="48" spans="1:30" s="112" customFormat="1" ht="15.75" thickBot="1">
      <c r="A48" s="470" t="s">
        <v>2403</v>
      </c>
      <c r="B48" s="471"/>
      <c r="C48" s="472"/>
      <c r="D48" s="473"/>
      <c r="E48" s="473"/>
      <c r="F48" s="473"/>
      <c r="G48" s="473"/>
      <c r="H48" s="473"/>
      <c r="I48" s="473"/>
      <c r="J48" s="473"/>
      <c r="K48" s="473"/>
      <c r="L48" s="473"/>
      <c r="M48" s="474"/>
      <c r="N48" s="473"/>
      <c r="O48" s="475"/>
      <c r="P48" s="2962"/>
      <c r="Q48" s="2962"/>
      <c r="R48" s="2882"/>
      <c r="S48" s="2882"/>
      <c r="T48" s="2882"/>
      <c r="U48" s="2882"/>
      <c r="V48" s="2882"/>
      <c r="W48" s="2882"/>
      <c r="X48" s="2882"/>
      <c r="Y48" s="2882"/>
      <c r="Z48" s="2882"/>
      <c r="AA48" s="2882"/>
      <c r="AB48" s="2882"/>
      <c r="AC48" s="2882"/>
      <c r="AD48" s="2882"/>
    </row>
    <row r="49" spans="1:30" s="112" customFormat="1" ht="15">
      <c r="A49" s="476" t="s">
        <v>2368</v>
      </c>
      <c r="B49" s="465"/>
      <c r="C49" s="477" t="s">
        <v>2470</v>
      </c>
      <c r="D49" s="478"/>
      <c r="E49" s="478"/>
      <c r="F49" s="478"/>
      <c r="G49" s="478"/>
      <c r="H49" s="478"/>
      <c r="I49" s="478"/>
      <c r="J49" s="478"/>
      <c r="K49" s="478"/>
      <c r="L49" s="479"/>
      <c r="M49" s="480"/>
      <c r="N49" s="2975"/>
      <c r="O49" s="2975"/>
      <c r="P49" s="3000"/>
      <c r="Q49" s="2962"/>
      <c r="R49" s="2882"/>
      <c r="S49" s="2882"/>
      <c r="T49" s="2882"/>
      <c r="U49" s="2882"/>
      <c r="V49" s="2882"/>
      <c r="W49" s="2882"/>
      <c r="X49" s="2882"/>
      <c r="Y49" s="2882"/>
      <c r="Z49" s="2882"/>
      <c r="AA49" s="2882"/>
      <c r="AB49" s="2882"/>
      <c r="AC49" s="2882"/>
      <c r="AD49" s="2882"/>
    </row>
    <row r="50" spans="1:30" s="112" customFormat="1" ht="15.75" thickBot="1">
      <c r="A50" s="476"/>
      <c r="B50" s="465"/>
      <c r="C50" s="593">
        <v>100</v>
      </c>
      <c r="D50" s="467"/>
      <c r="E50" s="467"/>
      <c r="F50" s="467"/>
      <c r="G50" s="467"/>
      <c r="H50" s="467"/>
      <c r="I50" s="467"/>
      <c r="J50" s="467"/>
      <c r="K50" s="467"/>
      <c r="L50" s="467"/>
      <c r="M50" s="469"/>
      <c r="N50" s="2975"/>
      <c r="O50" s="2975"/>
      <c r="P50" s="2962"/>
      <c r="Q50" s="2962"/>
      <c r="R50" s="2882"/>
      <c r="S50" s="2882"/>
      <c r="T50" s="2882"/>
      <c r="U50" s="2882"/>
      <c r="V50" s="2882"/>
      <c r="W50" s="2882"/>
      <c r="X50" s="2882"/>
      <c r="Y50" s="2882"/>
      <c r="Z50" s="2882"/>
      <c r="AA50" s="2882"/>
      <c r="AB50" s="2882"/>
      <c r="AC50" s="2882"/>
      <c r="AD50" s="2882"/>
    </row>
    <row r="51" spans="1:30">
      <c r="A51" s="482" t="s">
        <v>2406</v>
      </c>
      <c r="B51" s="483" t="s">
        <v>2372</v>
      </c>
      <c r="C51" s="484">
        <f>C9</f>
        <v>0</v>
      </c>
      <c r="D51" s="485"/>
      <c r="E51" s="485"/>
      <c r="F51" s="485"/>
      <c r="G51" s="485"/>
      <c r="H51" s="485"/>
      <c r="I51" s="485"/>
      <c r="J51" s="485"/>
      <c r="K51" s="486"/>
      <c r="L51" s="487"/>
      <c r="M51" s="488"/>
      <c r="N51" s="2976"/>
      <c r="O51" s="2976"/>
      <c r="P51" s="3001"/>
      <c r="Q51" s="2962"/>
      <c r="R51" s="2948"/>
      <c r="S51" s="2948"/>
      <c r="T51" s="2948"/>
      <c r="U51" s="2948"/>
      <c r="V51" s="2948"/>
      <c r="W51" s="2948"/>
      <c r="X51" s="2948"/>
      <c r="Y51" s="2948"/>
      <c r="Z51" s="2948"/>
      <c r="AA51" s="2948"/>
      <c r="AB51" s="2948"/>
      <c r="AC51" s="2948"/>
      <c r="AD51" s="2948"/>
    </row>
    <row r="52" spans="1:30" ht="15.75" thickBot="1">
      <c r="A52" s="489"/>
      <c r="B52" s="490"/>
      <c r="C52" s="491">
        <v>100</v>
      </c>
      <c r="D52" s="491"/>
      <c r="E52" s="491"/>
      <c r="F52" s="491"/>
      <c r="G52" s="491"/>
      <c r="H52" s="491"/>
      <c r="I52" s="491"/>
      <c r="J52" s="491"/>
      <c r="K52" s="491"/>
      <c r="L52" s="491"/>
      <c r="M52" s="492"/>
      <c r="N52" s="2977"/>
      <c r="O52" s="2977"/>
      <c r="P52" s="3001"/>
      <c r="Q52" s="2962"/>
      <c r="R52" s="2948"/>
      <c r="S52" s="2948"/>
      <c r="T52" s="2948"/>
      <c r="U52" s="2948"/>
      <c r="V52" s="2948"/>
      <c r="W52" s="2948"/>
      <c r="X52" s="2948"/>
      <c r="Y52" s="2948"/>
      <c r="Z52" s="2948"/>
      <c r="AA52" s="2948"/>
      <c r="AB52" s="2948"/>
      <c r="AC52" s="2948"/>
      <c r="AD52" s="2948"/>
    </row>
    <row r="53" spans="1:30" ht="27.75" thickTop="1">
      <c r="A53" s="489"/>
      <c r="B53" s="493" t="s">
        <v>2375</v>
      </c>
      <c r="C53" s="494" t="s">
        <v>2407</v>
      </c>
      <c r="D53" s="494" t="s">
        <v>2408</v>
      </c>
      <c r="E53" s="494" t="s">
        <v>2409</v>
      </c>
      <c r="F53" s="494" t="s">
        <v>2410</v>
      </c>
      <c r="G53" s="494" t="s">
        <v>2411</v>
      </c>
      <c r="H53" s="494" t="s">
        <v>2412</v>
      </c>
      <c r="I53" s="494" t="s">
        <v>2413</v>
      </c>
      <c r="J53" s="494"/>
      <c r="K53" s="495"/>
      <c r="L53" s="496"/>
      <c r="M53" s="497"/>
      <c r="N53" s="2976"/>
      <c r="O53" s="2976"/>
      <c r="P53" s="3001"/>
      <c r="Q53" s="2962"/>
      <c r="R53" s="2948"/>
      <c r="S53" s="2948"/>
      <c r="T53" s="2948"/>
      <c r="U53" s="2948"/>
      <c r="V53" s="2948"/>
      <c r="W53" s="2948"/>
      <c r="X53" s="2948"/>
      <c r="Y53" s="2948"/>
      <c r="Z53" s="2948"/>
      <c r="AA53" s="2948"/>
      <c r="AB53" s="2948"/>
      <c r="AC53" s="2948"/>
      <c r="AD53" s="2948"/>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7"/>
      <c r="O54" s="2977"/>
      <c r="P54" s="3001"/>
      <c r="Q54" s="2962"/>
      <c r="R54" s="2948"/>
      <c r="S54" s="2948"/>
      <c r="T54" s="2948"/>
      <c r="U54" s="2948"/>
      <c r="V54" s="2948"/>
      <c r="W54" s="2948"/>
      <c r="X54" s="2948"/>
      <c r="Y54" s="2948"/>
      <c r="Z54" s="2948"/>
      <c r="AA54" s="2948"/>
      <c r="AB54" s="2948"/>
      <c r="AC54" s="2948"/>
      <c r="AD54" s="2948"/>
    </row>
    <row r="55" spans="1:30" ht="15.75" thickTop="1">
      <c r="A55" s="489"/>
      <c r="B55" s="614">
        <f>B11</f>
        <v>111</v>
      </c>
      <c r="C55" s="504"/>
      <c r="D55" s="504"/>
      <c r="E55" s="504"/>
      <c r="F55" s="504"/>
      <c r="G55" s="504"/>
      <c r="H55" s="504"/>
      <c r="I55" s="504"/>
      <c r="J55" s="504"/>
      <c r="K55" s="505"/>
      <c r="L55" s="506"/>
      <c r="M55" s="507"/>
      <c r="N55" s="2976"/>
      <c r="O55" s="2976"/>
      <c r="P55" s="3001"/>
      <c r="Q55" s="2962"/>
      <c r="R55" s="2948"/>
      <c r="S55" s="2948"/>
      <c r="T55" s="2948"/>
      <c r="U55" s="2948"/>
      <c r="V55" s="2948"/>
      <c r="W55" s="2948"/>
      <c r="X55" s="2948"/>
      <c r="Y55" s="2948"/>
      <c r="Z55" s="2948"/>
      <c r="AA55" s="2948"/>
      <c r="AB55" s="2948"/>
      <c r="AC55" s="2948"/>
      <c r="AD55" s="2948"/>
    </row>
    <row r="56" spans="1:30" ht="15.75" thickBot="1">
      <c r="A56" s="489"/>
      <c r="B56" s="490"/>
      <c r="C56" s="515"/>
      <c r="D56" s="491"/>
      <c r="E56" s="491"/>
      <c r="F56" s="491"/>
      <c r="G56" s="491"/>
      <c r="H56" s="491"/>
      <c r="I56" s="491"/>
      <c r="J56" s="491"/>
      <c r="K56" s="491"/>
      <c r="L56" s="491"/>
      <c r="M56" s="492"/>
      <c r="N56" s="2977"/>
      <c r="O56" s="2977"/>
      <c r="P56" s="3001"/>
      <c r="Q56" s="2962"/>
      <c r="R56" s="2948"/>
      <c r="S56" s="2948"/>
      <c r="T56" s="2948"/>
      <c r="U56" s="2948"/>
      <c r="V56" s="2948"/>
      <c r="W56" s="2948"/>
      <c r="X56" s="2948"/>
      <c r="Y56" s="2948"/>
      <c r="Z56" s="2948"/>
      <c r="AA56" s="2948"/>
      <c r="AB56" s="2948"/>
      <c r="AC56" s="2948"/>
      <c r="AD56" s="2948"/>
    </row>
    <row r="57" spans="1:30" s="428" customFormat="1" ht="15.75" thickTop="1">
      <c r="A57" s="508"/>
      <c r="B57" s="493">
        <f>B12</f>
        <v>111</v>
      </c>
      <c r="C57" s="504"/>
      <c r="D57" s="504"/>
      <c r="E57" s="504"/>
      <c r="F57" s="504"/>
      <c r="G57" s="509"/>
      <c r="H57" s="510"/>
      <c r="I57" s="510"/>
      <c r="J57" s="510"/>
      <c r="K57" s="510"/>
      <c r="L57" s="511"/>
      <c r="M57" s="512"/>
      <c r="N57" s="2978"/>
      <c r="O57" s="2978"/>
      <c r="P57" s="3002"/>
      <c r="Q57" s="2969"/>
      <c r="R57" s="2970"/>
      <c r="S57" s="2970"/>
      <c r="T57" s="2970"/>
      <c r="U57" s="2970"/>
      <c r="V57" s="2970"/>
      <c r="W57" s="2970"/>
      <c r="X57" s="2970"/>
      <c r="Y57" s="2970"/>
      <c r="Z57" s="2970"/>
      <c r="AA57" s="2970"/>
      <c r="AB57" s="2970"/>
      <c r="AC57" s="2970"/>
      <c r="AD57" s="2970"/>
    </row>
    <row r="58" spans="1:30" s="428" customFormat="1" ht="15.75" thickBot="1">
      <c r="A58" s="508"/>
      <c r="B58" s="498"/>
      <c r="C58" s="515"/>
      <c r="D58" s="491"/>
      <c r="E58" s="491"/>
      <c r="F58" s="491"/>
      <c r="G58" s="491"/>
      <c r="H58" s="491"/>
      <c r="I58" s="491"/>
      <c r="J58" s="491"/>
      <c r="K58" s="491"/>
      <c r="L58" s="491"/>
      <c r="M58" s="492"/>
      <c r="N58" s="2977"/>
      <c r="O58" s="2977"/>
      <c r="P58" s="3002"/>
      <c r="Q58" s="2969"/>
      <c r="R58" s="2970"/>
      <c r="S58" s="2970"/>
      <c r="T58" s="2970"/>
      <c r="U58" s="2970"/>
      <c r="V58" s="2970"/>
      <c r="W58" s="2970"/>
      <c r="X58" s="2970"/>
      <c r="Y58" s="2970"/>
      <c r="Z58" s="2970"/>
      <c r="AA58" s="2970"/>
      <c r="AB58" s="2970"/>
      <c r="AC58" s="2970"/>
      <c r="AD58" s="2970"/>
    </row>
    <row r="59" spans="1:30" s="428" customFormat="1" ht="15.75" thickTop="1">
      <c r="A59" s="508"/>
      <c r="B59" s="493">
        <f>B13</f>
        <v>111</v>
      </c>
      <c r="C59" s="504"/>
      <c r="D59" s="504"/>
      <c r="E59" s="504"/>
      <c r="F59" s="504"/>
      <c r="G59" s="509"/>
      <c r="H59" s="510"/>
      <c r="I59" s="510"/>
      <c r="J59" s="510"/>
      <c r="K59" s="510"/>
      <c r="L59" s="511"/>
      <c r="M59" s="512"/>
      <c r="N59" s="2978"/>
      <c r="O59" s="2978"/>
      <c r="P59" s="2946"/>
      <c r="Q59" s="2972"/>
      <c r="R59" s="2970"/>
      <c r="S59" s="2970"/>
      <c r="T59" s="2970"/>
      <c r="U59" s="2970"/>
      <c r="V59" s="2970"/>
      <c r="W59" s="2970"/>
      <c r="X59" s="2970"/>
      <c r="Y59" s="2970"/>
      <c r="Z59" s="2970"/>
      <c r="AA59" s="2970"/>
      <c r="AB59" s="2970"/>
      <c r="AC59" s="2970"/>
      <c r="AD59" s="2970"/>
    </row>
    <row r="60" spans="1:30" s="428" customFormat="1" ht="15.75" thickBot="1">
      <c r="A60" s="508"/>
      <c r="B60" s="498"/>
      <c r="C60" s="515"/>
      <c r="D60" s="515"/>
      <c r="E60" s="515"/>
      <c r="F60" s="515"/>
      <c r="G60" s="515"/>
      <c r="H60" s="517"/>
      <c r="I60" s="517"/>
      <c r="J60" s="517"/>
      <c r="K60" s="517"/>
      <c r="L60" s="517"/>
      <c r="M60" s="518"/>
      <c r="N60" s="2978"/>
      <c r="O60" s="2978"/>
      <c r="P60" s="3002"/>
      <c r="Q60" s="2969"/>
      <c r="R60" s="2970"/>
      <c r="S60" s="2970"/>
      <c r="T60" s="2970"/>
      <c r="U60" s="2970"/>
      <c r="V60" s="2970"/>
      <c r="W60" s="2970"/>
      <c r="X60" s="2970"/>
      <c r="Y60" s="2970"/>
      <c r="Z60" s="2970"/>
      <c r="AA60" s="2970"/>
      <c r="AB60" s="2970"/>
      <c r="AC60" s="2970"/>
      <c r="AD60" s="2970"/>
    </row>
    <row r="61" spans="1:30" ht="15" thickTop="1">
      <c r="A61" s="482" t="s">
        <v>2377</v>
      </c>
      <c r="B61" s="483" t="s">
        <v>2420</v>
      </c>
      <c r="C61" s="528" t="s">
        <v>2415</v>
      </c>
      <c r="D61" s="528" t="s">
        <v>2416</v>
      </c>
      <c r="E61" s="528" t="s">
        <v>2417</v>
      </c>
      <c r="F61" s="528" t="s">
        <v>2418</v>
      </c>
      <c r="G61" s="528" t="s">
        <v>2419</v>
      </c>
      <c r="H61" s="484"/>
      <c r="I61" s="484"/>
      <c r="J61" s="484"/>
      <c r="K61" s="529"/>
      <c r="L61" s="530"/>
      <c r="M61" s="531"/>
      <c r="N61" s="2976"/>
      <c r="O61" s="2976"/>
      <c r="P61" s="3003"/>
      <c r="Q61" s="2962"/>
      <c r="R61" s="2948"/>
      <c r="S61" s="2948"/>
      <c r="T61" s="2948"/>
      <c r="U61" s="2948"/>
      <c r="V61" s="2948"/>
      <c r="W61" s="2948"/>
      <c r="X61" s="2948"/>
      <c r="Y61" s="2948"/>
      <c r="Z61" s="2948"/>
      <c r="AA61" s="2948"/>
      <c r="AB61" s="2948"/>
      <c r="AC61" s="2948"/>
      <c r="AD61" s="2948"/>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7"/>
      <c r="O62" s="2977"/>
      <c r="P62" s="3001"/>
      <c r="Q62" s="2962"/>
      <c r="R62" s="2948"/>
      <c r="S62" s="2948"/>
      <c r="T62" s="2948"/>
      <c r="U62" s="2948"/>
      <c r="V62" s="2948"/>
      <c r="W62" s="2948"/>
      <c r="X62" s="2948"/>
      <c r="Y62" s="2948"/>
      <c r="Z62" s="2948"/>
      <c r="AA62" s="2948"/>
      <c r="AB62" s="2948"/>
      <c r="AC62" s="2948"/>
      <c r="AD62" s="2948"/>
    </row>
    <row r="63" spans="1:30" ht="27.75" thickTop="1">
      <c r="A63" s="489"/>
      <c r="B63" s="493" t="s">
        <v>2558</v>
      </c>
      <c r="C63" s="533" t="s">
        <v>2415</v>
      </c>
      <c r="D63" s="533" t="s">
        <v>2416</v>
      </c>
      <c r="E63" s="533" t="s">
        <v>2417</v>
      </c>
      <c r="F63" s="533" t="s">
        <v>2418</v>
      </c>
      <c r="G63" s="533" t="s">
        <v>2419</v>
      </c>
      <c r="H63" s="494"/>
      <c r="I63" s="494"/>
      <c r="J63" s="494"/>
      <c r="K63" s="495"/>
      <c r="L63" s="496"/>
      <c r="M63" s="497"/>
      <c r="N63" s="2976"/>
      <c r="O63" s="2976"/>
      <c r="P63" s="3001"/>
      <c r="Q63" s="2962"/>
      <c r="R63" s="2948"/>
      <c r="S63" s="2948"/>
      <c r="T63" s="2948"/>
      <c r="U63" s="2948"/>
      <c r="V63" s="2948"/>
      <c r="W63" s="2948"/>
      <c r="X63" s="2948"/>
      <c r="Y63" s="2948"/>
      <c r="Z63" s="2948"/>
      <c r="AA63" s="2948"/>
      <c r="AB63" s="2948"/>
      <c r="AC63" s="2948"/>
      <c r="AD63" s="2948"/>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7"/>
      <c r="O64" s="2977"/>
      <c r="P64" s="3001"/>
      <c r="Q64" s="2962"/>
      <c r="R64" s="2948"/>
      <c r="S64" s="2948"/>
      <c r="T64" s="2948"/>
      <c r="U64" s="2948"/>
      <c r="V64" s="2948"/>
      <c r="W64" s="2948"/>
      <c r="X64" s="2948"/>
      <c r="Y64" s="2948"/>
      <c r="Z64" s="2948"/>
      <c r="AA64" s="2948"/>
      <c r="AB64" s="2948"/>
      <c r="AC64" s="2948"/>
      <c r="AD64" s="2948"/>
    </row>
    <row r="65" spans="1:30" ht="15.75" thickTop="1">
      <c r="A65" s="489"/>
      <c r="B65" s="501" t="s">
        <v>2507</v>
      </c>
      <c r="C65" s="614" t="s">
        <v>2493</v>
      </c>
      <c r="D65" s="614" t="s">
        <v>2494</v>
      </c>
      <c r="E65" s="614" t="s">
        <v>2495</v>
      </c>
      <c r="F65" s="614" t="s">
        <v>2496</v>
      </c>
      <c r="G65" s="614" t="s">
        <v>2497</v>
      </c>
      <c r="H65" s="494"/>
      <c r="I65" s="494"/>
      <c r="J65" s="494"/>
      <c r="K65" s="494"/>
      <c r="L65" s="494"/>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7"/>
      <c r="O66" s="2977"/>
      <c r="P66" s="3001"/>
      <c r="Q66" s="2962"/>
      <c r="R66" s="2948"/>
      <c r="S66" s="2948"/>
      <c r="T66" s="2948"/>
      <c r="U66" s="2948"/>
      <c r="V66" s="2948"/>
      <c r="W66" s="2948"/>
      <c r="X66" s="2948"/>
      <c r="Y66" s="2948"/>
      <c r="Z66" s="2948"/>
      <c r="AA66" s="2948"/>
      <c r="AB66" s="2948"/>
      <c r="AC66" s="2948"/>
      <c r="AD66" s="2948"/>
    </row>
    <row r="67" spans="1:30" ht="15.75" thickTop="1">
      <c r="A67" s="489"/>
      <c r="B67" s="493" t="s">
        <v>2427</v>
      </c>
      <c r="C67" s="533" t="s">
        <v>2415</v>
      </c>
      <c r="D67" s="533" t="s">
        <v>2416</v>
      </c>
      <c r="E67" s="533" t="s">
        <v>2417</v>
      </c>
      <c r="F67" s="533" t="s">
        <v>2418</v>
      </c>
      <c r="G67" s="533" t="s">
        <v>2419</v>
      </c>
      <c r="H67" s="494"/>
      <c r="I67" s="494"/>
      <c r="J67" s="494"/>
      <c r="K67" s="495"/>
      <c r="L67" s="496"/>
      <c r="M67" s="497"/>
      <c r="N67" s="2976"/>
      <c r="O67" s="2976"/>
      <c r="P67" s="3001"/>
      <c r="Q67" s="2962"/>
      <c r="R67" s="2948"/>
      <c r="S67" s="2948"/>
      <c r="T67" s="2948"/>
      <c r="U67" s="2948"/>
      <c r="V67" s="2948"/>
      <c r="W67" s="2948"/>
      <c r="X67" s="2948"/>
      <c r="Y67" s="2948"/>
      <c r="Z67" s="2948"/>
      <c r="AA67" s="2948"/>
      <c r="AB67" s="2948"/>
      <c r="AC67" s="2948"/>
      <c r="AD67" s="2948"/>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7"/>
      <c r="O68" s="2977"/>
      <c r="P68" s="3001"/>
      <c r="Q68" s="2962"/>
      <c r="R68" s="2948"/>
      <c r="S68" s="2948"/>
      <c r="T68" s="2948"/>
      <c r="U68" s="2948"/>
      <c r="V68" s="2948"/>
      <c r="W68" s="2948"/>
      <c r="X68" s="2948"/>
      <c r="Y68" s="2948"/>
      <c r="Z68" s="2948"/>
      <c r="AA68" s="2948"/>
      <c r="AB68" s="2948"/>
      <c r="AC68" s="2948"/>
      <c r="AD68" s="2948"/>
    </row>
    <row r="69" spans="1:30" ht="15.75" thickTop="1">
      <c r="A69" s="489"/>
      <c r="B69" s="493" t="s">
        <v>2547</v>
      </c>
      <c r="C69" s="509"/>
      <c r="D69" s="509"/>
      <c r="E69" s="509"/>
      <c r="F69" s="509"/>
      <c r="G69" s="509"/>
      <c r="H69" s="538"/>
      <c r="I69" s="538"/>
      <c r="J69" s="538"/>
      <c r="K69" s="539"/>
      <c r="L69" s="540"/>
      <c r="M69" s="541"/>
      <c r="N69" s="2976"/>
      <c r="O69" s="2976"/>
      <c r="P69" s="3001"/>
      <c r="Q69" s="2962"/>
      <c r="R69" s="2948"/>
      <c r="S69" s="2948"/>
      <c r="T69" s="2948"/>
      <c r="U69" s="2948"/>
      <c r="V69" s="2948"/>
      <c r="W69" s="2948"/>
      <c r="X69" s="2948"/>
      <c r="Y69" s="2948"/>
      <c r="Z69" s="2948"/>
      <c r="AA69" s="2948"/>
      <c r="AB69" s="2948"/>
      <c r="AC69" s="2948"/>
      <c r="AD69" s="2948"/>
    </row>
    <row r="70" spans="1:30" ht="15.75" thickBot="1">
      <c r="A70" s="489"/>
      <c r="B70" s="498"/>
      <c r="C70" s="499">
        <v>100</v>
      </c>
      <c r="D70" s="499">
        <f>C70-$K22</f>
        <v>100</v>
      </c>
      <c r="E70" s="499"/>
      <c r="F70" s="499"/>
      <c r="G70" s="499"/>
      <c r="H70" s="499"/>
      <c r="I70" s="499"/>
      <c r="J70" s="499"/>
      <c r="K70" s="499"/>
      <c r="L70" s="499"/>
      <c r="M70" s="500"/>
      <c r="N70" s="2977"/>
      <c r="O70" s="2977"/>
      <c r="P70" s="3001"/>
      <c r="Q70" s="2962"/>
      <c r="R70" s="2948"/>
      <c r="S70" s="2948"/>
      <c r="T70" s="2948"/>
      <c r="U70" s="2948"/>
      <c r="V70" s="2948"/>
      <c r="W70" s="2948"/>
      <c r="X70" s="2948"/>
      <c r="Y70" s="2948"/>
      <c r="Z70" s="2948"/>
      <c r="AA70" s="2948"/>
      <c r="AB70" s="2948"/>
      <c r="AC70" s="2948"/>
      <c r="AD70" s="2948"/>
    </row>
    <row r="71" spans="1:30" s="112" customFormat="1" ht="15.75" thickTop="1">
      <c r="A71" s="534"/>
      <c r="B71" s="493">
        <f>B23</f>
        <v>111</v>
      </c>
      <c r="C71" s="504"/>
      <c r="D71" s="504"/>
      <c r="E71" s="504"/>
      <c r="F71" s="504"/>
      <c r="G71" s="509"/>
      <c r="H71" s="509"/>
      <c r="I71" s="509"/>
      <c r="J71" s="509"/>
      <c r="K71" s="509"/>
      <c r="L71" s="535"/>
      <c r="M71" s="536"/>
      <c r="N71" s="2975"/>
      <c r="O71" s="2975"/>
      <c r="P71" s="3001"/>
      <c r="Q71" s="2962"/>
      <c r="R71" s="2882"/>
      <c r="S71" s="2882"/>
      <c r="T71" s="2882"/>
      <c r="U71" s="2882"/>
      <c r="V71" s="2882"/>
      <c r="W71" s="2882"/>
      <c r="X71" s="2882"/>
      <c r="Y71" s="2882"/>
      <c r="Z71" s="2882"/>
      <c r="AA71" s="2882"/>
      <c r="AB71" s="2882"/>
      <c r="AC71" s="2882"/>
      <c r="AD71" s="2882"/>
    </row>
    <row r="72" spans="1:30" s="112" customFormat="1" ht="15.75" thickBot="1">
      <c r="A72" s="534"/>
      <c r="B72" s="498"/>
      <c r="C72" s="515"/>
      <c r="D72" s="491"/>
      <c r="E72" s="491"/>
      <c r="F72" s="491"/>
      <c r="G72" s="491"/>
      <c r="H72" s="491"/>
      <c r="I72" s="491"/>
      <c r="J72" s="491"/>
      <c r="K72" s="491"/>
      <c r="L72" s="491"/>
      <c r="M72" s="492"/>
      <c r="N72" s="2977"/>
      <c r="O72" s="2977"/>
      <c r="P72" s="3001"/>
      <c r="Q72" s="2962"/>
      <c r="R72" s="2882"/>
      <c r="S72" s="2882"/>
      <c r="T72" s="2882"/>
      <c r="U72" s="2882"/>
      <c r="V72" s="2882"/>
      <c r="W72" s="2882"/>
      <c r="X72" s="2882"/>
      <c r="Y72" s="2882"/>
      <c r="Z72" s="2882"/>
      <c r="AA72" s="2882"/>
      <c r="AB72" s="2882"/>
      <c r="AC72" s="2882"/>
      <c r="AD72" s="2882"/>
    </row>
    <row r="73" spans="1:30" s="112" customFormat="1" ht="15.75" thickTop="1">
      <c r="A73" s="534"/>
      <c r="B73" s="493">
        <f>B24</f>
        <v>111</v>
      </c>
      <c r="C73" s="504"/>
      <c r="D73" s="504"/>
      <c r="E73" s="504"/>
      <c r="F73" s="504"/>
      <c r="G73" s="509"/>
      <c r="H73" s="509"/>
      <c r="I73" s="509"/>
      <c r="J73" s="509"/>
      <c r="K73" s="509"/>
      <c r="L73" s="509"/>
      <c r="M73" s="536"/>
      <c r="N73" s="2975"/>
      <c r="O73" s="2975"/>
      <c r="P73" s="3001"/>
      <c r="Q73" s="2962"/>
      <c r="R73" s="2882"/>
      <c r="S73" s="2882"/>
      <c r="T73" s="2882"/>
      <c r="U73" s="2882"/>
      <c r="V73" s="2882"/>
      <c r="W73" s="2882"/>
      <c r="X73" s="2882"/>
      <c r="Y73" s="2882"/>
      <c r="Z73" s="2882"/>
      <c r="AA73" s="2882"/>
      <c r="AB73" s="2882"/>
      <c r="AC73" s="2882"/>
      <c r="AD73" s="2882"/>
    </row>
    <row r="74" spans="1:30" s="112" customFormat="1" ht="15.75" thickBot="1">
      <c r="A74" s="534"/>
      <c r="B74" s="498"/>
      <c r="C74" s="515"/>
      <c r="D74" s="491"/>
      <c r="E74" s="491"/>
      <c r="F74" s="491"/>
      <c r="G74" s="491"/>
      <c r="H74" s="491"/>
      <c r="I74" s="491"/>
      <c r="J74" s="491"/>
      <c r="K74" s="491"/>
      <c r="L74" s="491"/>
      <c r="M74" s="492"/>
      <c r="N74" s="2977"/>
      <c r="O74" s="2977"/>
      <c r="P74" s="3001"/>
      <c r="Q74" s="2962"/>
      <c r="R74" s="2882"/>
      <c r="S74" s="2882"/>
      <c r="T74" s="2882"/>
      <c r="U74" s="2882"/>
      <c r="V74" s="2882"/>
      <c r="W74" s="2882"/>
      <c r="X74" s="2882"/>
      <c r="Y74" s="2882"/>
      <c r="Z74" s="2882"/>
      <c r="AA74" s="2882"/>
      <c r="AB74" s="2882"/>
      <c r="AC74" s="2882"/>
      <c r="AD74" s="2882"/>
    </row>
    <row r="75" spans="1:30" s="428" customFormat="1" ht="15.75" thickTop="1">
      <c r="A75" s="508"/>
      <c r="B75" s="493">
        <f>B25</f>
        <v>111</v>
      </c>
      <c r="C75" s="504"/>
      <c r="D75" s="504"/>
      <c r="E75" s="504"/>
      <c r="F75" s="504"/>
      <c r="G75" s="509"/>
      <c r="H75" s="510"/>
      <c r="I75" s="510"/>
      <c r="J75" s="510"/>
      <c r="K75" s="510"/>
      <c r="L75" s="511"/>
      <c r="M75" s="512"/>
      <c r="N75" s="2978"/>
      <c r="O75" s="2978"/>
      <c r="P75" s="3002"/>
      <c r="Q75" s="2969"/>
      <c r="R75" s="2970"/>
      <c r="S75" s="2970"/>
      <c r="T75" s="2970"/>
      <c r="U75" s="2970"/>
      <c r="V75" s="2970"/>
      <c r="W75" s="2970"/>
      <c r="X75" s="2970"/>
      <c r="Y75" s="2970"/>
      <c r="Z75" s="2970"/>
      <c r="AA75" s="2970"/>
      <c r="AB75" s="2970"/>
      <c r="AC75" s="2970"/>
      <c r="AD75" s="2970"/>
    </row>
    <row r="76" spans="1:30" s="428" customFormat="1" ht="15.75" thickBot="1">
      <c r="A76" s="508"/>
      <c r="B76" s="498"/>
      <c r="C76" s="515"/>
      <c r="D76" s="515"/>
      <c r="E76" s="515"/>
      <c r="F76" s="515"/>
      <c r="G76" s="491"/>
      <c r="H76" s="491"/>
      <c r="I76" s="491"/>
      <c r="J76" s="491"/>
      <c r="K76" s="491"/>
      <c r="L76" s="491"/>
      <c r="M76" s="492"/>
      <c r="N76" s="2978"/>
      <c r="O76" s="2978"/>
      <c r="P76" s="3002"/>
      <c r="Q76" s="2969"/>
      <c r="R76" s="2970"/>
      <c r="S76" s="2970"/>
      <c r="T76" s="2970"/>
      <c r="U76" s="2970"/>
      <c r="V76" s="2970"/>
      <c r="W76" s="2970"/>
      <c r="X76" s="2970"/>
      <c r="Y76" s="2970"/>
      <c r="Z76" s="2970"/>
      <c r="AA76" s="2970"/>
      <c r="AB76" s="2970"/>
      <c r="AC76" s="2970"/>
      <c r="AD76" s="2970"/>
    </row>
    <row r="77" spans="1:30" ht="15" thickTop="1">
      <c r="A77" s="482" t="s">
        <v>2381</v>
      </c>
      <c r="B77" s="483" t="s">
        <v>2434</v>
      </c>
      <c r="C77" s="509"/>
      <c r="D77" s="509"/>
      <c r="E77" s="485"/>
      <c r="F77" s="485"/>
      <c r="G77" s="485"/>
      <c r="H77" s="485"/>
      <c r="I77" s="485"/>
      <c r="J77" s="485"/>
      <c r="K77" s="486"/>
      <c r="L77" s="487"/>
      <c r="M77" s="488"/>
      <c r="N77" s="2976"/>
      <c r="O77" s="2976"/>
      <c r="P77" s="3001"/>
      <c r="Q77" s="2962"/>
      <c r="R77" s="2948"/>
      <c r="S77" s="2948"/>
      <c r="T77" s="2948"/>
      <c r="U77" s="2948"/>
      <c r="V77" s="2948"/>
      <c r="W77" s="2948"/>
      <c r="X77" s="2948"/>
      <c r="Y77" s="2948"/>
      <c r="Z77" s="2948"/>
      <c r="AA77" s="2948"/>
      <c r="AB77" s="2948"/>
      <c r="AC77" s="2948"/>
      <c r="AD77" s="2948"/>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89"/>
      <c r="B79" s="493" t="s">
        <v>2550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5"/>
      <c r="O79" s="2975"/>
      <c r="P79" s="3001"/>
      <c r="Q79" s="2962"/>
      <c r="R79" s="2948"/>
      <c r="S79" s="2948"/>
      <c r="T79" s="2948"/>
      <c r="U79" s="2948"/>
      <c r="V79" s="2948"/>
      <c r="W79" s="2948"/>
      <c r="X79" s="2948"/>
      <c r="Y79" s="2948"/>
      <c r="Z79" s="2948"/>
      <c r="AA79" s="2948"/>
      <c r="AB79" s="2948"/>
      <c r="AC79" s="2948"/>
      <c r="AD79" s="2948"/>
    </row>
    <row r="80" spans="1:30" ht="15">
      <c r="A80" s="489"/>
      <c r="B80" s="501"/>
      <c r="C80" s="558">
        <v>0.5</v>
      </c>
      <c r="D80" s="558">
        <v>0.6</v>
      </c>
      <c r="E80" s="558">
        <v>0.7</v>
      </c>
      <c r="F80" s="558">
        <v>0.8</v>
      </c>
      <c r="G80" s="558">
        <v>0.9</v>
      </c>
      <c r="H80" s="558">
        <v>1.0001</v>
      </c>
      <c r="I80" s="614"/>
      <c r="J80" s="614"/>
      <c r="K80" s="622"/>
      <c r="L80" s="623"/>
      <c r="M80" s="624"/>
      <c r="N80" s="2975"/>
      <c r="O80" s="2975"/>
      <c r="P80" s="3001"/>
      <c r="Q80" s="2962"/>
      <c r="R80" s="2948"/>
      <c r="S80" s="2948"/>
      <c r="T80" s="2948"/>
      <c r="U80" s="2948"/>
      <c r="V80" s="2948"/>
      <c r="W80" s="2948"/>
      <c r="X80" s="2948"/>
      <c r="Y80" s="2948"/>
      <c r="Z80" s="2948"/>
      <c r="AA80" s="2948"/>
      <c r="AB80" s="2948"/>
      <c r="AC80" s="2948"/>
      <c r="AD80" s="2948"/>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4"/>
      <c r="B82" s="501" t="s">
        <v>2551</v>
      </c>
      <c r="C82" s="509"/>
      <c r="D82" s="509"/>
      <c r="E82" s="538"/>
      <c r="F82" s="538"/>
      <c r="G82" s="538"/>
      <c r="H82" s="538"/>
      <c r="I82" s="538"/>
      <c r="J82" s="538"/>
      <c r="K82" s="539"/>
      <c r="L82" s="540"/>
      <c r="M82" s="541"/>
      <c r="N82" s="2976"/>
      <c r="O82" s="2976"/>
      <c r="P82" s="3001"/>
      <c r="Q82" s="2962"/>
      <c r="R82" s="2948"/>
      <c r="S82" s="2948"/>
      <c r="T82" s="2948"/>
      <c r="U82" s="2948"/>
      <c r="V82" s="2948"/>
      <c r="W82" s="2948"/>
      <c r="X82" s="2948"/>
      <c r="Y82" s="2948"/>
      <c r="Z82" s="2948"/>
      <c r="AA82" s="2948"/>
      <c r="AB82" s="2948"/>
      <c r="AC82" s="2948"/>
      <c r="AD82" s="2948"/>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4"/>
      <c r="B84" s="493" t="s">
        <v>2559</v>
      </c>
      <c r="C84" s="509"/>
      <c r="D84" s="509"/>
      <c r="E84" s="509"/>
      <c r="F84" s="509"/>
      <c r="G84" s="509"/>
      <c r="H84" s="509"/>
      <c r="I84" s="538"/>
      <c r="J84" s="538"/>
      <c r="K84" s="539"/>
      <c r="L84" s="540"/>
      <c r="M84" s="541"/>
      <c r="N84" s="2976"/>
      <c r="O84" s="2976"/>
      <c r="P84" s="3001"/>
      <c r="Q84" s="2962"/>
      <c r="R84" s="2948"/>
      <c r="S84" s="2948"/>
      <c r="T84" s="2948"/>
      <c r="U84" s="2948"/>
      <c r="V84" s="2948"/>
      <c r="W84" s="2948"/>
      <c r="X84" s="2948"/>
      <c r="Y84" s="2948"/>
      <c r="Z84" s="2948"/>
      <c r="AA84" s="2948"/>
      <c r="AB84" s="2948"/>
      <c r="AC84" s="2948"/>
      <c r="AD84" s="2948"/>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4"/>
      <c r="B86" s="501" t="s">
        <v>2560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4"/>
      <c r="B87" s="501"/>
      <c r="C87" s="550"/>
      <c r="D87" s="550"/>
      <c r="E87" s="550"/>
      <c r="F87" s="550"/>
      <c r="G87" s="550"/>
      <c r="H87" s="550"/>
      <c r="I87" s="550"/>
      <c r="J87" s="551"/>
      <c r="K87" s="551"/>
      <c r="L87" s="552"/>
      <c r="M87" s="553"/>
      <c r="N87" s="2976"/>
      <c r="O87" s="2976"/>
      <c r="P87" s="3001"/>
      <c r="Q87" s="2962"/>
      <c r="R87" s="2948"/>
      <c r="S87" s="2948"/>
      <c r="T87" s="2948"/>
      <c r="U87" s="2948"/>
      <c r="V87" s="2948"/>
      <c r="W87" s="2948"/>
      <c r="X87" s="2948"/>
      <c r="Y87" s="2948"/>
      <c r="Z87" s="2948"/>
      <c r="AA87" s="2948"/>
      <c r="AB87" s="2948"/>
      <c r="AC87" s="2948"/>
      <c r="AD87" s="2948"/>
    </row>
    <row r="88" spans="1:30" ht="15.75" thickBot="1">
      <c r="A88" s="489"/>
      <c r="B88" s="498"/>
      <c r="C88" s="515"/>
      <c r="D88" s="491"/>
      <c r="E88" s="491"/>
      <c r="F88" s="491"/>
      <c r="G88" s="491"/>
      <c r="H88" s="491"/>
      <c r="I88" s="491"/>
      <c r="J88" s="491"/>
      <c r="K88" s="491"/>
      <c r="L88" s="491"/>
      <c r="M88" s="491"/>
      <c r="N88" s="2977"/>
      <c r="O88" s="2977"/>
      <c r="P88" s="3001"/>
      <c r="Q88" s="2962"/>
      <c r="R88" s="2948"/>
      <c r="S88" s="2948"/>
      <c r="T88" s="2948"/>
      <c r="U88" s="2948"/>
      <c r="V88" s="2948"/>
      <c r="W88" s="2948"/>
      <c r="X88" s="2948"/>
      <c r="Y88" s="2948"/>
      <c r="Z88" s="2948"/>
      <c r="AA88" s="2948"/>
      <c r="AB88" s="2948"/>
      <c r="AC88" s="2948"/>
      <c r="AD88" s="2948"/>
    </row>
    <row r="89" spans="1:30" s="428" customFormat="1" ht="15" thickTop="1">
      <c r="A89" s="548"/>
      <c r="B89" s="493" t="s">
        <v>2561</v>
      </c>
      <c r="C89" s="509"/>
      <c r="D89" s="509"/>
      <c r="E89" s="509"/>
      <c r="F89" s="509"/>
      <c r="G89" s="509"/>
      <c r="H89" s="509"/>
      <c r="I89" s="509"/>
      <c r="J89" s="509"/>
      <c r="K89" s="509"/>
      <c r="L89" s="509"/>
      <c r="M89" s="536"/>
      <c r="N89" s="2978"/>
      <c r="O89" s="2978"/>
      <c r="P89" s="3002"/>
      <c r="Q89" s="2969"/>
      <c r="R89" s="2970"/>
      <c r="S89" s="2970"/>
      <c r="T89" s="2970"/>
      <c r="U89" s="2970"/>
      <c r="V89" s="2970"/>
      <c r="W89" s="2970"/>
      <c r="X89" s="2970"/>
      <c r="Y89" s="2970"/>
      <c r="Z89" s="2970"/>
      <c r="AA89" s="2970"/>
      <c r="AB89" s="2970"/>
      <c r="AC89" s="2970"/>
      <c r="AD89" s="2970"/>
    </row>
    <row r="90" spans="1:30" s="428" customFormat="1" ht="15.75" thickBot="1">
      <c r="A90" s="508"/>
      <c r="B90" s="498"/>
      <c r="C90" s="515"/>
      <c r="D90" s="491"/>
      <c r="E90" s="491"/>
      <c r="F90" s="491"/>
      <c r="G90" s="491"/>
      <c r="H90" s="491"/>
      <c r="I90" s="491"/>
      <c r="J90" s="491"/>
      <c r="K90" s="491"/>
      <c r="L90" s="491"/>
      <c r="M90" s="492"/>
      <c r="N90" s="2978"/>
      <c r="O90" s="2978"/>
      <c r="P90" s="3002"/>
      <c r="Q90" s="2969"/>
      <c r="R90" s="2970"/>
      <c r="S90" s="2970"/>
      <c r="T90" s="2970"/>
      <c r="U90" s="2970"/>
      <c r="V90" s="2970"/>
      <c r="W90" s="2970"/>
      <c r="X90" s="2970"/>
      <c r="Y90" s="2970"/>
      <c r="Z90" s="2970"/>
      <c r="AA90" s="2970"/>
      <c r="AB90" s="2970"/>
      <c r="AC90" s="2970"/>
      <c r="AD90" s="2970"/>
    </row>
    <row r="91" spans="1:30" ht="15" thickTop="1">
      <c r="A91" s="554"/>
      <c r="B91" s="493">
        <f>B32</f>
        <v>111</v>
      </c>
      <c r="C91" s="504"/>
      <c r="D91" s="504"/>
      <c r="E91" s="504"/>
      <c r="F91" s="504"/>
      <c r="G91" s="509"/>
      <c r="H91" s="510"/>
      <c r="I91" s="510"/>
      <c r="J91" s="510"/>
      <c r="K91" s="510"/>
      <c r="L91" s="511"/>
      <c r="M91" s="512"/>
      <c r="N91" s="2976"/>
      <c r="O91" s="2976"/>
      <c r="P91" s="3001"/>
      <c r="Q91" s="2962"/>
      <c r="R91" s="2948"/>
      <c r="S91" s="2948"/>
      <c r="T91" s="2948"/>
      <c r="U91" s="2948"/>
      <c r="V91" s="2948"/>
      <c r="W91" s="2948"/>
      <c r="X91" s="2948"/>
      <c r="Y91" s="2948"/>
      <c r="Z91" s="2948"/>
      <c r="AA91" s="2948"/>
      <c r="AB91" s="2948"/>
      <c r="AC91" s="2948"/>
      <c r="AD91" s="2948"/>
    </row>
    <row r="92" spans="1:30" ht="15.75" thickBot="1">
      <c r="A92" s="489"/>
      <c r="B92" s="498"/>
      <c r="C92" s="515"/>
      <c r="D92" s="491"/>
      <c r="E92" s="491"/>
      <c r="F92" s="491"/>
      <c r="G92" s="515"/>
      <c r="H92" s="517"/>
      <c r="I92" s="517"/>
      <c r="J92" s="517"/>
      <c r="K92" s="517"/>
      <c r="L92" s="517"/>
      <c r="M92" s="518"/>
      <c r="N92" s="2977"/>
      <c r="O92" s="2977"/>
      <c r="P92" s="3001"/>
      <c r="Q92" s="2962"/>
      <c r="R92" s="2948"/>
      <c r="S92" s="2948"/>
      <c r="T92" s="2948"/>
      <c r="U92" s="2948"/>
      <c r="V92" s="2948"/>
      <c r="W92" s="2948"/>
      <c r="X92" s="2948"/>
      <c r="Y92" s="2948"/>
      <c r="Z92" s="2948"/>
      <c r="AA92" s="2948"/>
      <c r="AB92" s="2948"/>
      <c r="AC92" s="2948"/>
      <c r="AD92" s="2948"/>
    </row>
    <row r="93" spans="1:30" ht="15" thickTop="1">
      <c r="A93" s="554"/>
      <c r="B93" s="493">
        <f>B33</f>
        <v>111</v>
      </c>
      <c r="C93" s="504"/>
      <c r="D93" s="504"/>
      <c r="E93" s="504"/>
      <c r="F93" s="504"/>
      <c r="G93" s="509"/>
      <c r="H93" s="510"/>
      <c r="I93" s="510"/>
      <c r="J93" s="510"/>
      <c r="K93" s="510"/>
      <c r="L93" s="511"/>
      <c r="M93" s="512"/>
      <c r="N93" s="2976"/>
      <c r="O93" s="2976"/>
      <c r="P93" s="3001"/>
      <c r="Q93" s="2962"/>
      <c r="R93" s="2948"/>
      <c r="S93" s="2948"/>
      <c r="T93" s="2948"/>
      <c r="U93" s="2948"/>
      <c r="V93" s="2948"/>
      <c r="W93" s="2948"/>
      <c r="X93" s="2948"/>
      <c r="Y93" s="2948"/>
      <c r="Z93" s="2948"/>
      <c r="AA93" s="2948"/>
      <c r="AB93" s="2948"/>
      <c r="AC93" s="2948"/>
      <c r="AD93" s="2948"/>
    </row>
    <row r="94" spans="1:30" ht="15.75" thickBot="1">
      <c r="A94" s="489"/>
      <c r="B94" s="498"/>
      <c r="C94" s="515"/>
      <c r="D94" s="491"/>
      <c r="E94" s="491"/>
      <c r="F94" s="491"/>
      <c r="G94" s="515"/>
      <c r="H94" s="517"/>
      <c r="I94" s="517"/>
      <c r="J94" s="517"/>
      <c r="K94" s="517"/>
      <c r="L94" s="517"/>
      <c r="M94" s="518"/>
      <c r="N94" s="2977"/>
      <c r="O94" s="2977"/>
      <c r="P94" s="3001"/>
      <c r="Q94" s="2962"/>
      <c r="R94" s="2948"/>
      <c r="S94" s="2948"/>
      <c r="T94" s="2948"/>
      <c r="U94" s="2948"/>
      <c r="V94" s="2948"/>
      <c r="W94" s="2948"/>
      <c r="X94" s="2948"/>
      <c r="Y94" s="2948"/>
      <c r="Z94" s="2948"/>
      <c r="AA94" s="2948"/>
      <c r="AB94" s="2948"/>
      <c r="AC94" s="2948"/>
      <c r="AD94" s="2948"/>
    </row>
    <row r="95" spans="1:30" ht="15" thickTop="1">
      <c r="A95" s="554"/>
      <c r="B95" s="590">
        <f>B34</f>
        <v>111</v>
      </c>
      <c r="C95" s="504"/>
      <c r="D95" s="504"/>
      <c r="E95" s="504"/>
      <c r="F95" s="504"/>
      <c r="G95" s="509"/>
      <c r="H95" s="510"/>
      <c r="I95" s="510"/>
      <c r="J95" s="510"/>
      <c r="K95" s="510"/>
      <c r="L95" s="511"/>
      <c r="M95" s="512"/>
      <c r="N95" s="2977"/>
      <c r="O95" s="2977"/>
      <c r="P95" s="3004"/>
      <c r="Q95" s="2991"/>
      <c r="R95" s="2948"/>
      <c r="S95" s="2948"/>
      <c r="T95" s="2948"/>
      <c r="U95" s="2948"/>
      <c r="V95" s="2948"/>
      <c r="W95" s="2948"/>
      <c r="X95" s="2948"/>
      <c r="Y95" s="2948"/>
      <c r="Z95" s="2948"/>
      <c r="AA95" s="2948"/>
      <c r="AB95" s="2948"/>
      <c r="AC95" s="2948"/>
      <c r="AD95" s="2948"/>
    </row>
    <row r="96" spans="1:30" ht="15.75" thickBot="1">
      <c r="A96" s="489"/>
      <c r="B96" s="498"/>
      <c r="C96" s="515"/>
      <c r="D96" s="515"/>
      <c r="E96" s="515"/>
      <c r="F96" s="515"/>
      <c r="G96" s="515"/>
      <c r="H96" s="517"/>
      <c r="I96" s="517"/>
      <c r="J96" s="517"/>
      <c r="K96" s="517"/>
      <c r="L96" s="517"/>
      <c r="M96" s="518"/>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5"/>
      <c r="B98" s="1065"/>
      <c r="C98" s="1065"/>
      <c r="D98" s="1065"/>
      <c r="E98" s="1065"/>
      <c r="F98" s="1065"/>
      <c r="G98" s="1065"/>
      <c r="H98" s="1065"/>
      <c r="I98" s="1065"/>
      <c r="J98" s="1065"/>
      <c r="K98" s="1066"/>
      <c r="L98" s="1067"/>
      <c r="M98" s="1065"/>
      <c r="N98" s="2948"/>
      <c r="O98" s="2948"/>
      <c r="P98" s="2948"/>
      <c r="Q98" s="2948"/>
      <c r="R98" s="2948"/>
      <c r="S98" s="2948"/>
      <c r="T98" s="2948"/>
      <c r="U98" s="2948"/>
      <c r="V98" s="2948"/>
      <c r="W98" s="2948"/>
      <c r="X98" s="2948"/>
      <c r="Y98" s="2948"/>
      <c r="Z98" s="2948"/>
      <c r="AA98" s="2948"/>
      <c r="AB98" s="2948"/>
      <c r="AC98" s="2948"/>
      <c r="AD98" s="2948"/>
    </row>
    <row r="99" spans="1:30">
      <c r="A99" s="1065"/>
      <c r="B99" s="1065"/>
      <c r="C99" s="1065"/>
      <c r="D99" s="1065"/>
      <c r="E99" s="1065"/>
      <c r="F99" s="1065"/>
      <c r="G99" s="1065"/>
      <c r="H99" s="1065"/>
      <c r="I99" s="1065"/>
      <c r="J99" s="1065"/>
      <c r="K99" s="1066"/>
      <c r="L99" s="1067"/>
      <c r="M99" s="1065"/>
      <c r="N99" s="2948"/>
      <c r="O99" s="2948"/>
      <c r="P99" s="2948"/>
      <c r="Q99" s="2948"/>
      <c r="R99" s="2948"/>
      <c r="S99" s="2948"/>
      <c r="T99" s="2948"/>
      <c r="U99" s="2948"/>
      <c r="V99" s="2948"/>
      <c r="W99" s="2948"/>
      <c r="X99" s="2948"/>
      <c r="Y99" s="2948"/>
      <c r="Z99" s="2948"/>
      <c r="AA99" s="2948"/>
      <c r="AB99" s="2948"/>
      <c r="AC99" s="2948"/>
      <c r="AD99" s="2948"/>
    </row>
    <row r="100" spans="1:30">
      <c r="A100" s="1065"/>
      <c r="B100" s="1065"/>
      <c r="C100" s="1065"/>
      <c r="D100" s="1065"/>
      <c r="E100" s="1065"/>
      <c r="F100" s="1065"/>
      <c r="G100" s="1065"/>
      <c r="H100" s="1065"/>
      <c r="I100" s="1065"/>
      <c r="J100" s="1065"/>
      <c r="K100" s="1066"/>
      <c r="L100" s="1067"/>
      <c r="M100" s="1065"/>
      <c r="N100" s="2948"/>
      <c r="O100" s="2948"/>
      <c r="P100" s="2948"/>
      <c r="Q100" s="2948"/>
      <c r="R100" s="2948"/>
      <c r="S100" s="2948"/>
      <c r="T100" s="2948"/>
      <c r="U100" s="2948"/>
      <c r="V100" s="2948"/>
      <c r="W100" s="2948"/>
      <c r="X100" s="2948"/>
      <c r="Y100" s="2948"/>
      <c r="Z100" s="2948"/>
      <c r="AA100" s="2948"/>
      <c r="AB100" s="2948"/>
      <c r="AC100" s="2948"/>
      <c r="AD100" s="2948"/>
    </row>
    <row r="101" spans="1:30">
      <c r="A101" s="1065"/>
      <c r="B101" s="1065"/>
      <c r="C101" s="1065"/>
      <c r="D101" s="1065"/>
      <c r="E101" s="1065"/>
      <c r="F101" s="1065"/>
      <c r="G101" s="1065"/>
      <c r="H101" s="1065"/>
      <c r="I101" s="1065"/>
      <c r="J101" s="1065"/>
      <c r="K101" s="1066"/>
      <c r="L101" s="1067"/>
      <c r="M101" s="1065"/>
      <c r="N101" s="2948"/>
      <c r="O101" s="2948"/>
      <c r="P101" s="2948"/>
      <c r="Q101" s="2948"/>
      <c r="R101" s="2948"/>
      <c r="S101" s="2948"/>
      <c r="T101" s="2948"/>
      <c r="U101" s="2948"/>
      <c r="V101" s="2948"/>
      <c r="W101" s="2948"/>
      <c r="X101" s="2948"/>
      <c r="Y101" s="2948"/>
      <c r="Z101" s="2948"/>
      <c r="AA101" s="2948"/>
      <c r="AB101" s="2948"/>
      <c r="AC101" s="2948"/>
      <c r="AD101" s="2948"/>
    </row>
    <row r="102" spans="1:30">
      <c r="A102" s="1065"/>
      <c r="B102" s="1065"/>
      <c r="C102" s="1065"/>
      <c r="D102" s="1065"/>
      <c r="E102" s="1065"/>
      <c r="F102" s="1065"/>
      <c r="G102" s="1065"/>
      <c r="H102" s="1065"/>
      <c r="I102" s="1065"/>
      <c r="J102" s="1065"/>
      <c r="K102" s="1066"/>
      <c r="L102" s="1067"/>
      <c r="M102" s="1065"/>
      <c r="N102" s="2948"/>
      <c r="O102" s="2948"/>
      <c r="P102" s="2948"/>
      <c r="Q102" s="2948"/>
      <c r="R102" s="2948"/>
      <c r="S102" s="2948"/>
      <c r="T102" s="2948"/>
      <c r="U102" s="2948"/>
      <c r="V102" s="2948"/>
      <c r="W102" s="2948"/>
      <c r="X102" s="2948"/>
      <c r="Y102" s="2948"/>
      <c r="Z102" s="2948"/>
      <c r="AA102" s="2948"/>
      <c r="AB102" s="2948"/>
      <c r="AC102" s="2948"/>
      <c r="AD102" s="2948"/>
    </row>
    <row r="103" spans="1:30">
      <c r="A103" s="1065"/>
      <c r="B103" s="1065"/>
      <c r="C103" s="1065"/>
      <c r="D103" s="1065"/>
      <c r="E103" s="1065"/>
      <c r="F103" s="1065"/>
      <c r="G103" s="1065"/>
      <c r="H103" s="1065"/>
      <c r="I103" s="1065"/>
      <c r="J103" s="1065"/>
      <c r="K103" s="1066"/>
      <c r="L103" s="1067"/>
      <c r="M103" s="1065"/>
      <c r="N103" s="1065"/>
      <c r="O103" s="1065"/>
      <c r="P103" s="2948"/>
      <c r="Q103" s="2948"/>
      <c r="R103" s="2948"/>
      <c r="S103" s="2948"/>
      <c r="T103" s="2948"/>
      <c r="U103" s="2948"/>
      <c r="V103" s="2948"/>
      <c r="W103" s="2948"/>
      <c r="X103" s="2948"/>
      <c r="Y103" s="2948"/>
      <c r="Z103" s="2948"/>
      <c r="AA103" s="2948"/>
      <c r="AB103" s="2948"/>
      <c r="AC103" s="2948"/>
      <c r="AD103" s="2948"/>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2562</v>
      </c>
      <c r="B1" s="353"/>
      <c r="C1" s="354" t="s">
        <v>2612</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2145</v>
      </c>
      <c r="B2" s="625" t="e">
        <f>F61</f>
        <v>#DIV/0!</v>
      </c>
      <c r="C2" s="1037"/>
      <c r="D2" s="1037"/>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2147</v>
      </c>
      <c r="B3" s="564" t="e">
        <f>ROUND(IF(D3="",B2*10000/'数据-汇总表'!E3,B2*10000/D3),0)</f>
        <v>#DIV/0!</v>
      </c>
      <c r="C3" s="207" t="s">
        <v>2564</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59" t="s">
        <v>2463</v>
      </c>
      <c r="B4" s="360"/>
      <c r="C4" s="3280" t="s">
        <v>2464</v>
      </c>
      <c r="D4" s="3281"/>
      <c r="E4" s="3282" t="s">
        <v>2465</v>
      </c>
      <c r="F4" s="3283"/>
      <c r="G4" s="3280" t="s">
        <v>2466</v>
      </c>
      <c r="H4" s="3281"/>
      <c r="I4" s="3280" t="s">
        <v>2467</v>
      </c>
      <c r="J4" s="3281"/>
      <c r="K4" s="565" t="s">
        <v>2468</v>
      </c>
      <c r="L4" s="2938"/>
      <c r="M4" s="2939"/>
      <c r="N4" s="2939"/>
      <c r="O4" s="2939"/>
      <c r="P4" s="3284" t="s">
        <v>2469</v>
      </c>
      <c r="Q4" s="3285"/>
      <c r="R4" s="3267" t="s">
        <v>2465</v>
      </c>
      <c r="S4" s="3268"/>
      <c r="T4" s="3267" t="s">
        <v>2466</v>
      </c>
      <c r="U4" s="3268"/>
      <c r="V4" s="3292" t="s">
        <v>2467</v>
      </c>
      <c r="W4" s="3292"/>
      <c r="X4" s="1537"/>
      <c r="Y4" s="3267" t="s">
        <v>2469</v>
      </c>
      <c r="Z4" s="3268"/>
      <c r="AA4" s="3262" t="s">
        <v>2465</v>
      </c>
      <c r="AB4" s="3263" t="s">
        <v>2466</v>
      </c>
      <c r="AC4" s="3262" t="s">
        <v>2467</v>
      </c>
    </row>
    <row r="5" spans="1:29" ht="15">
      <c r="A5" s="362"/>
      <c r="B5" s="363"/>
      <c r="C5" s="3273" t="s">
        <v>2360</v>
      </c>
      <c r="D5" s="3274"/>
      <c r="E5" s="3271" t="s">
        <v>2361</v>
      </c>
      <c r="F5" s="3272"/>
      <c r="G5" s="3273" t="s">
        <v>2362</v>
      </c>
      <c r="H5" s="3274"/>
      <c r="I5" s="3273" t="s">
        <v>2363</v>
      </c>
      <c r="J5" s="3274"/>
      <c r="K5" s="565"/>
      <c r="L5" s="2938"/>
      <c r="M5" s="2939"/>
      <c r="N5" s="2939"/>
      <c r="O5" s="2939"/>
      <c r="P5" s="3286"/>
      <c r="Q5" s="3287"/>
      <c r="R5" s="3269"/>
      <c r="S5" s="3270"/>
      <c r="T5" s="3269"/>
      <c r="U5" s="3270"/>
      <c r="V5" s="3292"/>
      <c r="W5" s="3292"/>
      <c r="X5" s="1537"/>
      <c r="Y5" s="3269"/>
      <c r="Z5" s="3270"/>
      <c r="AA5" s="3263"/>
      <c r="AB5" s="3263"/>
      <c r="AC5" s="3263"/>
    </row>
    <row r="6" spans="1:29" ht="15.75" thickBot="1">
      <c r="A6" s="364"/>
      <c r="B6" s="365"/>
      <c r="C6" s="3357" t="s">
        <v>2613</v>
      </c>
      <c r="D6" s="3358"/>
      <c r="E6" s="3359" t="s">
        <v>2613</v>
      </c>
      <c r="F6" s="3360"/>
      <c r="G6" s="3357" t="s">
        <v>2613</v>
      </c>
      <c r="H6" s="3358"/>
      <c r="I6" s="3357" t="s">
        <v>2613</v>
      </c>
      <c r="J6" s="3358"/>
      <c r="K6" s="565" t="s">
        <v>2365</v>
      </c>
      <c r="L6" s="2938"/>
      <c r="M6" s="2939"/>
      <c r="N6" s="2939"/>
      <c r="O6" s="2939"/>
      <c r="P6" s="3288"/>
      <c r="Q6" s="3289"/>
      <c r="R6" s="3269"/>
      <c r="S6" s="3270"/>
      <c r="T6" s="3290"/>
      <c r="U6" s="3291"/>
      <c r="V6" s="3292"/>
      <c r="W6" s="3292"/>
      <c r="X6" s="1537"/>
      <c r="Y6" s="3290"/>
      <c r="Z6" s="3291"/>
      <c r="AA6" s="3264"/>
      <c r="AB6" s="3264"/>
      <c r="AC6" s="3264"/>
    </row>
    <row r="7" spans="1:29" s="112" customFormat="1" ht="15.75" thickBot="1">
      <c r="A7" s="366" t="s">
        <v>2366</v>
      </c>
      <c r="B7" s="367"/>
      <c r="C7" s="368">
        <f>'数据-取费表'!B2</f>
        <v>44299</v>
      </c>
      <c r="D7" s="369">
        <v>100</v>
      </c>
      <c r="E7" s="370"/>
      <c r="F7" s="371">
        <f>SUMIF(65:65,YEAR(E7)&amp;"-"&amp;INT((MONTH(E7)+2)/3),66:66)</f>
        <v>0</v>
      </c>
      <c r="G7" s="2157"/>
      <c r="H7" s="369">
        <f>SUMIF(65:65,YEAR(G7)&amp;"-"&amp;INT((MONTH(G7)+2)/3),66:66)</f>
        <v>0</v>
      </c>
      <c r="I7" s="2157"/>
      <c r="J7" s="369">
        <f>SUMIF(65:65,YEAR(I7)&amp;"-"&amp;INT((MONTH(I7)+2)/3),66:66)</f>
        <v>0</v>
      </c>
      <c r="K7" s="566"/>
      <c r="L7" s="2940"/>
      <c r="M7" s="2941"/>
      <c r="N7" s="2941"/>
      <c r="O7" s="2941"/>
      <c r="P7" s="3265" t="s">
        <v>2367</v>
      </c>
      <c r="Q7" s="3293"/>
      <c r="R7" s="708" t="s">
        <v>17</v>
      </c>
      <c r="S7" s="709">
        <f t="shared" ref="S7:S15" si="0">F7</f>
        <v>0</v>
      </c>
      <c r="T7" s="708" t="s">
        <v>17</v>
      </c>
      <c r="U7" s="709">
        <f t="shared" ref="U7:U15" si="1">H7</f>
        <v>0</v>
      </c>
      <c r="V7" s="708" t="s">
        <v>17</v>
      </c>
      <c r="W7" s="709">
        <f t="shared" ref="W7:W15" si="2">J7</f>
        <v>0</v>
      </c>
      <c r="X7" s="710"/>
      <c r="Y7" s="3265" t="s">
        <v>2367</v>
      </c>
      <c r="Z7" s="3266"/>
      <c r="AA7" s="711" t="e">
        <f>D7/F7</f>
        <v>#DIV/0!</v>
      </c>
      <c r="AB7" s="711" t="e">
        <f>D7/H7</f>
        <v>#DIV/0!</v>
      </c>
      <c r="AC7" s="711" t="e">
        <f>D7/J7</f>
        <v>#DIV/0!</v>
      </c>
    </row>
    <row r="8" spans="1:29" s="112" customFormat="1" ht="15.75" thickBot="1">
      <c r="A8" s="366" t="s">
        <v>2368</v>
      </c>
      <c r="B8" s="367"/>
      <c r="C8" s="372" t="s">
        <v>2369</v>
      </c>
      <c r="D8" s="369">
        <v>100</v>
      </c>
      <c r="E8" s="372"/>
      <c r="F8" s="371">
        <f>SUMIF(68:68,E8,69:69)-SUMIF(68:68,C8,69:69)+100</f>
        <v>0</v>
      </c>
      <c r="G8" s="372"/>
      <c r="H8" s="369">
        <f>SUMIF(68:68,G8,69:69)-SUMIF(68:68,C8,69:69)+100</f>
        <v>0</v>
      </c>
      <c r="I8" s="372"/>
      <c r="J8" s="369">
        <f>SUMIF(68:68,I8,69:69)-SUMIF(68:68,C8,69:69)+100</f>
        <v>0</v>
      </c>
      <c r="K8" s="566"/>
      <c r="L8" s="2940"/>
      <c r="M8" s="2941"/>
      <c r="N8" s="2941"/>
      <c r="O8" s="2941"/>
      <c r="P8" s="3265" t="s">
        <v>2370</v>
      </c>
      <c r="Q8" s="3266"/>
      <c r="R8" s="708" t="s">
        <v>17</v>
      </c>
      <c r="S8" s="709">
        <f t="shared" si="0"/>
        <v>0</v>
      </c>
      <c r="T8" s="708" t="s">
        <v>17</v>
      </c>
      <c r="U8" s="709">
        <f t="shared" si="1"/>
        <v>0</v>
      </c>
      <c r="V8" s="708" t="s">
        <v>17</v>
      </c>
      <c r="W8" s="709">
        <f t="shared" si="2"/>
        <v>0</v>
      </c>
      <c r="X8" s="710"/>
      <c r="Y8" s="3265" t="s">
        <v>2370</v>
      </c>
      <c r="Z8" s="3266"/>
      <c r="AA8" s="711" t="e">
        <f t="shared" ref="AA8:AA40" si="3">D8/F8</f>
        <v>#DIV/0!</v>
      </c>
      <c r="AB8" s="711" t="e">
        <f t="shared" ref="AB8:AB40" si="4">D8/H8</f>
        <v>#DIV/0!</v>
      </c>
      <c r="AC8" s="711" t="e">
        <f t="shared" ref="AC8:AC40" si="5">D8/J8</f>
        <v>#DIV/0!</v>
      </c>
    </row>
    <row r="9" spans="1:29" s="112" customFormat="1">
      <c r="A9" s="373" t="s">
        <v>2371</v>
      </c>
      <c r="B9" s="66" t="s">
        <v>2372</v>
      </c>
      <c r="C9" s="2160"/>
      <c r="D9" s="129">
        <v>100</v>
      </c>
      <c r="E9" s="2160"/>
      <c r="F9" s="129">
        <f>SUMIF(70:70,E9,71:71)-SUMIF(70:70,C9,71:71)+100</f>
        <v>100</v>
      </c>
      <c r="G9" s="2160"/>
      <c r="H9" s="129">
        <f>SUMIF(70:70,G9,71:71)-SUMIF(70:70,C9,71:71)+100</f>
        <v>100</v>
      </c>
      <c r="I9" s="2160"/>
      <c r="J9" s="129">
        <f>SUMIF(70:70,I9,71:71)-SUMIF(70:70,C9,71:71)+100</f>
        <v>100</v>
      </c>
      <c r="K9" s="566"/>
      <c r="L9" s="2940"/>
      <c r="M9" s="2941"/>
      <c r="N9" s="2941"/>
      <c r="O9" s="2995"/>
      <c r="P9" s="3279" t="s">
        <v>2373</v>
      </c>
      <c r="Q9" s="1525" t="str">
        <f t="shared" ref="Q9:Q15" si="6">B9</f>
        <v>用途</v>
      </c>
      <c r="R9" s="708" t="s">
        <v>17</v>
      </c>
      <c r="S9" s="709">
        <f t="shared" si="0"/>
        <v>100</v>
      </c>
      <c r="T9" s="708" t="s">
        <v>17</v>
      </c>
      <c r="U9" s="709">
        <f t="shared" si="1"/>
        <v>100</v>
      </c>
      <c r="V9" s="708" t="s">
        <v>17</v>
      </c>
      <c r="W9" s="709">
        <f t="shared" si="2"/>
        <v>100</v>
      </c>
      <c r="X9" s="710"/>
      <c r="Y9" s="3231" t="s">
        <v>2374</v>
      </c>
      <c r="Z9" s="54" t="str">
        <f t="shared" ref="Z9:Z15" si="7">Q9</f>
        <v>用途</v>
      </c>
      <c r="AA9" s="711">
        <f t="shared" si="3"/>
        <v>1</v>
      </c>
      <c r="AB9" s="711">
        <f t="shared" si="4"/>
        <v>1</v>
      </c>
      <c r="AC9" s="711">
        <f t="shared" si="5"/>
        <v>1</v>
      </c>
    </row>
    <row r="10" spans="1:29" s="384" customFormat="1" ht="27">
      <c r="A10" s="378"/>
      <c r="B10" s="379" t="s">
        <v>2375</v>
      </c>
      <c r="C10" s="389"/>
      <c r="D10" s="130">
        <v>100</v>
      </c>
      <c r="E10" s="389"/>
      <c r="F10" s="130">
        <f>ROUND(100/'数据-取费表'!G16,0)</f>
        <v>103</v>
      </c>
      <c r="G10" s="389"/>
      <c r="H10" s="130">
        <f>ROUND(100/'数据-取费表'!G16,0)</f>
        <v>103</v>
      </c>
      <c r="I10" s="389"/>
      <c r="J10" s="130">
        <f>ROUND(100/'数据-取费表'!G16,0)</f>
        <v>103</v>
      </c>
      <c r="K10" s="626"/>
      <c r="L10" s="2942"/>
      <c r="M10" s="2943"/>
      <c r="N10" s="2943"/>
      <c r="O10" s="2996"/>
      <c r="P10" s="3279"/>
      <c r="Q10" s="1525" t="str">
        <f t="shared" si="6"/>
        <v>土地使用年限（年）</v>
      </c>
      <c r="R10" s="708" t="s">
        <v>17</v>
      </c>
      <c r="S10" s="709">
        <f t="shared" si="0"/>
        <v>103</v>
      </c>
      <c r="T10" s="708" t="s">
        <v>17</v>
      </c>
      <c r="U10" s="709">
        <f t="shared" si="1"/>
        <v>103</v>
      </c>
      <c r="V10" s="708" t="s">
        <v>17</v>
      </c>
      <c r="W10" s="709">
        <f t="shared" si="2"/>
        <v>103</v>
      </c>
      <c r="X10" s="710"/>
      <c r="Y10" s="3231"/>
      <c r="Z10" s="54" t="str">
        <f t="shared" si="7"/>
        <v>土地使用年限（年）</v>
      </c>
      <c r="AA10" s="711">
        <f t="shared" si="3"/>
        <v>0.970873786407767</v>
      </c>
      <c r="AB10" s="711">
        <f t="shared" si="4"/>
        <v>0.970873786407767</v>
      </c>
      <c r="AC10" s="711">
        <f t="shared" si="5"/>
        <v>0.970873786407767</v>
      </c>
    </row>
    <row r="11" spans="1:29" ht="15">
      <c r="A11" s="385"/>
      <c r="B11" s="379" t="s">
        <v>2376</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4"/>
      <c r="M11" s="2939"/>
      <c r="N11" s="2939"/>
      <c r="O11" s="2997"/>
      <c r="P11" s="3279"/>
      <c r="Q11" s="1525" t="str">
        <f t="shared" si="6"/>
        <v>容积率</v>
      </c>
      <c r="R11" s="708" t="s">
        <v>17</v>
      </c>
      <c r="S11" s="709" t="e">
        <f t="shared" si="0"/>
        <v>#N/A</v>
      </c>
      <c r="T11" s="708" t="s">
        <v>17</v>
      </c>
      <c r="U11" s="709" t="e">
        <f t="shared" si="1"/>
        <v>#N/A</v>
      </c>
      <c r="V11" s="708" t="s">
        <v>17</v>
      </c>
      <c r="W11" s="709" t="e">
        <f t="shared" si="2"/>
        <v>#N/A</v>
      </c>
      <c r="X11" s="710"/>
      <c r="Y11" s="3231"/>
      <c r="Z11" s="54" t="str">
        <f t="shared" si="7"/>
        <v>容积率</v>
      </c>
      <c r="AA11" s="711" t="e">
        <f t="shared" si="3"/>
        <v>#N/A</v>
      </c>
      <c r="AB11" s="711" t="e">
        <f t="shared" si="4"/>
        <v>#N/A</v>
      </c>
      <c r="AC11" s="711" t="e">
        <f t="shared" si="5"/>
        <v>#N/A</v>
      </c>
    </row>
    <row r="12" spans="1:29" s="112" customFormat="1" ht="15">
      <c r="A12" s="388"/>
      <c r="B12" s="2076">
        <v>111</v>
      </c>
      <c r="C12" s="389"/>
      <c r="D12" s="390">
        <v>100</v>
      </c>
      <c r="E12" s="504"/>
      <c r="F12" s="130">
        <f>SUMIF(77:77,E12,78:78)-SUMIF(77:77,C12,78:78)+100</f>
        <v>100</v>
      </c>
      <c r="G12" s="628"/>
      <c r="H12" s="130">
        <f>SUMIF(77:77,G12,78:78)-SUMIF(77:77,C12,78:78)+100</f>
        <v>100</v>
      </c>
      <c r="I12" s="504"/>
      <c r="J12" s="130">
        <f>SUMIF(77:77,I12,78:78)-SUMIF(77:77,C12,78:78)+100</f>
        <v>100</v>
      </c>
      <c r="K12" s="626"/>
      <c r="L12" s="2940"/>
      <c r="M12" s="2941"/>
      <c r="N12" s="2941"/>
      <c r="O12" s="2995"/>
      <c r="P12" s="3279"/>
      <c r="Q12" s="1525">
        <f t="shared" si="6"/>
        <v>111</v>
      </c>
      <c r="R12" s="708" t="s">
        <v>17</v>
      </c>
      <c r="S12" s="709">
        <f t="shared" si="0"/>
        <v>100</v>
      </c>
      <c r="T12" s="708" t="s">
        <v>17</v>
      </c>
      <c r="U12" s="709">
        <f t="shared" si="1"/>
        <v>100</v>
      </c>
      <c r="V12" s="708" t="s">
        <v>17</v>
      </c>
      <c r="W12" s="709">
        <f t="shared" si="2"/>
        <v>100</v>
      </c>
      <c r="X12" s="710"/>
      <c r="Y12" s="3231"/>
      <c r="Z12" s="54">
        <f t="shared" si="7"/>
        <v>111</v>
      </c>
      <c r="AA12" s="711">
        <f>D12/F12</f>
        <v>1</v>
      </c>
      <c r="AB12" s="711">
        <f>D12/H12</f>
        <v>1</v>
      </c>
      <c r="AC12" s="711">
        <f>D12/J12</f>
        <v>1</v>
      </c>
    </row>
    <row r="13" spans="1:29" ht="15">
      <c r="A13" s="385"/>
      <c r="B13" s="2076">
        <v>111</v>
      </c>
      <c r="C13" s="391"/>
      <c r="D13" s="392">
        <v>100</v>
      </c>
      <c r="E13" s="504"/>
      <c r="F13" s="130">
        <f>SUMIF(79:79,E13,80:80)-SUMIF(79:79,C13,80:80)+100</f>
        <v>100</v>
      </c>
      <c r="G13" s="628"/>
      <c r="H13" s="392">
        <f>SUMIF(79:79,G13,80:80)-SUMIF(79:79,C13,80:80)+100</f>
        <v>100</v>
      </c>
      <c r="I13" s="504"/>
      <c r="J13" s="392">
        <f>SUMIF(79:79,I13,80:80)-SUMIF(79:79,C13,80:80)+100</f>
        <v>100</v>
      </c>
      <c r="K13" s="626"/>
      <c r="L13" s="2945"/>
      <c r="M13" s="2939"/>
      <c r="N13" s="2939"/>
      <c r="O13" s="2997"/>
      <c r="P13" s="3279"/>
      <c r="Q13" s="1525">
        <f t="shared" si="6"/>
        <v>111</v>
      </c>
      <c r="R13" s="708" t="s">
        <v>17</v>
      </c>
      <c r="S13" s="709">
        <f t="shared" si="0"/>
        <v>100</v>
      </c>
      <c r="T13" s="708" t="s">
        <v>17</v>
      </c>
      <c r="U13" s="709">
        <f t="shared" si="1"/>
        <v>100</v>
      </c>
      <c r="V13" s="708" t="s">
        <v>17</v>
      </c>
      <c r="W13" s="709">
        <f t="shared" si="2"/>
        <v>100</v>
      </c>
      <c r="X13" s="710"/>
      <c r="Y13" s="3231"/>
      <c r="Z13" s="54">
        <f t="shared" si="7"/>
        <v>111</v>
      </c>
      <c r="AA13" s="711">
        <f t="shared" si="3"/>
        <v>1</v>
      </c>
      <c r="AB13" s="711">
        <f t="shared" si="4"/>
        <v>1</v>
      </c>
      <c r="AC13" s="711">
        <f t="shared" si="5"/>
        <v>1</v>
      </c>
    </row>
    <row r="14" spans="1:29" ht="15.75" thickBot="1">
      <c r="A14" s="393"/>
      <c r="B14" s="2078">
        <v>111</v>
      </c>
      <c r="C14" s="394"/>
      <c r="D14" s="395">
        <v>100</v>
      </c>
      <c r="E14" s="504"/>
      <c r="F14" s="395">
        <f>SUMIF(81:81,E14,82:82)-SUMIF(81:81,C14,82:82)+100</f>
        <v>100</v>
      </c>
      <c r="G14" s="628"/>
      <c r="H14" s="395">
        <f>SUMIF(81:81,G14,82:82)-SUMIF(81:81,C14,82:82)+100</f>
        <v>100</v>
      </c>
      <c r="I14" s="504"/>
      <c r="J14" s="395">
        <f>SUMIF(81:81,I14,82:82)-SUMIF(81:81,C14,82:82)+100</f>
        <v>100</v>
      </c>
      <c r="K14" s="626"/>
      <c r="L14" s="2945"/>
      <c r="M14" s="2939"/>
      <c r="N14" s="2939"/>
      <c r="O14" s="2997"/>
      <c r="P14" s="3279"/>
      <c r="Q14" s="1525">
        <f t="shared" si="6"/>
        <v>111</v>
      </c>
      <c r="R14" s="708" t="s">
        <v>17</v>
      </c>
      <c r="S14" s="709">
        <f t="shared" si="0"/>
        <v>100</v>
      </c>
      <c r="T14" s="708" t="s">
        <v>17</v>
      </c>
      <c r="U14" s="709">
        <f t="shared" si="1"/>
        <v>100</v>
      </c>
      <c r="V14" s="708" t="s">
        <v>17</v>
      </c>
      <c r="W14" s="709">
        <f t="shared" si="2"/>
        <v>100</v>
      </c>
      <c r="X14" s="710"/>
      <c r="Y14" s="3231"/>
      <c r="Z14" s="54">
        <f t="shared" si="7"/>
        <v>111</v>
      </c>
      <c r="AA14" s="711">
        <f t="shared" si="3"/>
        <v>1</v>
      </c>
      <c r="AB14" s="711">
        <f t="shared" si="4"/>
        <v>1</v>
      </c>
      <c r="AC14" s="711">
        <f t="shared" si="5"/>
        <v>1</v>
      </c>
    </row>
    <row r="15" spans="1:29" ht="57">
      <c r="A15" s="397" t="s">
        <v>2377</v>
      </c>
      <c r="B15" s="583" t="s">
        <v>2614</v>
      </c>
      <c r="C15" s="2154"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5"/>
      <c r="M15" s="2939"/>
      <c r="N15" s="2939"/>
      <c r="O15" s="2997"/>
      <c r="P15" s="3294" t="s">
        <v>2378</v>
      </c>
      <c r="Q15" s="1534" t="str">
        <f t="shared" si="6"/>
        <v>产业集聚程度</v>
      </c>
      <c r="R15" s="712" t="s">
        <v>17</v>
      </c>
      <c r="S15" s="713">
        <f t="shared" si="0"/>
        <v>100</v>
      </c>
      <c r="T15" s="712" t="s">
        <v>17</v>
      </c>
      <c r="U15" s="713">
        <f t="shared" si="1"/>
        <v>100</v>
      </c>
      <c r="V15" s="712" t="s">
        <v>17</v>
      </c>
      <c r="W15" s="713">
        <f t="shared" si="2"/>
        <v>100</v>
      </c>
      <c r="X15" s="1537"/>
      <c r="Y15" s="3294" t="s">
        <v>2378</v>
      </c>
      <c r="Z15" s="1538" t="str">
        <f t="shared" si="7"/>
        <v>产业集聚程度</v>
      </c>
      <c r="AA15" s="1535">
        <f t="shared" si="3"/>
        <v>1</v>
      </c>
      <c r="AB15" s="1535">
        <f t="shared" si="4"/>
        <v>1</v>
      </c>
      <c r="AC15" s="1535">
        <f t="shared" si="5"/>
        <v>1</v>
      </c>
    </row>
    <row r="16" spans="1:29" ht="15">
      <c r="A16" s="385"/>
      <c r="B16" s="584"/>
      <c r="C16" s="404"/>
      <c r="D16" s="405"/>
      <c r="E16" s="2087"/>
      <c r="F16" s="405"/>
      <c r="G16" s="2087"/>
      <c r="H16" s="407"/>
      <c r="I16" s="2087"/>
      <c r="J16" s="405"/>
      <c r="K16" s="626"/>
      <c r="L16" s="2945"/>
      <c r="M16" s="2939"/>
      <c r="N16" s="2939"/>
      <c r="O16" s="2997"/>
      <c r="P16" s="3295"/>
      <c r="Q16" s="1534"/>
      <c r="R16" s="712"/>
      <c r="S16" s="713"/>
      <c r="T16" s="712"/>
      <c r="U16" s="713"/>
      <c r="V16" s="712"/>
      <c r="W16" s="713"/>
      <c r="X16" s="1537"/>
      <c r="Y16" s="3295"/>
      <c r="Z16" s="1538"/>
      <c r="AA16" s="1535">
        <v>1</v>
      </c>
      <c r="AB16" s="1535">
        <v>1</v>
      </c>
      <c r="AC16" s="1535">
        <v>1</v>
      </c>
    </row>
    <row r="17" spans="1:29" ht="85.5">
      <c r="A17" s="385"/>
      <c r="B17" s="585" t="s">
        <v>2527</v>
      </c>
      <c r="C17" s="2083"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5"/>
      <c r="M17" s="2939"/>
      <c r="N17" s="2939"/>
      <c r="O17" s="2997"/>
      <c r="P17" s="3295"/>
      <c r="Q17" s="1534" t="str">
        <f>B17</f>
        <v>交通便捷度</v>
      </c>
      <c r="R17" s="712" t="s">
        <v>17</v>
      </c>
      <c r="S17" s="713">
        <f>F17</f>
        <v>100</v>
      </c>
      <c r="T17" s="712" t="s">
        <v>17</v>
      </c>
      <c r="U17" s="713">
        <f>H17</f>
        <v>100</v>
      </c>
      <c r="V17" s="712" t="s">
        <v>17</v>
      </c>
      <c r="W17" s="713">
        <f>J17</f>
        <v>100</v>
      </c>
      <c r="X17" s="1537"/>
      <c r="Y17" s="3295"/>
      <c r="Z17" s="1538" t="str">
        <f>Q17</f>
        <v>交通便捷度</v>
      </c>
      <c r="AA17" s="1535">
        <f t="shared" si="3"/>
        <v>1</v>
      </c>
      <c r="AB17" s="1535">
        <f t="shared" si="4"/>
        <v>1</v>
      </c>
      <c r="AC17" s="1535">
        <f t="shared" si="5"/>
        <v>1</v>
      </c>
    </row>
    <row r="18" spans="1:29" ht="15">
      <c r="A18" s="385"/>
      <c r="B18" s="586"/>
      <c r="C18" s="404"/>
      <c r="D18" s="405"/>
      <c r="E18" s="2081"/>
      <c r="F18" s="405"/>
      <c r="G18" s="2081"/>
      <c r="H18" s="405"/>
      <c r="I18" s="2080"/>
      <c r="J18" s="405"/>
      <c r="K18" s="626"/>
      <c r="L18" s="2945"/>
      <c r="M18" s="2939"/>
      <c r="N18" s="2939"/>
      <c r="O18" s="2997"/>
      <c r="P18" s="3295"/>
      <c r="Q18" s="1534"/>
      <c r="R18" s="712"/>
      <c r="S18" s="713"/>
      <c r="T18" s="712"/>
      <c r="U18" s="713"/>
      <c r="V18" s="712"/>
      <c r="W18" s="713"/>
      <c r="X18" s="1537"/>
      <c r="Y18" s="3295"/>
      <c r="Z18" s="1538"/>
      <c r="AA18" s="1535">
        <v>1</v>
      </c>
      <c r="AB18" s="1535">
        <v>1</v>
      </c>
      <c r="AC18" s="1535">
        <v>1</v>
      </c>
    </row>
    <row r="19" spans="1:29" ht="15">
      <c r="A19" s="385"/>
      <c r="B19" s="585" t="s">
        <v>2565</v>
      </c>
      <c r="C19" s="2083">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5"/>
      <c r="M19" s="2939"/>
      <c r="N19" s="2939"/>
      <c r="O19" s="2997"/>
      <c r="P19" s="3295"/>
      <c r="Q19" s="1534" t="str">
        <f t="shared" ref="Q19:Q33" si="8">B19</f>
        <v>区域土地利用方向</v>
      </c>
      <c r="R19" s="712" t="s">
        <v>17</v>
      </c>
      <c r="S19" s="713">
        <f>F19</f>
        <v>100</v>
      </c>
      <c r="T19" s="712" t="s">
        <v>17</v>
      </c>
      <c r="U19" s="713">
        <f>H19</f>
        <v>100</v>
      </c>
      <c r="V19" s="712" t="s">
        <v>17</v>
      </c>
      <c r="W19" s="713">
        <f>J19</f>
        <v>100</v>
      </c>
      <c r="X19" s="1537"/>
      <c r="Y19" s="3295"/>
      <c r="Z19" s="1538" t="str">
        <f>Q19</f>
        <v>区域土地利用方向</v>
      </c>
      <c r="AA19" s="1535">
        <f t="shared" si="3"/>
        <v>1</v>
      </c>
      <c r="AB19" s="1535">
        <f t="shared" si="4"/>
        <v>1</v>
      </c>
      <c r="AC19" s="1535">
        <f t="shared" si="5"/>
        <v>1</v>
      </c>
    </row>
    <row r="20" spans="1:29" ht="15">
      <c r="A20" s="362"/>
      <c r="B20" s="586"/>
      <c r="C20" s="404"/>
      <c r="D20" s="405"/>
      <c r="E20" s="2081"/>
      <c r="F20" s="405"/>
      <c r="G20" s="2081"/>
      <c r="H20" s="405"/>
      <c r="I20" s="2081"/>
      <c r="J20" s="405"/>
      <c r="K20" s="749"/>
      <c r="L20" s="2945"/>
      <c r="M20" s="2939"/>
      <c r="N20" s="2939"/>
      <c r="O20" s="2997"/>
      <c r="P20" s="3295"/>
      <c r="Q20" s="1534"/>
      <c r="R20" s="712"/>
      <c r="S20" s="713"/>
      <c r="T20" s="712"/>
      <c r="U20" s="713"/>
      <c r="V20" s="712"/>
      <c r="W20" s="713"/>
      <c r="X20" s="1537"/>
      <c r="Y20" s="3295"/>
      <c r="Z20" s="1538"/>
      <c r="AA20" s="1535"/>
      <c r="AB20" s="1535"/>
      <c r="AC20" s="1535"/>
    </row>
    <row r="21" spans="1:29" ht="71.25">
      <c r="A21" s="362"/>
      <c r="B21" s="585" t="s">
        <v>2615</v>
      </c>
      <c r="C21" s="2083"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5"/>
      <c r="M21" s="2939"/>
      <c r="N21" s="2939"/>
      <c r="O21" s="2997"/>
      <c r="P21" s="3295"/>
      <c r="Q21" s="1534" t="str">
        <f t="shared" si="8"/>
        <v>环境状况</v>
      </c>
      <c r="R21" s="712" t="s">
        <v>17</v>
      </c>
      <c r="S21" s="713">
        <f>F21</f>
        <v>100</v>
      </c>
      <c r="T21" s="712" t="s">
        <v>17</v>
      </c>
      <c r="U21" s="713">
        <f>H21</f>
        <v>100</v>
      </c>
      <c r="V21" s="712" t="s">
        <v>17</v>
      </c>
      <c r="W21" s="713">
        <f>J21</f>
        <v>100</v>
      </c>
      <c r="X21" s="1537"/>
      <c r="Y21" s="3295"/>
      <c r="Z21" s="1538" t="str">
        <f>Q21</f>
        <v>环境状况</v>
      </c>
      <c r="AA21" s="1535">
        <f t="shared" si="3"/>
        <v>1</v>
      </c>
      <c r="AB21" s="1535">
        <f t="shared" si="4"/>
        <v>1</v>
      </c>
      <c r="AC21" s="1535">
        <f t="shared" si="5"/>
        <v>1</v>
      </c>
    </row>
    <row r="22" spans="1:29" ht="15">
      <c r="A22" s="362"/>
      <c r="B22" s="586"/>
      <c r="C22" s="404"/>
      <c r="D22" s="405"/>
      <c r="E22" s="2087"/>
      <c r="F22" s="405"/>
      <c r="G22" s="2087"/>
      <c r="H22" s="405"/>
      <c r="I22" s="404"/>
      <c r="J22" s="405"/>
      <c r="K22" s="626"/>
      <c r="L22" s="2945"/>
      <c r="M22" s="2939"/>
      <c r="N22" s="2939"/>
      <c r="O22" s="2997"/>
      <c r="P22" s="3295"/>
      <c r="Q22" s="1534"/>
      <c r="R22" s="712"/>
      <c r="S22" s="713"/>
      <c r="T22" s="712"/>
      <c r="U22" s="713"/>
      <c r="V22" s="712"/>
      <c r="W22" s="713"/>
      <c r="X22" s="1537"/>
      <c r="Y22" s="3295"/>
      <c r="Z22" s="1538"/>
      <c r="AA22" s="1535">
        <v>1</v>
      </c>
      <c r="AB22" s="1535">
        <v>1</v>
      </c>
      <c r="AC22" s="1535">
        <v>1</v>
      </c>
    </row>
    <row r="23" spans="1:29" s="112" customFormat="1" ht="42.75">
      <c r="A23" s="603"/>
      <c r="B23" s="587" t="s">
        <v>2472</v>
      </c>
      <c r="C23" s="2083"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0"/>
      <c r="M23" s="2941"/>
      <c r="N23" s="2941"/>
      <c r="O23" s="2995"/>
      <c r="P23" s="3295"/>
      <c r="Q23" s="1525" t="str">
        <f t="shared" si="8"/>
        <v>公共配套设施</v>
      </c>
      <c r="R23" s="708" t="s">
        <v>17</v>
      </c>
      <c r="S23" s="709">
        <f>F23</f>
        <v>100</v>
      </c>
      <c r="T23" s="708" t="s">
        <v>17</v>
      </c>
      <c r="U23" s="709">
        <f>H23</f>
        <v>100</v>
      </c>
      <c r="V23" s="708" t="s">
        <v>17</v>
      </c>
      <c r="W23" s="709">
        <f>J23</f>
        <v>100</v>
      </c>
      <c r="X23" s="710"/>
      <c r="Y23" s="3295"/>
      <c r="Z23" s="54" t="str">
        <f>Q23</f>
        <v>公共配套设施</v>
      </c>
      <c r="AA23" s="1535">
        <f>D23/F23</f>
        <v>1</v>
      </c>
      <c r="AB23" s="1535">
        <f>D23/H23</f>
        <v>1</v>
      </c>
      <c r="AC23" s="1535">
        <f>D23/J23</f>
        <v>1</v>
      </c>
    </row>
    <row r="24" spans="1:29" s="112" customFormat="1" ht="15">
      <c r="A24" s="603"/>
      <c r="B24" s="586"/>
      <c r="C24" s="2161"/>
      <c r="D24" s="405"/>
      <c r="E24" s="2087"/>
      <c r="F24" s="405"/>
      <c r="G24" s="2087"/>
      <c r="H24" s="405"/>
      <c r="I24" s="404"/>
      <c r="J24" s="405"/>
      <c r="K24" s="626"/>
      <c r="L24" s="2940"/>
      <c r="M24" s="2941"/>
      <c r="N24" s="2941"/>
      <c r="O24" s="2995"/>
      <c r="P24" s="3295"/>
      <c r="Q24" s="1525"/>
      <c r="R24" s="708"/>
      <c r="S24" s="709"/>
      <c r="T24" s="708"/>
      <c r="U24" s="709"/>
      <c r="V24" s="708"/>
      <c r="W24" s="709"/>
      <c r="X24" s="710"/>
      <c r="Y24" s="3295"/>
      <c r="Z24" s="54"/>
      <c r="AA24" s="711">
        <v>1</v>
      </c>
      <c r="AB24" s="711">
        <v>1</v>
      </c>
      <c r="AC24" s="711">
        <v>1</v>
      </c>
    </row>
    <row r="25" spans="1:29" s="112" customFormat="1" ht="28.5">
      <c r="A25" s="603"/>
      <c r="B25" s="587" t="s">
        <v>2473</v>
      </c>
      <c r="C25" s="2083"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0"/>
      <c r="M25" s="2941"/>
      <c r="N25" s="2941"/>
      <c r="O25" s="2995"/>
      <c r="P25" s="3295"/>
      <c r="Q25" s="1525" t="str">
        <f t="shared" ref="Q25" si="9">B25</f>
        <v>基础设施水平</v>
      </c>
      <c r="R25" s="708" t="s">
        <v>17</v>
      </c>
      <c r="S25" s="709">
        <f>F25</f>
        <v>100</v>
      </c>
      <c r="T25" s="708" t="s">
        <v>17</v>
      </c>
      <c r="U25" s="709">
        <f>H25</f>
        <v>100</v>
      </c>
      <c r="V25" s="708" t="s">
        <v>17</v>
      </c>
      <c r="W25" s="709">
        <f>J25</f>
        <v>100</v>
      </c>
      <c r="X25" s="710"/>
      <c r="Y25" s="3295"/>
      <c r="Z25" s="54" t="str">
        <f>Q25</f>
        <v>基础设施水平</v>
      </c>
      <c r="AA25" s="1535">
        <f>D25/F25</f>
        <v>1</v>
      </c>
      <c r="AB25" s="1535">
        <f>D25/H25</f>
        <v>1</v>
      </c>
      <c r="AC25" s="1535">
        <f>D25/J25</f>
        <v>1</v>
      </c>
    </row>
    <row r="26" spans="1:29" s="112" customFormat="1" ht="15">
      <c r="A26" s="603"/>
      <c r="B26" s="586"/>
      <c r="C26" s="2161"/>
      <c r="D26" s="405"/>
      <c r="E26" s="2162"/>
      <c r="F26" s="405"/>
      <c r="G26" s="2162"/>
      <c r="H26" s="405"/>
      <c r="I26" s="2162"/>
      <c r="J26" s="405"/>
      <c r="K26" s="626"/>
      <c r="L26" s="2940"/>
      <c r="M26" s="2941"/>
      <c r="N26" s="2941"/>
      <c r="O26" s="2995"/>
      <c r="P26" s="3295"/>
      <c r="Q26" s="1525"/>
      <c r="R26" s="708"/>
      <c r="S26" s="709"/>
      <c r="T26" s="708"/>
      <c r="U26" s="709"/>
      <c r="V26" s="708"/>
      <c r="W26" s="709"/>
      <c r="X26" s="710"/>
      <c r="Y26" s="3295"/>
      <c r="Z26" s="54"/>
      <c r="AA26" s="711">
        <v>1</v>
      </c>
      <c r="AB26" s="711">
        <v>1</v>
      </c>
      <c r="AC26" s="711">
        <v>1</v>
      </c>
    </row>
    <row r="27" spans="1:29" ht="15">
      <c r="A27" s="385"/>
      <c r="B27" s="586" t="s">
        <v>2474</v>
      </c>
      <c r="C27" s="571"/>
      <c r="D27" s="392">
        <v>100</v>
      </c>
      <c r="E27" s="588"/>
      <c r="F27" s="392">
        <f>SUMIF(95:95,E27,96:96)-SUMIF(95:95,C27,96:96)+100</f>
        <v>100</v>
      </c>
      <c r="G27" s="588"/>
      <c r="H27" s="392">
        <f>SUMIF(95:95,G27,96:96)-SUMIF(95:95,C27,96:96)+100</f>
        <v>100</v>
      </c>
      <c r="I27" s="588"/>
      <c r="J27" s="392">
        <f>SUMIF(95:95,I27,96:96)-SUMIF(95:95,C27,96:96)+100</f>
        <v>100</v>
      </c>
      <c r="K27" s="627"/>
      <c r="L27" s="2945"/>
      <c r="M27" s="2939"/>
      <c r="N27" s="2939"/>
      <c r="O27" s="2997"/>
      <c r="P27" s="3295"/>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295"/>
      <c r="Z27" s="1538" t="str">
        <f t="shared" ref="Z27:Z40" si="13">Q27</f>
        <v>临街状况</v>
      </c>
      <c r="AA27" s="1535">
        <f t="shared" si="3"/>
        <v>1</v>
      </c>
      <c r="AB27" s="1535">
        <f t="shared" si="4"/>
        <v>1</v>
      </c>
      <c r="AC27" s="1535">
        <f t="shared" si="5"/>
        <v>1</v>
      </c>
    </row>
    <row r="28" spans="1:29" ht="27">
      <c r="A28" s="385"/>
      <c r="B28" s="587" t="s">
        <v>2509</v>
      </c>
      <c r="C28" s="2174">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5"/>
      <c r="M28" s="2939"/>
      <c r="N28" s="2939"/>
      <c r="O28" s="2997"/>
      <c r="P28" s="3295"/>
      <c r="Q28" s="1534" t="str">
        <f t="shared" si="8"/>
        <v>毗邻道路的类型与等级</v>
      </c>
      <c r="R28" s="712" t="s">
        <v>17</v>
      </c>
      <c r="S28" s="713">
        <f t="shared" si="10"/>
        <v>100</v>
      </c>
      <c r="T28" s="712" t="s">
        <v>17</v>
      </c>
      <c r="U28" s="713">
        <f t="shared" si="11"/>
        <v>100</v>
      </c>
      <c r="V28" s="712" t="s">
        <v>17</v>
      </c>
      <c r="W28" s="713">
        <f t="shared" si="12"/>
        <v>100</v>
      </c>
      <c r="X28" s="1537"/>
      <c r="Y28" s="3295"/>
      <c r="Z28" s="1538" t="str">
        <f t="shared" si="13"/>
        <v>毗邻道路的类型与等级</v>
      </c>
      <c r="AA28" s="1535">
        <f t="shared" si="3"/>
        <v>1</v>
      </c>
      <c r="AB28" s="1535">
        <f t="shared" si="4"/>
        <v>1</v>
      </c>
      <c r="AC28" s="1535">
        <f t="shared" si="5"/>
        <v>1</v>
      </c>
    </row>
    <row r="29" spans="1:29" ht="15">
      <c r="A29" s="385"/>
      <c r="B29" s="586"/>
      <c r="C29" s="404"/>
      <c r="D29" s="405"/>
      <c r="E29" s="2087"/>
      <c r="F29" s="405"/>
      <c r="G29" s="2087"/>
      <c r="H29" s="405"/>
      <c r="I29" s="2087"/>
      <c r="J29" s="405"/>
      <c r="K29" s="568"/>
      <c r="L29" s="2945"/>
      <c r="M29" s="2939"/>
      <c r="N29" s="2939"/>
      <c r="O29" s="2997"/>
      <c r="P29" s="3295"/>
      <c r="Q29" s="1534"/>
      <c r="R29" s="712"/>
      <c r="S29" s="713"/>
      <c r="T29" s="712"/>
      <c r="U29" s="713"/>
      <c r="V29" s="712"/>
      <c r="W29" s="713"/>
      <c r="X29" s="1537"/>
      <c r="Y29" s="3295"/>
      <c r="Z29" s="1538"/>
      <c r="AA29" s="1535">
        <v>1</v>
      </c>
      <c r="AB29" s="1535">
        <v>1</v>
      </c>
      <c r="AC29" s="1535">
        <v>1</v>
      </c>
    </row>
    <row r="30" spans="1:29" ht="15">
      <c r="A30" s="385"/>
      <c r="B30" s="608" t="s">
        <v>2567</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5"/>
      <c r="M30" s="2939"/>
      <c r="N30" s="2939"/>
      <c r="O30" s="2997"/>
      <c r="P30" s="3295"/>
      <c r="Q30" s="1534" t="str">
        <f t="shared" si="8"/>
        <v>土地级别</v>
      </c>
      <c r="R30" s="712" t="s">
        <v>17</v>
      </c>
      <c r="S30" s="713">
        <f t="shared" si="10"/>
        <v>100</v>
      </c>
      <c r="T30" s="712" t="s">
        <v>17</v>
      </c>
      <c r="U30" s="713">
        <f t="shared" si="11"/>
        <v>100</v>
      </c>
      <c r="V30" s="712" t="s">
        <v>17</v>
      </c>
      <c r="W30" s="713">
        <f t="shared" si="12"/>
        <v>100</v>
      </c>
      <c r="X30" s="1537"/>
      <c r="Y30" s="3295"/>
      <c r="Z30" s="1538" t="str">
        <f t="shared" si="13"/>
        <v>土地级别</v>
      </c>
      <c r="AA30" s="1535">
        <f t="shared" si="3"/>
        <v>1</v>
      </c>
      <c r="AB30" s="1535">
        <f t="shared" si="4"/>
        <v>1</v>
      </c>
      <c r="AC30" s="1535">
        <f t="shared" si="5"/>
        <v>1</v>
      </c>
    </row>
    <row r="31" spans="1:29" ht="15">
      <c r="A31" s="362"/>
      <c r="B31" s="2149">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5"/>
      <c r="M31" s="2939"/>
      <c r="N31" s="2939"/>
      <c r="O31" s="2997"/>
      <c r="P31" s="3295"/>
      <c r="Q31" s="1534">
        <f t="shared" si="8"/>
        <v>111</v>
      </c>
      <c r="R31" s="712" t="s">
        <v>17</v>
      </c>
      <c r="S31" s="713">
        <f t="shared" si="10"/>
        <v>100</v>
      </c>
      <c r="T31" s="712" t="s">
        <v>17</v>
      </c>
      <c r="U31" s="713">
        <f t="shared" si="11"/>
        <v>100</v>
      </c>
      <c r="V31" s="712" t="s">
        <v>17</v>
      </c>
      <c r="W31" s="713">
        <f t="shared" si="12"/>
        <v>100</v>
      </c>
      <c r="X31" s="1537"/>
      <c r="Y31" s="3295"/>
      <c r="Z31" s="1538">
        <f t="shared" si="13"/>
        <v>111</v>
      </c>
      <c r="AA31" s="1535">
        <f t="shared" si="3"/>
        <v>1</v>
      </c>
      <c r="AB31" s="1535">
        <f t="shared" si="4"/>
        <v>1</v>
      </c>
      <c r="AC31" s="1535">
        <f t="shared" si="5"/>
        <v>1</v>
      </c>
    </row>
    <row r="32" spans="1:29" ht="15">
      <c r="A32" s="629"/>
      <c r="B32" s="2175">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5"/>
      <c r="M32" s="2939"/>
      <c r="N32" s="2939"/>
      <c r="O32" s="2997"/>
      <c r="P32" s="3296" t="s">
        <v>2383</v>
      </c>
      <c r="Q32" s="1534">
        <f t="shared" si="8"/>
        <v>111</v>
      </c>
      <c r="R32" s="712" t="s">
        <v>17</v>
      </c>
      <c r="S32" s="713">
        <f t="shared" si="10"/>
        <v>100</v>
      </c>
      <c r="T32" s="712" t="s">
        <v>17</v>
      </c>
      <c r="U32" s="713">
        <f t="shared" si="11"/>
        <v>100</v>
      </c>
      <c r="V32" s="712" t="s">
        <v>17</v>
      </c>
      <c r="W32" s="713">
        <f t="shared" si="12"/>
        <v>100</v>
      </c>
      <c r="X32" s="1537"/>
      <c r="Y32" s="3297" t="s">
        <v>2383</v>
      </c>
      <c r="Z32" s="1538">
        <f t="shared" si="13"/>
        <v>111</v>
      </c>
      <c r="AA32" s="1535">
        <f t="shared" si="3"/>
        <v>1</v>
      </c>
      <c r="AB32" s="1535">
        <f t="shared" si="4"/>
        <v>1</v>
      </c>
      <c r="AC32" s="1535">
        <f t="shared" si="5"/>
        <v>1</v>
      </c>
    </row>
    <row r="33" spans="1:31" s="428" customFormat="1" ht="15.75" thickBot="1">
      <c r="A33" s="630"/>
      <c r="B33" s="2176">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4"/>
      <c r="M33" s="2946"/>
      <c r="N33" s="2946"/>
      <c r="O33" s="2998"/>
      <c r="P33" s="3297"/>
      <c r="Q33" s="1534">
        <f t="shared" si="8"/>
        <v>111</v>
      </c>
      <c r="R33" s="715" t="s">
        <v>17</v>
      </c>
      <c r="S33" s="716">
        <f t="shared" si="10"/>
        <v>100</v>
      </c>
      <c r="T33" s="715" t="s">
        <v>17</v>
      </c>
      <c r="U33" s="716">
        <f t="shared" si="11"/>
        <v>100</v>
      </c>
      <c r="V33" s="715" t="s">
        <v>17</v>
      </c>
      <c r="W33" s="716">
        <f t="shared" si="12"/>
        <v>100</v>
      </c>
      <c r="X33" s="717"/>
      <c r="Y33" s="3297"/>
      <c r="Z33" s="718">
        <f t="shared" si="13"/>
        <v>111</v>
      </c>
      <c r="AA33" s="1535">
        <f t="shared" si="3"/>
        <v>1</v>
      </c>
      <c r="AB33" s="1535">
        <f t="shared" si="4"/>
        <v>1</v>
      </c>
      <c r="AC33" s="1535">
        <f t="shared" si="5"/>
        <v>1</v>
      </c>
    </row>
    <row r="34" spans="1:31" ht="15">
      <c r="A34" s="397" t="s">
        <v>2381</v>
      </c>
      <c r="B34" s="413" t="s">
        <v>2568</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5"/>
      <c r="M34" s="2939"/>
      <c r="N34" s="2939"/>
      <c r="O34" s="2997"/>
      <c r="P34" s="3297"/>
      <c r="Q34" s="1534" t="str">
        <f>B34</f>
        <v>宗地面积</v>
      </c>
      <c r="R34" s="712" t="s">
        <v>17</v>
      </c>
      <c r="S34" s="713" t="e">
        <f t="shared" si="10"/>
        <v>#N/A</v>
      </c>
      <c r="T34" s="712" t="s">
        <v>17</v>
      </c>
      <c r="U34" s="713" t="e">
        <f t="shared" si="11"/>
        <v>#N/A</v>
      </c>
      <c r="V34" s="712" t="s">
        <v>17</v>
      </c>
      <c r="W34" s="713" t="e">
        <f t="shared" si="12"/>
        <v>#N/A</v>
      </c>
      <c r="X34" s="1537"/>
      <c r="Y34" s="3297"/>
      <c r="Z34" s="1538" t="str">
        <f t="shared" si="13"/>
        <v>宗地面积</v>
      </c>
      <c r="AA34" s="1535" t="e">
        <f t="shared" si="3"/>
        <v>#N/A</v>
      </c>
      <c r="AB34" s="1535" t="e">
        <f t="shared" si="4"/>
        <v>#N/A</v>
      </c>
      <c r="AC34" s="1535" t="e">
        <f t="shared" si="5"/>
        <v>#N/A</v>
      </c>
    </row>
    <row r="35" spans="1:31" ht="15">
      <c r="A35" s="429"/>
      <c r="B35" s="379" t="s">
        <v>2569</v>
      </c>
      <c r="C35" s="2089"/>
      <c r="D35" s="392">
        <v>100</v>
      </c>
      <c r="E35" s="2089"/>
      <c r="F35" s="392">
        <f>SUMIF(110:110,E35,111:111)-SUMIF(110:110,C35,111:111)+100</f>
        <v>100</v>
      </c>
      <c r="G35" s="2089"/>
      <c r="H35" s="392">
        <f>SUMIF(110:110,G35,111:111)-SUMIF(110:110,C35,111:111)+100</f>
        <v>100</v>
      </c>
      <c r="I35" s="2089"/>
      <c r="J35" s="392">
        <f>SUMIF(110:110,I35,111:111)-SUMIF(110:110,C35,111:111)+100</f>
        <v>100</v>
      </c>
      <c r="K35" s="567"/>
      <c r="L35" s="2945"/>
      <c r="M35" s="2939"/>
      <c r="N35" s="2939"/>
      <c r="O35" s="2997"/>
      <c r="P35" s="3297"/>
      <c r="Q35" s="1534" t="str">
        <f t="shared" ref="Q35:Q40" si="14">B35</f>
        <v>宗地形状</v>
      </c>
      <c r="R35" s="712" t="s">
        <v>17</v>
      </c>
      <c r="S35" s="713">
        <f t="shared" si="10"/>
        <v>100</v>
      </c>
      <c r="T35" s="712" t="s">
        <v>17</v>
      </c>
      <c r="U35" s="713">
        <f t="shared" si="11"/>
        <v>100</v>
      </c>
      <c r="V35" s="712" t="s">
        <v>17</v>
      </c>
      <c r="W35" s="713">
        <f t="shared" si="12"/>
        <v>100</v>
      </c>
      <c r="X35" s="1537"/>
      <c r="Y35" s="3297"/>
      <c r="Z35" s="1538" t="str">
        <f t="shared" si="13"/>
        <v>宗地形状</v>
      </c>
      <c r="AA35" s="1535">
        <f t="shared" si="3"/>
        <v>1</v>
      </c>
      <c r="AB35" s="1535">
        <f t="shared" si="4"/>
        <v>1</v>
      </c>
      <c r="AC35" s="1535">
        <f t="shared" si="5"/>
        <v>1</v>
      </c>
    </row>
    <row r="36" spans="1:31" s="112" customFormat="1" ht="15">
      <c r="A36" s="430"/>
      <c r="B36" s="379" t="s">
        <v>2571</v>
      </c>
      <c r="C36" s="2163"/>
      <c r="D36" s="130">
        <v>100</v>
      </c>
      <c r="E36" s="2163"/>
      <c r="F36" s="392">
        <f>SUMIF(112:112,E36,113:113)-SUMIF(112:112,C36,113:113)+100</f>
        <v>100</v>
      </c>
      <c r="G36" s="2163"/>
      <c r="H36" s="392">
        <f>SUMIF(112:112,G36,113:113)-SUMIF(112:112,C36,113:113)+100</f>
        <v>100</v>
      </c>
      <c r="I36" s="2163"/>
      <c r="J36" s="392">
        <f>SUMIF(112:112,I36,113:113)-SUMIF(112:112,C36,113:113)+100</f>
        <v>100</v>
      </c>
      <c r="K36" s="567"/>
      <c r="L36" s="2940"/>
      <c r="M36" s="2941"/>
      <c r="N36" s="2941"/>
      <c r="O36" s="2995"/>
      <c r="P36" s="3297"/>
      <c r="Q36" s="1534" t="str">
        <f t="shared" si="14"/>
        <v>宗地开发程度</v>
      </c>
      <c r="R36" s="708" t="s">
        <v>17</v>
      </c>
      <c r="S36" s="709">
        <f t="shared" si="10"/>
        <v>100</v>
      </c>
      <c r="T36" s="708" t="s">
        <v>17</v>
      </c>
      <c r="U36" s="709">
        <f t="shared" si="11"/>
        <v>100</v>
      </c>
      <c r="V36" s="708" t="s">
        <v>17</v>
      </c>
      <c r="W36" s="709">
        <f t="shared" si="12"/>
        <v>100</v>
      </c>
      <c r="X36" s="710"/>
      <c r="Y36" s="3297"/>
      <c r="Z36" s="54" t="str">
        <f t="shared" si="13"/>
        <v>宗地开发程度</v>
      </c>
      <c r="AA36" s="711">
        <f t="shared" si="3"/>
        <v>1</v>
      </c>
      <c r="AB36" s="711">
        <f t="shared" si="4"/>
        <v>1</v>
      </c>
      <c r="AC36" s="711">
        <f t="shared" si="5"/>
        <v>1</v>
      </c>
    </row>
    <row r="37" spans="1:31" ht="15">
      <c r="A37" s="429"/>
      <c r="B37" s="379" t="s">
        <v>2572</v>
      </c>
      <c r="C37" s="2089"/>
      <c r="D37" s="392">
        <v>100</v>
      </c>
      <c r="E37" s="2089"/>
      <c r="F37" s="392">
        <f>SUMIF(114:114,E37,115:115)-SUMIF(114:114,C37,115:115)+100</f>
        <v>100</v>
      </c>
      <c r="G37" s="2089"/>
      <c r="H37" s="392">
        <f>SUMIF(114:114,G37,115:115)-SUMIF(114:114,C37,115:115)+100</f>
        <v>100</v>
      </c>
      <c r="I37" s="2089"/>
      <c r="J37" s="392">
        <f>SUMIF(114:114,I37,115:115)-SUMIF(114:114,C37,115:115)+100</f>
        <v>100</v>
      </c>
      <c r="K37" s="567"/>
      <c r="L37" s="2945"/>
      <c r="M37" s="2939"/>
      <c r="N37" s="2939"/>
      <c r="O37" s="2997"/>
      <c r="P37" s="3297" t="s">
        <v>2383</v>
      </c>
      <c r="Q37" s="1534" t="str">
        <f t="shared" si="14"/>
        <v>工程地质条件</v>
      </c>
      <c r="R37" s="712" t="s">
        <v>17</v>
      </c>
      <c r="S37" s="713">
        <f t="shared" si="10"/>
        <v>100</v>
      </c>
      <c r="T37" s="712" t="s">
        <v>17</v>
      </c>
      <c r="U37" s="713">
        <f t="shared" si="11"/>
        <v>100</v>
      </c>
      <c r="V37" s="712" t="s">
        <v>17</v>
      </c>
      <c r="W37" s="713">
        <f t="shared" si="12"/>
        <v>100</v>
      </c>
      <c r="X37" s="1537"/>
      <c r="Y37" s="3297" t="s">
        <v>2383</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5"/>
      <c r="M38" s="2939"/>
      <c r="N38" s="2939"/>
      <c r="O38" s="2997"/>
      <c r="P38" s="3297"/>
      <c r="Q38" s="1534">
        <f t="shared" si="14"/>
        <v>111</v>
      </c>
      <c r="R38" s="712" t="s">
        <v>17</v>
      </c>
      <c r="S38" s="713">
        <f t="shared" si="10"/>
        <v>100</v>
      </c>
      <c r="T38" s="712" t="s">
        <v>17</v>
      </c>
      <c r="U38" s="713">
        <f t="shared" si="11"/>
        <v>100</v>
      </c>
      <c r="V38" s="712" t="s">
        <v>17</v>
      </c>
      <c r="W38" s="713">
        <f t="shared" si="12"/>
        <v>100</v>
      </c>
      <c r="X38" s="1537"/>
      <c r="Y38" s="3297"/>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5"/>
      <c r="M39" s="2939"/>
      <c r="N39" s="2939"/>
      <c r="O39" s="2997"/>
      <c r="P39" s="3297"/>
      <c r="Q39" s="1534">
        <f t="shared" si="14"/>
        <v>111</v>
      </c>
      <c r="R39" s="712" t="s">
        <v>17</v>
      </c>
      <c r="S39" s="713">
        <f t="shared" si="10"/>
        <v>100</v>
      </c>
      <c r="T39" s="712" t="s">
        <v>17</v>
      </c>
      <c r="U39" s="713">
        <f t="shared" si="11"/>
        <v>100</v>
      </c>
      <c r="V39" s="712" t="s">
        <v>17</v>
      </c>
      <c r="W39" s="713">
        <f t="shared" si="12"/>
        <v>100</v>
      </c>
      <c r="X39" s="1537"/>
      <c r="Y39" s="3297"/>
      <c r="Z39" s="1538">
        <f t="shared" si="13"/>
        <v>111</v>
      </c>
      <c r="AA39" s="1535">
        <f t="shared" si="3"/>
        <v>1</v>
      </c>
      <c r="AB39" s="1535">
        <f t="shared" si="4"/>
        <v>1</v>
      </c>
      <c r="AC39" s="1535">
        <f t="shared" si="5"/>
        <v>1</v>
      </c>
    </row>
    <row r="40" spans="1:31" s="428" customFormat="1" ht="15.75" thickBot="1">
      <c r="A40" s="425"/>
      <c r="B40" s="1294">
        <v>111</v>
      </c>
      <c r="C40" s="2164"/>
      <c r="D40" s="131">
        <v>100</v>
      </c>
      <c r="E40" s="628"/>
      <c r="F40" s="395">
        <f>SUMIF(120:120,E40,121:121)-SUMIF(120:120,C40,121:121)+100</f>
        <v>100</v>
      </c>
      <c r="G40" s="628"/>
      <c r="H40" s="395">
        <f>SUMIF(120:120,G40,121:121)-SUMIF(120:120,C40,121:121)+100</f>
        <v>100</v>
      </c>
      <c r="I40" s="504"/>
      <c r="J40" s="395">
        <f>SUMIF(120:120,I40,121:121)-SUMIF(120:120,C40,121:121)+100</f>
        <v>100</v>
      </c>
      <c r="K40" s="635"/>
      <c r="L40" s="2944"/>
      <c r="M40" s="2946"/>
      <c r="N40" s="2946"/>
      <c r="O40" s="2998"/>
      <c r="P40" s="3297"/>
      <c r="Q40" s="1534">
        <f t="shared" si="14"/>
        <v>111</v>
      </c>
      <c r="R40" s="715" t="s">
        <v>17</v>
      </c>
      <c r="S40" s="716">
        <f t="shared" si="10"/>
        <v>100</v>
      </c>
      <c r="T40" s="715" t="s">
        <v>17</v>
      </c>
      <c r="U40" s="716">
        <f t="shared" si="11"/>
        <v>100</v>
      </c>
      <c r="V40" s="715" t="s">
        <v>17</v>
      </c>
      <c r="W40" s="716">
        <f t="shared" si="12"/>
        <v>100</v>
      </c>
      <c r="X40" s="717"/>
      <c r="Y40" s="3297"/>
      <c r="Z40" s="718">
        <f t="shared" si="13"/>
        <v>111</v>
      </c>
      <c r="AA40" s="1535">
        <f t="shared" si="3"/>
        <v>1</v>
      </c>
      <c r="AB40" s="1535">
        <f t="shared" si="4"/>
        <v>1</v>
      </c>
      <c r="AC40" s="1535">
        <f t="shared" si="5"/>
        <v>1</v>
      </c>
    </row>
    <row r="41" spans="1:31" ht="15">
      <c r="A41" s="436" t="s">
        <v>2538</v>
      </c>
      <c r="B41" s="2165" t="s">
        <v>2616</v>
      </c>
      <c r="C41" s="636" t="s">
        <v>1</v>
      </c>
      <c r="D41" s="438"/>
      <c r="E41" s="439"/>
      <c r="F41" s="440"/>
      <c r="G41" s="441"/>
      <c r="H41" s="442"/>
      <c r="I41" s="439"/>
      <c r="J41" s="442"/>
      <c r="K41" s="721"/>
      <c r="L41" s="2947"/>
      <c r="M41" s="2939"/>
      <c r="N41" s="2939"/>
      <c r="O41" s="2948"/>
      <c r="P41" s="3279" t="str">
        <f>A41</f>
        <v>成交单价</v>
      </c>
      <c r="Q41" s="3279"/>
      <c r="R41" s="3292">
        <f>E41</f>
        <v>0</v>
      </c>
      <c r="S41" s="3292"/>
      <c r="T41" s="3292">
        <f>G41</f>
        <v>0</v>
      </c>
      <c r="U41" s="3292"/>
      <c r="V41" s="3292">
        <f>I41</f>
        <v>0</v>
      </c>
      <c r="W41" s="3292"/>
      <c r="X41" s="697"/>
      <c r="Y41" s="719"/>
      <c r="Z41" s="697"/>
      <c r="AA41" s="697"/>
      <c r="AB41" s="697"/>
      <c r="AC41" s="697"/>
    </row>
    <row r="42" spans="1:31" ht="15.75" thickBot="1">
      <c r="A42" s="443" t="s">
        <v>2487</v>
      </c>
      <c r="B42" s="637"/>
      <c r="C42" s="446" t="e">
        <f>R43</f>
        <v>#DIV/0!</v>
      </c>
      <c r="D42" s="2535" t="s">
        <v>2876</v>
      </c>
      <c r="E42" s="446" t="e">
        <f>R42</f>
        <v>#DIV/0!</v>
      </c>
      <c r="F42" s="2536"/>
      <c r="G42" s="445" t="e">
        <f>T42</f>
        <v>#DIV/0!</v>
      </c>
      <c r="H42" s="2536"/>
      <c r="I42" s="446" t="e">
        <f>V42</f>
        <v>#DIV/0!</v>
      </c>
      <c r="J42" s="2536"/>
      <c r="K42" s="2538">
        <f>F42+H42+J42</f>
        <v>0</v>
      </c>
      <c r="L42" s="2947"/>
      <c r="M42" s="2939"/>
      <c r="N42" s="2939"/>
      <c r="O42" s="2948"/>
      <c r="P42" s="3279" t="str">
        <f>A42</f>
        <v>比较价值（元/平方米）</v>
      </c>
      <c r="Q42" s="3279"/>
      <c r="R42" s="3298" t="e">
        <f>ROUND(PRODUCT(R41,AA7:AA40),0)</f>
        <v>#DIV/0!</v>
      </c>
      <c r="S42" s="3298"/>
      <c r="T42" s="3298" t="e">
        <f>ROUND(PRODUCT(T41,AB7:AB40),0)</f>
        <v>#DIV/0!</v>
      </c>
      <c r="U42" s="3298"/>
      <c r="V42" s="3298" t="e">
        <f>ROUND(PRODUCT(V41,AC7:AC40),0)</f>
        <v>#DIV/0!</v>
      </c>
      <c r="W42" s="3298"/>
      <c r="X42" s="697"/>
      <c r="Y42" s="697"/>
      <c r="Z42" s="697"/>
      <c r="AA42" s="697"/>
      <c r="AB42" s="697"/>
      <c r="AC42" s="697"/>
    </row>
    <row r="43" spans="1:31" ht="15.75" thickBot="1">
      <c r="A43" s="447" t="s">
        <v>2488</v>
      </c>
      <c r="B43" s="448"/>
      <c r="C43" s="449" t="e">
        <f>R43</f>
        <v>#DIV/0!</v>
      </c>
      <c r="D43" s="449"/>
      <c r="E43" s="449"/>
      <c r="F43" s="449"/>
      <c r="G43" s="449"/>
      <c r="H43" s="449"/>
      <c r="I43" s="449"/>
      <c r="J43" s="449"/>
      <c r="K43" s="722"/>
      <c r="L43" s="2947"/>
      <c r="M43" s="2939"/>
      <c r="N43" s="2939"/>
      <c r="O43" s="2948"/>
      <c r="P43" s="3299" t="str">
        <f>A43</f>
        <v>估价对象XX用房的比较价值（楼面单价，元/平方米）</v>
      </c>
      <c r="Q43" s="3300"/>
      <c r="R43" s="3301" t="e">
        <f>ROUND(IF(D42="简单平均",AVERAGE(R42:W42),R42*F42+T42*H42+V42*J42),0)</f>
        <v>#DIV/0!</v>
      </c>
      <c r="S43" s="3301"/>
      <c r="T43" s="3301"/>
      <c r="U43" s="3301"/>
      <c r="V43" s="3301"/>
      <c r="W43" s="3301"/>
      <c r="X43" s="697"/>
      <c r="Y43" s="697"/>
      <c r="Z43" s="697"/>
      <c r="AA43" s="697"/>
      <c r="AB43" s="697"/>
      <c r="AC43" s="697"/>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2" t="s">
        <v>2489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2" t="s">
        <v>2490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7" customFormat="1" ht="13.5" customHeight="1">
      <c r="A48" s="2951"/>
      <c r="B48" s="2951"/>
      <c r="C48" s="452" t="s">
        <v>2491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7" customFormat="1" ht="15" thickBot="1">
      <c r="A49" s="2951"/>
      <c r="B49" s="2954"/>
      <c r="C49" s="700"/>
      <c r="D49" s="698"/>
      <c r="E49" s="698"/>
      <c r="F49" s="698"/>
      <c r="G49" s="698"/>
      <c r="H49" s="698"/>
      <c r="I49" s="698"/>
      <c r="J49" s="698"/>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8" t="s">
        <v>2575</v>
      </c>
      <c r="B50" s="639" t="s">
        <v>2576</v>
      </c>
      <c r="C50" s="2166" t="s">
        <v>2577</v>
      </c>
      <c r="D50" s="2167" t="s">
        <v>2578</v>
      </c>
      <c r="E50" s="640" t="s">
        <v>2579</v>
      </c>
      <c r="F50" s="641" t="s">
        <v>2580</v>
      </c>
      <c r="G50" s="3280" t="s">
        <v>2581</v>
      </c>
      <c r="H50" s="3302"/>
      <c r="I50" s="1538" t="s">
        <v>2617</v>
      </c>
      <c r="J50" s="1538">
        <f>项目基本情况!F35</f>
        <v>0</v>
      </c>
      <c r="K50" s="2169"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6" customFormat="1">
      <c r="A51" s="642" t="s">
        <v>2584</v>
      </c>
      <c r="B51" s="643" t="e">
        <f>C43</f>
        <v>#DIV/0!</v>
      </c>
      <c r="C51" s="644">
        <v>1</v>
      </c>
      <c r="D51" s="1073">
        <v>1</v>
      </c>
      <c r="E51" s="644">
        <f>'数据-汇总表'!E8+'数据-汇总表'!E9</f>
        <v>11601.220000000001</v>
      </c>
      <c r="F51" s="645" t="e">
        <f t="shared" ref="F51:F60" si="15">ROUND(B51*E51/10000,0)</f>
        <v>#DIV/0!</v>
      </c>
      <c r="G51" s="3303"/>
      <c r="H51" s="3279"/>
      <c r="I51" s="877">
        <v>1</v>
      </c>
      <c r="J51" s="877">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6" customFormat="1">
      <c r="A52" s="647" t="s">
        <v>2585</v>
      </c>
      <c r="B52" s="222" t="e">
        <f>ROUND($C$43*C52*D52,0)</f>
        <v>#DIV/0!</v>
      </c>
      <c r="C52" s="174">
        <f t="shared" ref="C52:C60" si="16">IF($C$50="北京市系数",I52,J52)</f>
        <v>0</v>
      </c>
      <c r="D52" s="1074">
        <v>0.25</v>
      </c>
      <c r="E52" s="648"/>
      <c r="F52" s="645" t="e">
        <f t="shared" si="15"/>
        <v>#DIV/0!</v>
      </c>
      <c r="G52" s="3304" t="s">
        <v>2586</v>
      </c>
      <c r="H52" s="1016">
        <f>项目基本情况!B37</f>
        <v>0</v>
      </c>
      <c r="I52" s="877">
        <f>SUMIF(修正!A45:A56,H52,修正!B45:B56)</f>
        <v>0</v>
      </c>
      <c r="J52" s="878"/>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6" customFormat="1">
      <c r="A53" s="647" t="s">
        <v>2587</v>
      </c>
      <c r="B53" s="222" t="e">
        <f t="shared" ref="B53:B60" si="17">ROUND($C$43*C53*D53,0)</f>
        <v>#DIV/0!</v>
      </c>
      <c r="C53" s="174">
        <f t="shared" si="16"/>
        <v>0</v>
      </c>
      <c r="D53" s="1074">
        <v>0.25</v>
      </c>
      <c r="E53" s="648"/>
      <c r="F53" s="645" t="e">
        <f t="shared" si="15"/>
        <v>#DIV/0!</v>
      </c>
      <c r="G53" s="3304"/>
      <c r="H53" s="1016">
        <f>项目基本情况!B37</f>
        <v>0</v>
      </c>
      <c r="I53" s="877">
        <f>SUMIF(修正!A45:A56,H53,修正!C45:C56)</f>
        <v>0</v>
      </c>
      <c r="J53" s="878"/>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6" customFormat="1">
      <c r="A54" s="647" t="s">
        <v>2588</v>
      </c>
      <c r="B54" s="222" t="e">
        <f t="shared" si="17"/>
        <v>#DIV/0!</v>
      </c>
      <c r="C54" s="174">
        <f t="shared" si="16"/>
        <v>0</v>
      </c>
      <c r="D54" s="1074">
        <v>0.25</v>
      </c>
      <c r="E54" s="648"/>
      <c r="F54" s="645" t="e">
        <f t="shared" si="15"/>
        <v>#DIV/0!</v>
      </c>
      <c r="G54" s="3304"/>
      <c r="H54" s="1016">
        <f>项目基本情况!B37</f>
        <v>0</v>
      </c>
      <c r="I54" s="877">
        <f>SUMIF(修正!A45:A56,H54,修正!D45:D56)</f>
        <v>0</v>
      </c>
      <c r="J54" s="878"/>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6" customFormat="1">
      <c r="A55" s="647" t="s">
        <v>2589</v>
      </c>
      <c r="B55" s="222" t="e">
        <f t="shared" si="17"/>
        <v>#DIV/0!</v>
      </c>
      <c r="C55" s="174">
        <f t="shared" si="16"/>
        <v>0</v>
      </c>
      <c r="D55" s="1074">
        <v>0.25</v>
      </c>
      <c r="E55" s="648"/>
      <c r="F55" s="645" t="e">
        <f t="shared" si="15"/>
        <v>#DIV/0!</v>
      </c>
      <c r="G55" s="3304"/>
      <c r="H55" s="1016">
        <f>项目基本情况!B37</f>
        <v>0</v>
      </c>
      <c r="I55" s="877">
        <f>SUMIF(修正!A45:A56,H55,修正!E45:E56)</f>
        <v>0</v>
      </c>
      <c r="J55" s="878"/>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6" customFormat="1">
      <c r="A56" s="647" t="s">
        <v>2590</v>
      </c>
      <c r="B56" s="222" t="e">
        <f t="shared" si="17"/>
        <v>#DIV/0!</v>
      </c>
      <c r="C56" s="174">
        <f t="shared" si="16"/>
        <v>0</v>
      </c>
      <c r="D56" s="1074">
        <v>0.25</v>
      </c>
      <c r="E56" s="221">
        <f>'数据-汇总表'!E11</f>
        <v>0</v>
      </c>
      <c r="F56" s="645" t="e">
        <f t="shared" si="15"/>
        <v>#DIV/0!</v>
      </c>
      <c r="G56" s="2170" t="s">
        <v>2591</v>
      </c>
      <c r="H56" s="1016">
        <f>项目基本情况!C37</f>
        <v>0</v>
      </c>
      <c r="I56" s="877">
        <f>SUMIF(修正!A45:A56,H56,修正!F45:F56)</f>
        <v>0</v>
      </c>
      <c r="J56" s="878"/>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6" customFormat="1">
      <c r="A57" s="647" t="s">
        <v>2592</v>
      </c>
      <c r="B57" s="222" t="e">
        <f t="shared" si="17"/>
        <v>#DIV/0!</v>
      </c>
      <c r="C57" s="174">
        <f t="shared" si="16"/>
        <v>0</v>
      </c>
      <c r="D57" s="1074">
        <v>0.25</v>
      </c>
      <c r="E57" s="221">
        <f>'数据-汇总表'!E12</f>
        <v>0</v>
      </c>
      <c r="F57" s="645" t="e">
        <f t="shared" si="15"/>
        <v>#DIV/0!</v>
      </c>
      <c r="G57" s="1021" t="s">
        <v>2593</v>
      </c>
      <c r="H57" s="1016">
        <f>IF(G57="商业",项目基本情况!B37,IF(G57="办公",项目基本情况!C37,IF(G57="住宅",项目基本情况!D37,项目基本情况!E37)))</f>
        <v>0</v>
      </c>
      <c r="I57" s="877">
        <f>SUMIF(修正!A45:A56,H57,修正!G45:G56)</f>
        <v>0</v>
      </c>
      <c r="J57" s="878"/>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6" customFormat="1">
      <c r="A58" s="647" t="s">
        <v>2594</v>
      </c>
      <c r="B58" s="222" t="e">
        <f t="shared" si="17"/>
        <v>#DIV/0!</v>
      </c>
      <c r="C58" s="174">
        <f t="shared" si="16"/>
        <v>0</v>
      </c>
      <c r="D58" s="1074">
        <v>0.25</v>
      </c>
      <c r="E58" s="221">
        <f>'数据-汇总表'!E13</f>
        <v>0</v>
      </c>
      <c r="F58" s="645" t="e">
        <f t="shared" si="15"/>
        <v>#DIV/0!</v>
      </c>
      <c r="G58" s="1021" t="s">
        <v>2595</v>
      </c>
      <c r="H58" s="1016">
        <f>IF(G58="商业",项目基本情况!B37,IF(G58="办公",项目基本情况!C37,IF(G58="住宅",项目基本情况!D37,项目基本情况!E37)))</f>
        <v>0</v>
      </c>
      <c r="I58" s="877">
        <f>SUMIF(修正!A45:A56,H58,修正!H45:H56)</f>
        <v>0</v>
      </c>
      <c r="J58" s="878"/>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6" customFormat="1">
      <c r="A59" s="647" t="s">
        <v>2596</v>
      </c>
      <c r="B59" s="222" t="e">
        <f t="shared" si="17"/>
        <v>#DIV/0!</v>
      </c>
      <c r="C59" s="174">
        <f t="shared" si="16"/>
        <v>0</v>
      </c>
      <c r="D59" s="1074">
        <v>0.25</v>
      </c>
      <c r="E59" s="221">
        <f>'数据-汇总表'!E14</f>
        <v>0</v>
      </c>
      <c r="F59" s="645" t="e">
        <f t="shared" si="15"/>
        <v>#DIV/0!</v>
      </c>
      <c r="G59" s="2170" t="s">
        <v>2586</v>
      </c>
      <c r="H59" s="1016">
        <f>项目基本情况!B37</f>
        <v>0</v>
      </c>
      <c r="I59" s="877">
        <f>SUMIF(修正!A45:A56,H59,修正!H45:H56)</f>
        <v>0</v>
      </c>
      <c r="J59" s="878"/>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6" customFormat="1" ht="15" thickBot="1">
      <c r="A60" s="647" t="s">
        <v>2597</v>
      </c>
      <c r="B60" s="222" t="e">
        <f t="shared" si="17"/>
        <v>#DIV/0!</v>
      </c>
      <c r="C60" s="174">
        <f t="shared" si="16"/>
        <v>0</v>
      </c>
      <c r="D60" s="1074">
        <v>0.25</v>
      </c>
      <c r="E60" s="221">
        <f>'数据-汇总表'!E15</f>
        <v>0</v>
      </c>
      <c r="F60" s="645" t="e">
        <f t="shared" si="15"/>
        <v>#DIV/0!</v>
      </c>
      <c r="G60" s="2171" t="s">
        <v>2591</v>
      </c>
      <c r="H60" s="1026">
        <f>项目基本情况!C37</f>
        <v>0</v>
      </c>
      <c r="I60" s="877">
        <f>SUMIF(修正!A45:A56,H60,修正!H45:H56)</f>
        <v>0</v>
      </c>
      <c r="J60" s="878"/>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6" customFormat="1" ht="15" thickBot="1">
      <c r="A61" s="649" t="s">
        <v>2598</v>
      </c>
      <c r="B61" s="650" t="s">
        <v>28</v>
      </c>
      <c r="C61" s="650" t="s">
        <v>29</v>
      </c>
      <c r="D61" s="650" t="s">
        <v>997</v>
      </c>
      <c r="E61" s="650">
        <f>IF(B41="楼面地价",SUM(E51:E60),'数据-汇总表'!D3)</f>
        <v>8832.7999999999993</v>
      </c>
      <c r="F61" s="651" t="e">
        <f>IF(B41="楼面地价",SUM(F51:F60),ROUND(C43*E61/10000,0))</f>
        <v>#DIV/0!</v>
      </c>
      <c r="G61" s="1068"/>
      <c r="H61" s="1068"/>
      <c r="I61" s="1068"/>
      <c r="J61" s="1068"/>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6"/>
      <c r="B62" s="1058"/>
      <c r="C62" s="1060"/>
      <c r="D62" s="1056"/>
      <c r="E62" s="1056"/>
      <c r="F62" s="1056"/>
      <c r="G62" s="1056"/>
      <c r="H62" s="1056"/>
      <c r="I62" s="1056"/>
      <c r="J62" s="1056"/>
      <c r="K62" s="1017"/>
      <c r="L62" s="1018"/>
      <c r="M62" s="1056"/>
      <c r="N62" s="1056"/>
      <c r="O62" s="1056"/>
      <c r="P62" s="2948"/>
      <c r="Q62" s="2948"/>
      <c r="R62" s="2948"/>
      <c r="S62" s="2948"/>
      <c r="T62" s="2948"/>
      <c r="U62" s="2948"/>
      <c r="V62" s="2948"/>
      <c r="W62" s="2948"/>
      <c r="X62" s="2948"/>
      <c r="Y62" s="2948"/>
      <c r="Z62" s="2948"/>
      <c r="AA62" s="2948"/>
      <c r="AB62" s="2948"/>
      <c r="AC62" s="2948"/>
      <c r="AD62" s="2948"/>
      <c r="AE62" s="2948"/>
    </row>
    <row r="63" spans="1:31">
      <c r="A63" s="1056"/>
      <c r="B63" s="1058"/>
      <c r="C63" s="699" t="str">
        <f>YEAR(C7)&amp;"-"&amp;MONTH(C7)&amp;"-1"</f>
        <v>2021-4-1</v>
      </c>
      <c r="D63" s="699">
        <f>EDATE(C63,-3)</f>
        <v>44197</v>
      </c>
      <c r="E63" s="699">
        <f>EDATE(D63,-3)</f>
        <v>44105</v>
      </c>
      <c r="F63" s="699">
        <f t="shared" ref="F63:O63" si="18">EDATE(E63,-3)</f>
        <v>44013</v>
      </c>
      <c r="G63" s="699">
        <f t="shared" si="18"/>
        <v>43922</v>
      </c>
      <c r="H63" s="699">
        <f t="shared" si="18"/>
        <v>43831</v>
      </c>
      <c r="I63" s="699">
        <f t="shared" si="18"/>
        <v>43739</v>
      </c>
      <c r="J63" s="699">
        <f t="shared" si="18"/>
        <v>43647</v>
      </c>
      <c r="K63" s="699">
        <f t="shared" si="18"/>
        <v>43556</v>
      </c>
      <c r="L63" s="699">
        <f t="shared" si="18"/>
        <v>43466</v>
      </c>
      <c r="M63" s="699">
        <f t="shared" si="18"/>
        <v>43374</v>
      </c>
      <c r="N63" s="699">
        <f t="shared" si="18"/>
        <v>43282</v>
      </c>
      <c r="O63" s="699">
        <f t="shared" si="18"/>
        <v>43191</v>
      </c>
      <c r="P63" s="2948"/>
      <c r="Q63" s="2948"/>
      <c r="R63" s="2948"/>
      <c r="S63" s="2948"/>
      <c r="T63" s="2948"/>
      <c r="U63" s="2948"/>
      <c r="V63" s="2948"/>
      <c r="W63" s="2948"/>
      <c r="X63" s="2948"/>
      <c r="Y63" s="2948"/>
      <c r="Z63" s="2948"/>
      <c r="AA63" s="2948"/>
      <c r="AB63" s="2948"/>
      <c r="AC63" s="2948"/>
      <c r="AD63" s="2948"/>
      <c r="AE63" s="2948"/>
    </row>
    <row r="64" spans="1:31" ht="21.75" thickBot="1">
      <c r="A64" s="701" t="s">
        <v>2492</v>
      </c>
      <c r="B64" s="697"/>
      <c r="C64" s="702"/>
      <c r="D64" s="702"/>
      <c r="E64" s="702"/>
      <c r="F64" s="703"/>
      <c r="G64" s="703"/>
      <c r="H64" s="702"/>
      <c r="I64" s="702"/>
      <c r="J64" s="702"/>
      <c r="K64" s="704"/>
      <c r="L64" s="705"/>
      <c r="M64" s="702"/>
      <c r="N64" s="702"/>
      <c r="O64" s="1069"/>
      <c r="P64" s="2992"/>
      <c r="Q64" s="2962"/>
      <c r="R64" s="2948"/>
      <c r="S64" s="2948"/>
      <c r="T64" s="2948"/>
      <c r="U64" s="2948"/>
      <c r="V64" s="2948"/>
      <c r="W64" s="2948"/>
      <c r="X64" s="2948"/>
      <c r="Y64" s="2948"/>
      <c r="Z64" s="2948"/>
      <c r="AA64" s="2948"/>
      <c r="AB64" s="2948"/>
      <c r="AC64" s="2948"/>
      <c r="AD64" s="2948"/>
      <c r="AE64" s="2948"/>
    </row>
    <row r="65" spans="1:31" s="463" customFormat="1" ht="15">
      <c r="A65" s="2172" t="s">
        <v>2599</v>
      </c>
      <c r="B65" s="1267"/>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9"/>
      <c r="Q65" s="2964"/>
      <c r="R65" s="2964"/>
      <c r="S65" s="2964"/>
      <c r="T65" s="2964"/>
      <c r="U65" s="2964"/>
      <c r="V65" s="2964"/>
      <c r="W65" s="2964"/>
      <c r="X65" s="2964"/>
      <c r="Y65" s="2964"/>
      <c r="Z65" s="2964"/>
      <c r="AA65" s="2964"/>
      <c r="AB65" s="2964"/>
      <c r="AC65" s="2964"/>
      <c r="AD65" s="2964"/>
      <c r="AE65" s="2964"/>
    </row>
    <row r="66" spans="1:31" s="112" customFormat="1" ht="30.75" customHeight="1">
      <c r="A66" s="2177" t="s">
        <v>2618</v>
      </c>
      <c r="B66" s="292" t="str">
        <f>"北京市平均增长率"&amp;TEXT(基准地价修正!P24,"0.00%")</f>
        <v>北京市平均增长率0.00%</v>
      </c>
      <c r="C66" s="558">
        <v>100</v>
      </c>
      <c r="D66" s="550"/>
      <c r="E66" s="550"/>
      <c r="F66" s="550"/>
      <c r="G66" s="550"/>
      <c r="H66" s="550"/>
      <c r="I66" s="550"/>
      <c r="J66" s="550"/>
      <c r="K66" s="550"/>
      <c r="L66" s="550"/>
      <c r="M66" s="1338"/>
      <c r="N66" s="1338"/>
      <c r="O66" s="1339"/>
      <c r="P66" s="2962"/>
      <c r="Q66" s="2882"/>
      <c r="R66" s="2882"/>
      <c r="S66" s="2882"/>
      <c r="T66" s="2882"/>
      <c r="U66" s="2882"/>
      <c r="V66" s="2882"/>
      <c r="W66" s="2882"/>
      <c r="X66" s="2882"/>
      <c r="Y66" s="2882"/>
      <c r="Z66" s="2882"/>
      <c r="AA66" s="2882"/>
      <c r="AB66" s="2882"/>
      <c r="AC66" s="2882"/>
      <c r="AD66" s="2882"/>
      <c r="AE66" s="2882"/>
    </row>
    <row r="67" spans="1:31" s="112" customFormat="1" ht="15.75" thickBot="1">
      <c r="A67" s="470" t="s">
        <v>2403</v>
      </c>
      <c r="B67" s="471"/>
      <c r="C67" s="472"/>
      <c r="D67" s="473"/>
      <c r="E67" s="473"/>
      <c r="F67" s="473"/>
      <c r="G67" s="473"/>
      <c r="H67" s="473"/>
      <c r="I67" s="473"/>
      <c r="J67" s="473"/>
      <c r="K67" s="473"/>
      <c r="L67" s="473"/>
      <c r="M67" s="474"/>
      <c r="N67" s="474"/>
      <c r="O67" s="475"/>
      <c r="P67" s="2962"/>
      <c r="Q67" s="2962"/>
      <c r="R67" s="2882"/>
      <c r="S67" s="2882"/>
      <c r="T67" s="2882"/>
      <c r="U67" s="2882"/>
      <c r="V67" s="2882"/>
      <c r="W67" s="2882"/>
      <c r="X67" s="2882"/>
      <c r="Y67" s="2882"/>
      <c r="Z67" s="2882"/>
      <c r="AA67" s="2882"/>
      <c r="AB67" s="2882"/>
      <c r="AC67" s="2882"/>
      <c r="AD67" s="2882"/>
      <c r="AE67" s="2882"/>
    </row>
    <row r="68" spans="1:31" s="112" customFormat="1" ht="15">
      <c r="A68" s="476" t="s">
        <v>2368</v>
      </c>
      <c r="B68" s="465"/>
      <c r="C68" s="477" t="s">
        <v>2470</v>
      </c>
      <c r="D68" s="478"/>
      <c r="E68" s="478"/>
      <c r="F68" s="478"/>
      <c r="G68" s="478"/>
      <c r="H68" s="478"/>
      <c r="I68" s="478"/>
      <c r="J68" s="478"/>
      <c r="K68" s="478"/>
      <c r="L68" s="479"/>
      <c r="M68" s="480"/>
      <c r="N68" s="2975"/>
      <c r="O68" s="2975"/>
      <c r="P68" s="3000"/>
      <c r="Q68" s="2962"/>
      <c r="R68" s="2882"/>
      <c r="S68" s="2882"/>
      <c r="T68" s="2882"/>
      <c r="U68" s="2882"/>
      <c r="V68" s="2882"/>
      <c r="W68" s="2882"/>
      <c r="X68" s="2882"/>
      <c r="Y68" s="2882"/>
      <c r="Z68" s="2882"/>
      <c r="AA68" s="2882"/>
      <c r="AB68" s="2882"/>
      <c r="AC68" s="2882"/>
      <c r="AD68" s="2882"/>
      <c r="AE68" s="2882"/>
    </row>
    <row r="69" spans="1:31" s="112" customFormat="1" ht="15.75" thickBot="1">
      <c r="A69" s="476"/>
      <c r="B69" s="465"/>
      <c r="C69" s="593">
        <v>100</v>
      </c>
      <c r="D69" s="467"/>
      <c r="E69" s="467"/>
      <c r="F69" s="467"/>
      <c r="G69" s="467"/>
      <c r="H69" s="467"/>
      <c r="I69" s="467"/>
      <c r="J69" s="467"/>
      <c r="K69" s="467"/>
      <c r="L69" s="467"/>
      <c r="M69" s="469"/>
      <c r="N69" s="2975"/>
      <c r="O69" s="2975"/>
      <c r="P69" s="2962"/>
      <c r="Q69" s="2962"/>
      <c r="R69" s="2882"/>
      <c r="S69" s="2882"/>
      <c r="T69" s="2882"/>
      <c r="U69" s="2882"/>
      <c r="V69" s="2882"/>
      <c r="W69" s="2882"/>
      <c r="X69" s="2882"/>
      <c r="Y69" s="2882"/>
      <c r="Z69" s="2882"/>
      <c r="AA69" s="2882"/>
      <c r="AB69" s="2882"/>
      <c r="AC69" s="2882"/>
      <c r="AD69" s="2882"/>
      <c r="AE69" s="2882"/>
    </row>
    <row r="70" spans="1:31">
      <c r="A70" s="482" t="s">
        <v>2406</v>
      </c>
      <c r="B70" s="483" t="s">
        <v>2372</v>
      </c>
      <c r="C70" s="485"/>
      <c r="D70" s="485"/>
      <c r="E70" s="485"/>
      <c r="F70" s="485"/>
      <c r="G70" s="485"/>
      <c r="H70" s="485"/>
      <c r="I70" s="485"/>
      <c r="J70" s="485"/>
      <c r="K70" s="486"/>
      <c r="L70" s="487"/>
      <c r="M70" s="488"/>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89"/>
      <c r="B71" s="490"/>
      <c r="C71" s="491"/>
      <c r="D71" s="491"/>
      <c r="E71" s="491"/>
      <c r="F71" s="491"/>
      <c r="G71" s="491"/>
      <c r="H71" s="491"/>
      <c r="I71" s="491"/>
      <c r="J71" s="491"/>
      <c r="K71" s="491"/>
      <c r="L71" s="491"/>
      <c r="M71" s="492"/>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89"/>
      <c r="B72" s="493" t="s">
        <v>2375</v>
      </c>
      <c r="C72" s="494"/>
      <c r="D72" s="494"/>
      <c r="E72" s="494"/>
      <c r="F72" s="494"/>
      <c r="G72" s="494"/>
      <c r="H72" s="494"/>
      <c r="I72" s="494"/>
      <c r="J72" s="494"/>
      <c r="K72" s="495"/>
      <c r="L72" s="496"/>
      <c r="M72" s="497"/>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89"/>
      <c r="B73" s="498"/>
      <c r="C73" s="499"/>
      <c r="D73" s="499"/>
      <c r="E73" s="499"/>
      <c r="F73" s="499"/>
      <c r="G73" s="499"/>
      <c r="H73" s="499"/>
      <c r="I73" s="499"/>
      <c r="J73" s="499"/>
      <c r="K73" s="499"/>
      <c r="L73" s="499"/>
      <c r="M73" s="500"/>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89"/>
      <c r="B74" s="501" t="s">
        <v>2376</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89"/>
      <c r="B75" s="503"/>
      <c r="C75" s="504"/>
      <c r="D75" s="504"/>
      <c r="E75" s="504"/>
      <c r="F75" s="504"/>
      <c r="G75" s="504"/>
      <c r="H75" s="504"/>
      <c r="I75" s="504"/>
      <c r="J75" s="504"/>
      <c r="K75" s="505"/>
      <c r="L75" s="506"/>
      <c r="M75" s="507"/>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8" customFormat="1" ht="15.75" thickTop="1">
      <c r="A77" s="508"/>
      <c r="B77" s="493">
        <f>B12</f>
        <v>111</v>
      </c>
      <c r="C77" s="509"/>
      <c r="D77" s="509"/>
      <c r="E77" s="509"/>
      <c r="F77" s="509"/>
      <c r="G77" s="509"/>
      <c r="H77" s="510"/>
      <c r="I77" s="510"/>
      <c r="J77" s="510"/>
      <c r="K77" s="510"/>
      <c r="L77" s="511"/>
      <c r="M77" s="512"/>
      <c r="N77" s="2978"/>
      <c r="O77" s="2978"/>
      <c r="P77" s="3002"/>
      <c r="Q77" s="2969"/>
      <c r="R77" s="2970"/>
      <c r="S77" s="2970"/>
      <c r="T77" s="2970"/>
      <c r="U77" s="2970"/>
      <c r="V77" s="2970"/>
      <c r="W77" s="2970"/>
      <c r="X77" s="2970"/>
      <c r="Y77" s="2970"/>
      <c r="Z77" s="2970"/>
      <c r="AA77" s="2970"/>
      <c r="AB77" s="2970"/>
      <c r="AC77" s="2970"/>
      <c r="AD77" s="2970"/>
      <c r="AE77" s="2970"/>
    </row>
    <row r="78" spans="1:31" s="428" customFormat="1" ht="15.75" thickBot="1">
      <c r="A78" s="508"/>
      <c r="B78" s="498"/>
      <c r="C78" s="515"/>
      <c r="D78" s="491"/>
      <c r="E78" s="491"/>
      <c r="F78" s="491"/>
      <c r="G78" s="491"/>
      <c r="H78" s="491"/>
      <c r="I78" s="491"/>
      <c r="J78" s="491"/>
      <c r="K78" s="491"/>
      <c r="L78" s="491"/>
      <c r="M78" s="492"/>
      <c r="N78" s="2977"/>
      <c r="O78" s="2977"/>
      <c r="P78" s="3002"/>
      <c r="Q78" s="2969"/>
      <c r="R78" s="2970"/>
      <c r="S78" s="2970"/>
      <c r="T78" s="2970"/>
      <c r="U78" s="2970"/>
      <c r="V78" s="2970"/>
      <c r="W78" s="2970"/>
      <c r="X78" s="2970"/>
      <c r="Y78" s="2970"/>
      <c r="Z78" s="2970"/>
      <c r="AA78" s="2970"/>
      <c r="AB78" s="2970"/>
      <c r="AC78" s="2970"/>
      <c r="AD78" s="2970"/>
      <c r="AE78" s="2970"/>
    </row>
    <row r="79" spans="1:31" s="428" customFormat="1" ht="15.75" thickTop="1">
      <c r="A79" s="508"/>
      <c r="B79" s="493">
        <f>B13</f>
        <v>111</v>
      </c>
      <c r="C79" s="509"/>
      <c r="D79" s="509"/>
      <c r="E79" s="509"/>
      <c r="F79" s="509"/>
      <c r="G79" s="509"/>
      <c r="H79" s="510"/>
      <c r="I79" s="510"/>
      <c r="J79" s="510"/>
      <c r="K79" s="510"/>
      <c r="L79" s="511"/>
      <c r="M79" s="512"/>
      <c r="N79" s="2978"/>
      <c r="O79" s="2978"/>
      <c r="P79" s="2946"/>
      <c r="Q79" s="2972"/>
      <c r="R79" s="2970"/>
      <c r="S79" s="2970"/>
      <c r="T79" s="2970"/>
      <c r="U79" s="2970"/>
      <c r="V79" s="2970"/>
      <c r="W79" s="2970"/>
      <c r="X79" s="2970"/>
      <c r="Y79" s="2970"/>
      <c r="Z79" s="2970"/>
      <c r="AA79" s="2970"/>
      <c r="AB79" s="2970"/>
      <c r="AC79" s="2970"/>
      <c r="AD79" s="2970"/>
      <c r="AE79" s="2970"/>
    </row>
    <row r="80" spans="1:31" s="428" customFormat="1" ht="15.75" thickBot="1">
      <c r="A80" s="508"/>
      <c r="B80" s="498"/>
      <c r="C80" s="515"/>
      <c r="D80" s="515"/>
      <c r="E80" s="515"/>
      <c r="F80" s="515"/>
      <c r="G80" s="515"/>
      <c r="H80" s="517"/>
      <c r="I80" s="517"/>
      <c r="J80" s="517"/>
      <c r="K80" s="517"/>
      <c r="L80" s="517"/>
      <c r="M80" s="518"/>
      <c r="N80" s="2978"/>
      <c r="O80" s="2978"/>
      <c r="P80" s="3002"/>
      <c r="Q80" s="2969"/>
      <c r="R80" s="2970"/>
      <c r="S80" s="2970"/>
      <c r="T80" s="2970"/>
      <c r="U80" s="2970"/>
      <c r="V80" s="2970"/>
      <c r="W80" s="2970"/>
      <c r="X80" s="2970"/>
      <c r="Y80" s="2970"/>
      <c r="Z80" s="2970"/>
      <c r="AA80" s="2970"/>
      <c r="AB80" s="2970"/>
      <c r="AC80" s="2970"/>
      <c r="AD80" s="2970"/>
      <c r="AE80" s="2970"/>
    </row>
    <row r="81" spans="1:31" s="428" customFormat="1" ht="15.75" thickTop="1">
      <c r="A81" s="508"/>
      <c r="B81" s="501">
        <f>B14</f>
        <v>111</v>
      </c>
      <c r="C81" s="478"/>
      <c r="D81" s="478"/>
      <c r="E81" s="478"/>
      <c r="F81" s="478"/>
      <c r="G81" s="478"/>
      <c r="H81" s="519"/>
      <c r="I81" s="519"/>
      <c r="J81" s="519"/>
      <c r="K81" s="519"/>
      <c r="L81" s="520"/>
      <c r="M81" s="521"/>
      <c r="N81" s="2978"/>
      <c r="O81" s="2978"/>
      <c r="P81" s="3007"/>
      <c r="Q81" s="2969"/>
      <c r="R81" s="2970"/>
      <c r="S81" s="2970"/>
      <c r="T81" s="2970"/>
      <c r="U81" s="2970"/>
      <c r="V81" s="2970"/>
      <c r="W81" s="2970"/>
      <c r="X81" s="2970"/>
      <c r="Y81" s="2970"/>
      <c r="Z81" s="2970"/>
      <c r="AA81" s="2970"/>
      <c r="AB81" s="2970"/>
      <c r="AC81" s="2970"/>
      <c r="AD81" s="2970"/>
      <c r="AE81" s="2970"/>
    </row>
    <row r="82" spans="1:31" s="428" customFormat="1" ht="15.75" thickBot="1">
      <c r="A82" s="523"/>
      <c r="B82" s="524"/>
      <c r="C82" s="525"/>
      <c r="D82" s="525"/>
      <c r="E82" s="525"/>
      <c r="F82" s="525"/>
      <c r="G82" s="525"/>
      <c r="H82" s="526"/>
      <c r="I82" s="526"/>
      <c r="J82" s="526"/>
      <c r="K82" s="526"/>
      <c r="L82" s="526"/>
      <c r="M82" s="527"/>
      <c r="N82" s="2978"/>
      <c r="O82" s="2978"/>
      <c r="P82" s="3002"/>
      <c r="Q82" s="2969"/>
      <c r="R82" s="2970"/>
      <c r="S82" s="2970"/>
      <c r="T82" s="2970"/>
      <c r="U82" s="2970"/>
      <c r="V82" s="2970"/>
      <c r="W82" s="2970"/>
      <c r="X82" s="2970"/>
      <c r="Y82" s="2970"/>
      <c r="Z82" s="2970"/>
      <c r="AA82" s="2970"/>
      <c r="AB82" s="2970"/>
      <c r="AC82" s="2970"/>
      <c r="AD82" s="2970"/>
      <c r="AE82" s="2970"/>
    </row>
    <row r="83" spans="1:31">
      <c r="A83" s="482" t="s">
        <v>2377</v>
      </c>
      <c r="B83" s="483" t="s">
        <v>2523</v>
      </c>
      <c r="C83" s="528" t="s">
        <v>2415</v>
      </c>
      <c r="D83" s="528" t="s">
        <v>2416</v>
      </c>
      <c r="E83" s="528" t="s">
        <v>2417</v>
      </c>
      <c r="F83" s="528" t="s">
        <v>2418</v>
      </c>
      <c r="G83" s="528" t="s">
        <v>2419</v>
      </c>
      <c r="H83" s="484"/>
      <c r="I83" s="484"/>
      <c r="J83" s="484"/>
      <c r="K83" s="529"/>
      <c r="L83" s="530"/>
      <c r="M83" s="531"/>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89"/>
      <c r="B85" s="493" t="s">
        <v>2420</v>
      </c>
      <c r="C85" s="533" t="s">
        <v>2415</v>
      </c>
      <c r="D85" s="533" t="s">
        <v>2416</v>
      </c>
      <c r="E85" s="533" t="s">
        <v>2417</v>
      </c>
      <c r="F85" s="533" t="s">
        <v>2418</v>
      </c>
      <c r="G85" s="533" t="s">
        <v>2419</v>
      </c>
      <c r="H85" s="494"/>
      <c r="I85" s="494"/>
      <c r="J85" s="494"/>
      <c r="K85" s="495"/>
      <c r="L85" s="496"/>
      <c r="M85" s="497"/>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7"/>
      <c r="O86" s="2977"/>
      <c r="P86" s="3001"/>
      <c r="Q86" s="2962"/>
      <c r="R86" s="2948"/>
      <c r="S86" s="2948"/>
      <c r="T86" s="2948"/>
      <c r="U86" s="2948"/>
      <c r="V86" s="2948"/>
      <c r="W86" s="2948"/>
      <c r="X86" s="2948"/>
      <c r="Y86" s="2948"/>
      <c r="Z86" s="2948"/>
      <c r="AA86" s="2948"/>
      <c r="AB86" s="2948"/>
      <c r="AC86" s="2948"/>
      <c r="AD86" s="2948"/>
      <c r="AE86" s="2948"/>
    </row>
    <row r="87" spans="1:31" s="112" customFormat="1" ht="15.75" thickTop="1">
      <c r="A87" s="534"/>
      <c r="B87" s="493" t="s">
        <v>2601</v>
      </c>
      <c r="C87" s="528" t="s">
        <v>2415</v>
      </c>
      <c r="D87" s="528" t="s">
        <v>2416</v>
      </c>
      <c r="E87" s="528" t="s">
        <v>2417</v>
      </c>
      <c r="F87" s="528" t="s">
        <v>2418</v>
      </c>
      <c r="G87" s="528" t="s">
        <v>2419</v>
      </c>
      <c r="H87" s="533"/>
      <c r="I87" s="533"/>
      <c r="J87" s="533"/>
      <c r="K87" s="533"/>
      <c r="L87" s="652"/>
      <c r="M87" s="576"/>
      <c r="N87" s="2975"/>
      <c r="O87" s="2975"/>
      <c r="P87" s="3001"/>
      <c r="Q87" s="2962"/>
      <c r="R87" s="2882"/>
      <c r="S87" s="2882"/>
      <c r="T87" s="2882"/>
      <c r="U87" s="2882"/>
      <c r="V87" s="2882"/>
      <c r="W87" s="2882"/>
      <c r="X87" s="2882"/>
      <c r="Y87" s="2882"/>
      <c r="Z87" s="2882"/>
      <c r="AA87" s="2882"/>
      <c r="AB87" s="2882"/>
      <c r="AC87" s="2882"/>
      <c r="AD87" s="2882"/>
      <c r="AE87" s="2882"/>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77"/>
      <c r="O88" s="2977"/>
      <c r="P88" s="3001"/>
      <c r="Q88" s="2962"/>
      <c r="R88" s="2882"/>
      <c r="S88" s="2882"/>
      <c r="T88" s="2882"/>
      <c r="U88" s="2882"/>
      <c r="V88" s="2882"/>
      <c r="W88" s="2882"/>
      <c r="X88" s="2882"/>
      <c r="Y88" s="2882"/>
      <c r="Z88" s="2882"/>
      <c r="AA88" s="2882"/>
      <c r="AB88" s="2882"/>
      <c r="AC88" s="2882"/>
      <c r="AD88" s="2882"/>
      <c r="AE88" s="2882"/>
    </row>
    <row r="89" spans="1:31" s="112" customFormat="1" ht="27.75" thickTop="1">
      <c r="A89" s="534"/>
      <c r="B89" s="493" t="s">
        <v>2602</v>
      </c>
      <c r="C89" s="528" t="s">
        <v>2415</v>
      </c>
      <c r="D89" s="528" t="s">
        <v>2416</v>
      </c>
      <c r="E89" s="528" t="s">
        <v>2417</v>
      </c>
      <c r="F89" s="528" t="s">
        <v>2418</v>
      </c>
      <c r="G89" s="528" t="s">
        <v>2419</v>
      </c>
      <c r="H89" s="533"/>
      <c r="I89" s="533"/>
      <c r="J89" s="533"/>
      <c r="K89" s="533"/>
      <c r="L89" s="533"/>
      <c r="M89" s="576"/>
      <c r="N89" s="2975"/>
      <c r="O89" s="2975"/>
      <c r="P89" s="3001"/>
      <c r="Q89" s="2962"/>
      <c r="R89" s="2882"/>
      <c r="S89" s="2882"/>
      <c r="T89" s="2882"/>
      <c r="U89" s="2882"/>
      <c r="V89" s="2882"/>
      <c r="W89" s="2882"/>
      <c r="X89" s="2882"/>
      <c r="Y89" s="2882"/>
      <c r="Z89" s="2882"/>
      <c r="AA89" s="2882"/>
      <c r="AB89" s="2882"/>
      <c r="AC89" s="2882"/>
      <c r="AD89" s="2882"/>
      <c r="AE89" s="2882"/>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77"/>
      <c r="O90" s="2977"/>
      <c r="P90" s="3001"/>
      <c r="Q90" s="2962"/>
      <c r="R90" s="2882"/>
      <c r="S90" s="2882"/>
      <c r="T90" s="2882"/>
      <c r="U90" s="2882"/>
      <c r="V90" s="2882"/>
      <c r="W90" s="2882"/>
      <c r="X90" s="2882"/>
      <c r="Y90" s="2882"/>
      <c r="Z90" s="2882"/>
      <c r="AA90" s="2882"/>
      <c r="AB90" s="2882"/>
      <c r="AC90" s="2882"/>
      <c r="AD90" s="2882"/>
      <c r="AE90" s="2882"/>
    </row>
    <row r="91" spans="1:31" s="428" customFormat="1" ht="15.75" thickTop="1">
      <c r="A91" s="508"/>
      <c r="B91" s="493" t="s">
        <v>2472</v>
      </c>
      <c r="C91" s="528" t="s">
        <v>2415</v>
      </c>
      <c r="D91" s="528" t="s">
        <v>2416</v>
      </c>
      <c r="E91" s="528" t="s">
        <v>2417</v>
      </c>
      <c r="F91" s="528" t="s">
        <v>2418</v>
      </c>
      <c r="G91" s="528" t="s">
        <v>2419</v>
      </c>
      <c r="H91" s="555"/>
      <c r="I91" s="555"/>
      <c r="J91" s="555"/>
      <c r="K91" s="555"/>
      <c r="L91" s="556"/>
      <c r="M91" s="557"/>
      <c r="N91" s="2978"/>
      <c r="O91" s="2978"/>
      <c r="P91" s="3002"/>
      <c r="Q91" s="2969"/>
      <c r="R91" s="2970"/>
      <c r="S91" s="2970"/>
      <c r="T91" s="2970"/>
      <c r="U91" s="2970"/>
      <c r="V91" s="2970"/>
      <c r="W91" s="2970"/>
      <c r="X91" s="2970"/>
      <c r="Y91" s="2970"/>
      <c r="Z91" s="2970"/>
      <c r="AA91" s="2970"/>
      <c r="AB91" s="2970"/>
      <c r="AC91" s="2970"/>
      <c r="AD91" s="2970"/>
      <c r="AE91" s="2970"/>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8"/>
      <c r="O92" s="2978"/>
      <c r="P92" s="3002"/>
      <c r="Q92" s="2969"/>
      <c r="R92" s="2970"/>
      <c r="S92" s="2970"/>
      <c r="T92" s="2970"/>
      <c r="U92" s="2970"/>
      <c r="V92" s="2970"/>
      <c r="W92" s="2970"/>
      <c r="X92" s="2970"/>
      <c r="Y92" s="2970"/>
      <c r="Z92" s="2970"/>
      <c r="AA92" s="2970"/>
      <c r="AB92" s="2970"/>
      <c r="AC92" s="2970"/>
      <c r="AD92" s="2970"/>
      <c r="AE92" s="2970"/>
    </row>
    <row r="93" spans="1:31" s="428" customFormat="1" ht="15.75" thickTop="1">
      <c r="A93" s="508"/>
      <c r="B93" s="501" t="s">
        <v>2619</v>
      </c>
      <c r="C93" s="614" t="s">
        <v>2493</v>
      </c>
      <c r="D93" s="614" t="s">
        <v>2494</v>
      </c>
      <c r="E93" s="614" t="s">
        <v>2495</v>
      </c>
      <c r="F93" s="614" t="s">
        <v>2496</v>
      </c>
      <c r="G93" s="614" t="s">
        <v>2497</v>
      </c>
      <c r="H93" s="555"/>
      <c r="I93" s="555"/>
      <c r="J93" s="555"/>
      <c r="K93" s="555"/>
      <c r="L93" s="555"/>
      <c r="M93" s="557"/>
      <c r="N93" s="2978"/>
      <c r="O93" s="2978"/>
      <c r="P93" s="3002"/>
      <c r="Q93" s="2969"/>
      <c r="R93" s="2970"/>
      <c r="S93" s="2970"/>
      <c r="T93" s="2970"/>
      <c r="U93" s="2970"/>
      <c r="V93" s="2970"/>
      <c r="W93" s="2970"/>
      <c r="X93" s="2970"/>
      <c r="Y93" s="2970"/>
      <c r="Z93" s="2970"/>
      <c r="AA93" s="2970"/>
      <c r="AB93" s="2970"/>
      <c r="AC93" s="2970"/>
      <c r="AD93" s="2970"/>
      <c r="AE93" s="2970"/>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89"/>
      <c r="B95" s="493" t="str">
        <f>B27</f>
        <v>临街状况</v>
      </c>
      <c r="C95" s="494" t="s">
        <v>2603</v>
      </c>
      <c r="D95" s="494" t="s">
        <v>2604</v>
      </c>
      <c r="E95" s="494" t="s">
        <v>2605</v>
      </c>
      <c r="F95" s="494" t="s">
        <v>2606</v>
      </c>
      <c r="G95" s="494"/>
      <c r="H95" s="494"/>
      <c r="I95" s="494"/>
      <c r="J95" s="494"/>
      <c r="K95" s="495"/>
      <c r="L95" s="496"/>
      <c r="M95" s="497"/>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89"/>
      <c r="B97" s="493" t="s">
        <v>2509</v>
      </c>
      <c r="C97" s="509"/>
      <c r="D97" s="509"/>
      <c r="E97" s="509"/>
      <c r="F97" s="509"/>
      <c r="G97" s="509"/>
      <c r="H97" s="538"/>
      <c r="I97" s="538"/>
      <c r="J97" s="538"/>
      <c r="K97" s="539"/>
      <c r="L97" s="540"/>
      <c r="M97" s="541"/>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89"/>
      <c r="B99" s="493" t="s">
        <v>2567</v>
      </c>
      <c r="C99" s="538"/>
      <c r="D99" s="538"/>
      <c r="E99" s="538"/>
      <c r="F99" s="538"/>
      <c r="G99" s="538"/>
      <c r="H99" s="538"/>
      <c r="I99" s="538"/>
      <c r="J99" s="538"/>
      <c r="K99" s="539"/>
      <c r="L99" s="540"/>
      <c r="M99" s="541"/>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89"/>
      <c r="B101" s="501">
        <f>B31</f>
        <v>111</v>
      </c>
      <c r="C101" s="509"/>
      <c r="D101" s="509"/>
      <c r="E101" s="509"/>
      <c r="F101" s="509"/>
      <c r="G101" s="542"/>
      <c r="H101" s="542"/>
      <c r="I101" s="542"/>
      <c r="J101" s="542"/>
      <c r="K101" s="543"/>
      <c r="L101" s="544"/>
      <c r="M101" s="545"/>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89"/>
      <c r="B102" s="524"/>
      <c r="C102" s="515"/>
      <c r="D102" s="491"/>
      <c r="E102" s="491"/>
      <c r="F102" s="491"/>
      <c r="G102" s="546"/>
      <c r="H102" s="546"/>
      <c r="I102" s="546"/>
      <c r="J102" s="546"/>
      <c r="K102" s="546"/>
      <c r="L102" s="546"/>
      <c r="M102" s="547"/>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29"/>
      <c r="B103" s="493">
        <f>B32</f>
        <v>111</v>
      </c>
      <c r="C103" s="509"/>
      <c r="D103" s="509"/>
      <c r="E103" s="509"/>
      <c r="F103" s="509"/>
      <c r="G103" s="538"/>
      <c r="H103" s="538"/>
      <c r="I103" s="538"/>
      <c r="J103" s="538"/>
      <c r="K103" s="539"/>
      <c r="L103" s="540"/>
      <c r="M103" s="541"/>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89"/>
      <c r="B104" s="498"/>
      <c r="C104" s="515"/>
      <c r="D104" s="515"/>
      <c r="E104" s="515"/>
      <c r="F104" s="515"/>
      <c r="G104" s="491"/>
      <c r="H104" s="491"/>
      <c r="I104" s="491"/>
      <c r="J104" s="491"/>
      <c r="K104" s="491"/>
      <c r="L104" s="491"/>
      <c r="M104" s="492"/>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8" customFormat="1" ht="15" thickTop="1">
      <c r="A105" s="548"/>
      <c r="B105" s="549">
        <f>B33</f>
        <v>111</v>
      </c>
      <c r="C105" s="478"/>
      <c r="D105" s="478"/>
      <c r="E105" s="478"/>
      <c r="F105" s="478"/>
      <c r="G105" s="550"/>
      <c r="H105" s="550"/>
      <c r="I105" s="550"/>
      <c r="J105" s="551"/>
      <c r="K105" s="551"/>
      <c r="L105" s="552"/>
      <c r="M105" s="553"/>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8" customFormat="1" ht="15.75" thickBot="1">
      <c r="A106" s="508"/>
      <c r="B106" s="501"/>
      <c r="C106" s="525"/>
      <c r="D106" s="525"/>
      <c r="E106" s="525"/>
      <c r="F106" s="525"/>
      <c r="G106" s="631"/>
      <c r="H106" s="631"/>
      <c r="I106" s="631"/>
      <c r="J106" s="631"/>
      <c r="K106" s="631"/>
      <c r="L106" s="631"/>
      <c r="M106" s="653"/>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2" t="s">
        <v>2381</v>
      </c>
      <c r="B107" s="483" t="s">
        <v>2607</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89"/>
      <c r="B108" s="501"/>
      <c r="C108" s="550"/>
      <c r="D108" s="550"/>
      <c r="E108" s="550"/>
      <c r="F108" s="550"/>
      <c r="G108" s="550"/>
      <c r="H108" s="550"/>
      <c r="I108" s="550"/>
      <c r="J108" s="551"/>
      <c r="K108" s="551"/>
      <c r="L108" s="552"/>
      <c r="M108" s="553"/>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89"/>
      <c r="B109" s="498"/>
      <c r="C109" s="525"/>
      <c r="D109" s="546"/>
      <c r="E109" s="546"/>
      <c r="F109" s="546"/>
      <c r="G109" s="546"/>
      <c r="H109" s="546"/>
      <c r="I109" s="546"/>
      <c r="J109" s="546"/>
      <c r="K109" s="546"/>
      <c r="L109" s="546"/>
      <c r="M109" s="547"/>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4"/>
      <c r="B110" s="493" t="s">
        <v>2608</v>
      </c>
      <c r="C110" s="538"/>
      <c r="D110" s="538"/>
      <c r="E110" s="538"/>
      <c r="F110" s="538"/>
      <c r="G110" s="538"/>
      <c r="H110" s="538"/>
      <c r="I110" s="538"/>
      <c r="J110" s="538"/>
      <c r="K110" s="539"/>
      <c r="L110" s="540"/>
      <c r="M110" s="541"/>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8" customFormat="1" ht="15" thickTop="1">
      <c r="A112" s="548"/>
      <c r="B112" s="493" t="s">
        <v>2610</v>
      </c>
      <c r="C112" s="509"/>
      <c r="D112" s="509"/>
      <c r="E112" s="509"/>
      <c r="F112" s="509"/>
      <c r="G112" s="509"/>
      <c r="H112" s="538"/>
      <c r="I112" s="538"/>
      <c r="J112" s="538"/>
      <c r="K112" s="539"/>
      <c r="L112" s="540"/>
      <c r="M112" s="541"/>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4"/>
      <c r="B114" s="493" t="s">
        <v>2611</v>
      </c>
      <c r="C114" s="509"/>
      <c r="D114" s="509"/>
      <c r="E114" s="538"/>
      <c r="F114" s="538"/>
      <c r="G114" s="538"/>
      <c r="H114" s="538"/>
      <c r="I114" s="538"/>
      <c r="J114" s="538"/>
      <c r="K114" s="539"/>
      <c r="L114" s="540"/>
      <c r="M114" s="541"/>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4"/>
      <c r="B116" s="493">
        <f>B38</f>
        <v>111</v>
      </c>
      <c r="C116" s="509"/>
      <c r="D116" s="509"/>
      <c r="E116" s="509"/>
      <c r="F116" s="509"/>
      <c r="G116" s="509"/>
      <c r="H116" s="538"/>
      <c r="I116" s="538"/>
      <c r="J116" s="538"/>
      <c r="K116" s="539"/>
      <c r="L116" s="540"/>
      <c r="M116" s="541"/>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89"/>
      <c r="B117" s="498"/>
      <c r="C117" s="515"/>
      <c r="D117" s="491"/>
      <c r="E117" s="491"/>
      <c r="F117" s="491"/>
      <c r="G117" s="491"/>
      <c r="H117" s="491"/>
      <c r="I117" s="491"/>
      <c r="J117" s="491"/>
      <c r="K117" s="491"/>
      <c r="L117" s="491"/>
      <c r="M117" s="492"/>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4"/>
      <c r="B118" s="493">
        <f>B39</f>
        <v>111</v>
      </c>
      <c r="C118" s="509"/>
      <c r="D118" s="509"/>
      <c r="E118" s="509"/>
      <c r="F118" s="509"/>
      <c r="G118" s="538"/>
      <c r="H118" s="538"/>
      <c r="I118" s="538"/>
      <c r="J118" s="538"/>
      <c r="K118" s="539"/>
      <c r="L118" s="540"/>
      <c r="M118" s="541"/>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89"/>
      <c r="B119" s="498"/>
      <c r="C119" s="515"/>
      <c r="D119" s="515"/>
      <c r="E119" s="515"/>
      <c r="F119" s="515"/>
      <c r="G119" s="491"/>
      <c r="H119" s="491"/>
      <c r="I119" s="491"/>
      <c r="J119" s="491"/>
      <c r="K119" s="491"/>
      <c r="L119" s="491"/>
      <c r="M119" s="492"/>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8" customFormat="1" ht="15" thickTop="1">
      <c r="A120" s="548"/>
      <c r="B120" s="493">
        <f>B40</f>
        <v>111</v>
      </c>
      <c r="C120" s="478"/>
      <c r="D120" s="478"/>
      <c r="E120" s="478"/>
      <c r="F120" s="478"/>
      <c r="G120" s="510"/>
      <c r="H120" s="510"/>
      <c r="I120" s="510"/>
      <c r="J120" s="510"/>
      <c r="K120" s="510"/>
      <c r="L120" s="511"/>
      <c r="M120" s="512"/>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8" customFormat="1" ht="15.75" thickBot="1">
      <c r="A121" s="523"/>
      <c r="B121" s="654"/>
      <c r="C121" s="525"/>
      <c r="D121" s="525"/>
      <c r="E121" s="525"/>
      <c r="F121" s="525"/>
      <c r="G121" s="546"/>
      <c r="H121" s="546"/>
      <c r="I121" s="546"/>
      <c r="J121" s="546"/>
      <c r="K121" s="546"/>
      <c r="L121" s="546"/>
      <c r="M121" s="547"/>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0" customWidth="1"/>
    <col min="33" max="36" width="9.375" style="2247" customWidth="1"/>
    <col min="37" max="38" width="9.375" style="2181" customWidth="1"/>
    <col min="39" max="16384" width="12" style="2181"/>
  </cols>
  <sheetData>
    <row r="1" spans="1:36" ht="28.5">
      <c r="A1" s="200" t="s">
        <v>2620</v>
      </c>
      <c r="B1" s="201"/>
      <c r="C1" s="205" t="s">
        <v>2621</v>
      </c>
      <c r="D1" s="346">
        <f>SUM(D29:D30,D33:D39)</f>
        <v>0</v>
      </c>
      <c r="E1" s="2178"/>
      <c r="F1" s="2178"/>
      <c r="G1" s="2178"/>
      <c r="H1" s="2178"/>
      <c r="I1" s="2178"/>
      <c r="J1" s="2178"/>
      <c r="K1" s="1278"/>
      <c r="L1" s="2179" t="s">
        <v>2622</v>
      </c>
      <c r="M1" s="992">
        <f>SUMPRODUCT((区片价!B5:B9=I2)*(区片价!C3:F3=E2)*(区片价!C5:F9))</f>
        <v>0</v>
      </c>
      <c r="N1" s="995">
        <f>SUMPRODUCT((因素修正幅度!B5:B9=I2)*(因素修正幅度!C3:F3=E2)*(因素修正幅度!C5:F9))</f>
        <v>0</v>
      </c>
      <c r="O1" s="2180"/>
      <c r="P1" s="2180"/>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75">
      <c r="A2" s="205" t="s">
        <v>2628</v>
      </c>
      <c r="B2" s="208" t="e">
        <f>C26</f>
        <v>#DIV/0!</v>
      </c>
      <c r="C2" s="2182" t="s">
        <v>2629</v>
      </c>
      <c r="D2" s="2183" t="s">
        <v>2630</v>
      </c>
      <c r="E2" s="2184"/>
      <c r="F2" s="2183" t="s">
        <v>2631</v>
      </c>
      <c r="G2" s="2185">
        <f>IF(E2="商业",项目基本情况!B37,IF(E2="办公",项目基本情况!C37,IF(E2="住宅",项目基本情况!D37,项目基本情况!E37)))</f>
        <v>0</v>
      </c>
      <c r="H2" s="2183" t="s">
        <v>2632</v>
      </c>
      <c r="I2" s="2185">
        <f>IF(E2="商业",项目基本情况!B38,IF(E2="办公",项目基本情况!C38,IF(E2="住宅",项目基本情况!D38,项目基本情况!E38)))</f>
        <v>0</v>
      </c>
      <c r="J2" s="2186"/>
      <c r="K2" s="1278"/>
      <c r="L2" s="2187" t="s">
        <v>2633</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7" t="s">
        <v>2634</v>
      </c>
      <c r="B3" s="208" t="e">
        <f>ROUND(B2*10000/D1,0)</f>
        <v>#DIV/0!</v>
      </c>
      <c r="C3" s="2182" t="s">
        <v>2635</v>
      </c>
      <c r="D3" s="2183" t="s">
        <v>2636</v>
      </c>
      <c r="E3" s="2188"/>
      <c r="F3" s="2189" t="s">
        <v>2637</v>
      </c>
      <c r="G3" s="853">
        <f>IF(F3="宗地容积率",'数据-汇总表'!I4,IF(F3="估价对象容积率",'数据-汇总表'!I6,'数据-汇总表'!I7))</f>
        <v>1.31</v>
      </c>
      <c r="H3" s="173" t="s">
        <v>2638</v>
      </c>
      <c r="I3" s="879"/>
      <c r="J3" s="2186" t="s">
        <v>2639</v>
      </c>
      <c r="K3" s="1278"/>
      <c r="L3" s="2187" t="s">
        <v>2640</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80"/>
      <c r="B4" s="3381"/>
      <c r="C4" s="3381"/>
      <c r="D4" s="3382"/>
      <c r="E4" s="3382"/>
      <c r="F4" s="3382"/>
      <c r="G4" s="3382"/>
      <c r="H4" s="3382"/>
      <c r="I4" s="3382"/>
      <c r="J4" s="3383"/>
      <c r="K4" s="1278"/>
      <c r="L4" s="2187" t="s">
        <v>2641</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2642</v>
      </c>
      <c r="C5" s="854" t="e">
        <f>ROUND(IF(E2="商业",C6*C7+C16,(IF(E2="住宅",C6*C12+C16,C6+C16))),0)</f>
        <v>#DIV/0!</v>
      </c>
      <c r="D5" s="1521" t="e">
        <f>ROUND(C6+C16,0)</f>
        <v>#DIV/0!</v>
      </c>
      <c r="E5" s="1521"/>
      <c r="F5" s="2192"/>
      <c r="G5" s="2193"/>
      <c r="H5" s="2193"/>
      <c r="I5" s="2193"/>
      <c r="J5" s="2194"/>
      <c r="K5" s="2195"/>
      <c r="L5" s="2187" t="s">
        <v>2643</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6"/>
      <c r="AD5" s="2197"/>
      <c r="AE5" s="2197"/>
      <c r="AF5" s="2197"/>
      <c r="AG5" s="2197"/>
      <c r="AH5" s="2197"/>
      <c r="AI5" s="2197"/>
      <c r="AJ5" s="2198"/>
    </row>
    <row r="6" spans="1:36" ht="15.75" thickBot="1">
      <c r="A6" s="2200" t="s">
        <v>2644</v>
      </c>
      <c r="B6" s="2201" t="s">
        <v>2645</v>
      </c>
      <c r="C6" s="855">
        <f>SUMIF(L1:L12,G2,M1:M12)</f>
        <v>0</v>
      </c>
      <c r="D6" s="2202" t="s">
        <v>2646</v>
      </c>
      <c r="E6" s="2203"/>
      <c r="F6" s="2203"/>
      <c r="G6" s="2204"/>
      <c r="H6" s="2204"/>
      <c r="I6" s="2204"/>
      <c r="J6" s="2205"/>
      <c r="K6" s="1566"/>
      <c r="L6" s="2187" t="s">
        <v>2647</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6"/>
      <c r="AD6" s="2197"/>
      <c r="AE6" s="2197"/>
      <c r="AF6" s="2197"/>
      <c r="AG6" s="2197"/>
      <c r="AH6" s="2197"/>
      <c r="AI6" s="2197"/>
      <c r="AJ6" s="2198"/>
    </row>
    <row r="7" spans="1:36" ht="24">
      <c r="A7" s="3361" t="str">
        <f>IF(E2="商业",IF(C8="不临58条商业街","",2),"")</f>
        <v/>
      </c>
      <c r="B7" s="2206" t="s">
        <v>2648</v>
      </c>
      <c r="C7" s="856" t="e">
        <f>IF(C8="不临58条商业街",1,ROUND(1+(1.6*E8+1.2*E9+0.8*E10+0.4*E11)*C9,4))</f>
        <v>#DIV/0!</v>
      </c>
      <c r="D7" s="2207" t="s">
        <v>2649</v>
      </c>
      <c r="E7" s="880"/>
      <c r="F7" s="2208"/>
      <c r="G7" s="2209"/>
      <c r="H7" s="2209"/>
      <c r="I7" s="2209"/>
      <c r="J7" s="2210"/>
      <c r="K7" s="1566"/>
      <c r="L7" s="2187" t="s">
        <v>2650</v>
      </c>
      <c r="M7" s="993">
        <f>SUMPRODUCT((区片价!B158:B205=I2)*(区片价!C3:F3=E2)*(区片价!C158:F205))</f>
        <v>0</v>
      </c>
      <c r="N7" s="995">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v>
      </c>
      <c r="T7" s="1371" t="e">
        <f t="shared" si="0"/>
        <v>#DIV/0!</v>
      </c>
      <c r="U7" s="1372"/>
      <c r="V7" s="1371" t="e">
        <f t="shared" si="1"/>
        <v>#DIV/0!</v>
      </c>
      <c r="W7" s="1540" t="s">
        <v>2651</v>
      </c>
      <c r="X7" s="1373">
        <f>G2</f>
        <v>0</v>
      </c>
      <c r="Y7" s="1373" t="s">
        <v>2652</v>
      </c>
      <c r="Z7" s="1374">
        <f>G3</f>
        <v>1.31</v>
      </c>
      <c r="AA7" s="1375"/>
      <c r="AB7" s="1375"/>
      <c r="AC7" s="1376"/>
      <c r="AD7" s="1377"/>
      <c r="AE7" s="1377"/>
      <c r="AF7" s="1377"/>
      <c r="AG7" s="1377"/>
      <c r="AH7" s="1377"/>
      <c r="AI7" s="1377"/>
      <c r="AJ7" s="1378"/>
    </row>
    <row r="8" spans="1:36" ht="15">
      <c r="A8" s="3384"/>
      <c r="B8" s="173" t="s">
        <v>2653</v>
      </c>
      <c r="C8" s="2211"/>
      <c r="D8" s="857" t="s">
        <v>139</v>
      </c>
      <c r="E8" s="858" t="e">
        <f>ROUND(C11/E7,4)</f>
        <v>#DIV/0!</v>
      </c>
      <c r="F8" s="2212" t="s">
        <v>2654</v>
      </c>
      <c r="G8" s="2213"/>
      <c r="H8" s="2213"/>
      <c r="I8" s="2213"/>
      <c r="J8" s="2214"/>
      <c r="K8" s="1278"/>
      <c r="L8" s="2187" t="s">
        <v>2655</v>
      </c>
      <c r="M8" s="993">
        <f>SUMPRODUCT((区片价!B206:B244=I2)*(区片价!C3:F3=E2)*(区片价!C206:F244))</f>
        <v>0</v>
      </c>
      <c r="N8" s="995">
        <f>SUMPRODUCT((因素修正幅度!B206:B244=I2)*(因素修正幅度!C3:F3=E2)*(因素修正幅度!C206:F244))</f>
        <v>0</v>
      </c>
      <c r="O8" s="1278"/>
      <c r="P8" s="1278"/>
      <c r="Q8" s="1278"/>
      <c r="R8" s="1371">
        <v>7</v>
      </c>
      <c r="S8" s="1372"/>
      <c r="T8" s="1371" t="e">
        <f t="shared" si="0"/>
        <v>#DIV/0!</v>
      </c>
      <c r="U8" s="1372"/>
      <c r="V8" s="1371" t="e">
        <f t="shared" si="1"/>
        <v>#DIV/0!</v>
      </c>
      <c r="W8" s="3377" t="s">
        <v>2656</v>
      </c>
      <c r="X8" s="3378"/>
      <c r="Y8" s="1379" t="s">
        <v>2657</v>
      </c>
      <c r="Z8" s="1379" t="s">
        <v>2658</v>
      </c>
      <c r="AA8" s="1379" t="s">
        <v>2659</v>
      </c>
      <c r="AB8" s="1379" t="s">
        <v>2660</v>
      </c>
      <c r="AC8" s="1379" t="s">
        <v>2661</v>
      </c>
      <c r="AD8" s="1379" t="s">
        <v>2662</v>
      </c>
      <c r="AE8" s="1379" t="s">
        <v>2663</v>
      </c>
      <c r="AF8" s="1379" t="s">
        <v>2664</v>
      </c>
      <c r="AG8" s="1379" t="s">
        <v>2665</v>
      </c>
      <c r="AH8" s="1379" t="s">
        <v>2666</v>
      </c>
      <c r="AI8" s="1379" t="s">
        <v>2667</v>
      </c>
      <c r="AJ8" s="1379" t="s">
        <v>2668</v>
      </c>
    </row>
    <row r="9" spans="1:36" ht="15">
      <c r="A9" s="3384"/>
      <c r="B9" s="173" t="s">
        <v>2669</v>
      </c>
      <c r="C9" s="859">
        <f>SUMIF(修正!C59:C119,C8,修正!E59:E119)</f>
        <v>0</v>
      </c>
      <c r="D9" s="174" t="s">
        <v>140</v>
      </c>
      <c r="E9" s="174" t="e">
        <f>ROUND(C11/E7,4)</f>
        <v>#DIV/0!</v>
      </c>
      <c r="F9" s="2212" t="s">
        <v>2670</v>
      </c>
      <c r="G9" s="2213"/>
      <c r="H9" s="2213"/>
      <c r="I9" s="2213"/>
      <c r="J9" s="2214"/>
      <c r="K9" s="1278"/>
      <c r="L9" s="2187" t="s">
        <v>2671</v>
      </c>
      <c r="M9" s="993">
        <f>SUMPRODUCT((区片价!B245:B289=I2)*(区片价!C3:F3=E2)*(区片价!C245:F289))</f>
        <v>0</v>
      </c>
      <c r="N9" s="995">
        <f>SUMPRODUCT((因素修正幅度!B245:B289=I2)*(因素修正幅度!C3:F3=E2)*(因素修正幅度!C245:F289))</f>
        <v>0</v>
      </c>
      <c r="O9" s="1278"/>
      <c r="P9" s="1278"/>
      <c r="Q9" s="1278"/>
      <c r="R9" s="1371">
        <v>8</v>
      </c>
      <c r="S9" s="1372"/>
      <c r="T9" s="1371" t="e">
        <f t="shared" si="0"/>
        <v>#DIV/0!</v>
      </c>
      <c r="U9" s="1372"/>
      <c r="V9" s="1371" t="e">
        <f t="shared" si="1"/>
        <v>#DIV/0!</v>
      </c>
      <c r="W9" s="3379" t="s">
        <v>2672</v>
      </c>
      <c r="X9" s="1380" t="s">
        <v>2673</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84"/>
      <c r="B10" s="173" t="s">
        <v>2674</v>
      </c>
      <c r="C10" s="174">
        <f>SUMIF(修正!C59:C119,C8,修正!F59:F119)</f>
        <v>0</v>
      </c>
      <c r="D10" s="174" t="s">
        <v>141</v>
      </c>
      <c r="E10" s="174" t="e">
        <f>ROUND(C11/E7,4)</f>
        <v>#DIV/0!</v>
      </c>
      <c r="F10" s="2212" t="s">
        <v>2675</v>
      </c>
      <c r="G10" s="2213"/>
      <c r="H10" s="2213"/>
      <c r="I10" s="2213"/>
      <c r="J10" s="2214"/>
      <c r="K10" s="1278"/>
      <c r="L10" s="2187" t="s">
        <v>2676</v>
      </c>
      <c r="M10" s="993">
        <f>SUMPRODUCT((区片价!B290:B316=I2)*(区片价!C3:F3=E2)*(区片价!C290:F316))</f>
        <v>0</v>
      </c>
      <c r="N10" s="995">
        <f>SUMPRODUCT((因素修正幅度!B290:B316=I2)*(因素修正幅度!C3:F3=E2)*(因素修正幅度!C290:F316))</f>
        <v>0</v>
      </c>
      <c r="O10" s="1278"/>
      <c r="P10" s="1278"/>
      <c r="Q10" s="1278"/>
      <c r="R10" s="1371">
        <v>9</v>
      </c>
      <c r="S10" s="1372"/>
      <c r="T10" s="1371" t="e">
        <f t="shared" si="0"/>
        <v>#DIV/0!</v>
      </c>
      <c r="U10" s="1372"/>
      <c r="V10" s="1371" t="e">
        <f t="shared" si="1"/>
        <v>#DIV/0!</v>
      </c>
      <c r="W10" s="337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84"/>
      <c r="B11" s="2215" t="s">
        <v>2677</v>
      </c>
      <c r="C11" s="860">
        <f>C10/4</f>
        <v>0</v>
      </c>
      <c r="D11" s="860" t="s">
        <v>142</v>
      </c>
      <c r="E11" s="860" t="e">
        <f>ROUND(C11/E7,4)</f>
        <v>#DIV/0!</v>
      </c>
      <c r="F11" s="2216" t="s">
        <v>2678</v>
      </c>
      <c r="G11" s="2217"/>
      <c r="H11" s="2217"/>
      <c r="I11" s="2217"/>
      <c r="J11" s="2218"/>
      <c r="K11" s="1278"/>
      <c r="L11" s="2187" t="s">
        <v>2679</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t="e">
        <f t="shared" si="0"/>
        <v>#DIV/0!</v>
      </c>
      <c r="U11" s="1372"/>
      <c r="V11" s="1371" t="e">
        <f t="shared" si="1"/>
        <v>#DIV/0!</v>
      </c>
      <c r="W11" s="3379" t="s">
        <v>2680</v>
      </c>
      <c r="X11" s="1383" t="s">
        <v>2681</v>
      </c>
      <c r="Y11" s="1384">
        <f>$G$3</f>
        <v>1.31</v>
      </c>
      <c r="Z11" s="1384">
        <f t="shared" ref="Z11:AJ11" si="3">$G$3</f>
        <v>1.31</v>
      </c>
      <c r="AA11" s="1384">
        <f t="shared" si="3"/>
        <v>1.31</v>
      </c>
      <c r="AB11" s="1384">
        <f t="shared" si="3"/>
        <v>1.31</v>
      </c>
      <c r="AC11" s="1384">
        <f t="shared" si="3"/>
        <v>1.31</v>
      </c>
      <c r="AD11" s="1384">
        <f t="shared" si="3"/>
        <v>1.31</v>
      </c>
      <c r="AE11" s="1384">
        <f t="shared" si="3"/>
        <v>1.31</v>
      </c>
      <c r="AF11" s="1384">
        <f t="shared" si="3"/>
        <v>1.31</v>
      </c>
      <c r="AG11" s="1384">
        <f t="shared" si="3"/>
        <v>1.31</v>
      </c>
      <c r="AH11" s="1384">
        <f t="shared" si="3"/>
        <v>1.31</v>
      </c>
      <c r="AI11" s="1384">
        <f t="shared" si="3"/>
        <v>1.31</v>
      </c>
      <c r="AJ11" s="1384">
        <f t="shared" si="3"/>
        <v>1.31</v>
      </c>
    </row>
    <row r="12" spans="1:36" ht="25.5" thickBot="1">
      <c r="A12" s="3361" t="s">
        <v>2682</v>
      </c>
      <c r="B12" s="2219" t="s">
        <v>2683</v>
      </c>
      <c r="C12" s="856">
        <f>ROUND(C15*D15*E15*F15*G15*H15*I15*J15,4)</f>
        <v>1</v>
      </c>
      <c r="D12" s="2220" t="s">
        <v>2684</v>
      </c>
      <c r="E12" s="2221"/>
      <c r="F12" s="2221"/>
      <c r="G12" s="2222"/>
      <c r="H12" s="2222"/>
      <c r="I12" s="2222"/>
      <c r="J12" s="2223"/>
      <c r="K12" s="1278"/>
      <c r="L12" s="2224" t="s">
        <v>2685</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t="e">
        <f t="shared" si="0"/>
        <v>#DIV/0!</v>
      </c>
      <c r="U12" s="1372"/>
      <c r="V12" s="1371" t="e">
        <f t="shared" si="1"/>
        <v>#DIV/0!</v>
      </c>
      <c r="W12" s="3379"/>
      <c r="X12" s="1385" t="s">
        <v>2686</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85"/>
      <c r="B13" s="2225" t="s">
        <v>2687</v>
      </c>
      <c r="C13" s="2226" t="s">
        <v>2688</v>
      </c>
      <c r="D13" s="1532" t="s">
        <v>2689</v>
      </c>
      <c r="E13" s="1532" t="s">
        <v>2690</v>
      </c>
      <c r="F13" s="29" t="s">
        <v>2691</v>
      </c>
      <c r="G13" s="2227" t="s">
        <v>2692</v>
      </c>
      <c r="H13" s="2227" t="s">
        <v>2692</v>
      </c>
      <c r="I13" s="2227" t="s">
        <v>2692</v>
      </c>
      <c r="J13" s="2228" t="s">
        <v>2692</v>
      </c>
      <c r="K13" s="1278"/>
      <c r="L13" s="1278"/>
      <c r="M13" s="1278"/>
      <c r="N13" s="1278"/>
      <c r="O13" s="1278"/>
      <c r="P13" s="1278"/>
      <c r="Q13" s="1278"/>
      <c r="R13" s="1371">
        <v>12</v>
      </c>
      <c r="S13" s="1372"/>
      <c r="T13" s="1371" t="e">
        <f t="shared" si="0"/>
        <v>#DIV/0!</v>
      </c>
      <c r="U13" s="1372"/>
      <c r="V13" s="1371" t="e">
        <f t="shared" si="1"/>
        <v>#DIV/0!</v>
      </c>
      <c r="W13" s="3379"/>
      <c r="X13" s="1385"/>
      <c r="Y13" s="1382">
        <f>(-0.163*(Y12^2)-0.59*Y12+7617)*(10^(-4))/Y11</f>
        <v>0.58145038167938934</v>
      </c>
      <c r="Z13" s="1382">
        <f t="shared" ref="Z13:AJ13" si="5">(-0.163*(Z12^2)-0.59*Z12+7617)*(10^(-4))/Z11</f>
        <v>0.58145038167938934</v>
      </c>
      <c r="AA13" s="1382">
        <f t="shared" si="5"/>
        <v>0.58145038167938934</v>
      </c>
      <c r="AB13" s="1382">
        <f t="shared" si="5"/>
        <v>0.58145038167938934</v>
      </c>
      <c r="AC13" s="1382">
        <f t="shared" si="5"/>
        <v>0.58145038167938934</v>
      </c>
      <c r="AD13" s="1382">
        <f t="shared" si="5"/>
        <v>0.58145038167938934</v>
      </c>
      <c r="AE13" s="1382">
        <f t="shared" si="5"/>
        <v>0.58145038167938934</v>
      </c>
      <c r="AF13" s="1382">
        <f t="shared" si="5"/>
        <v>0.58145038167938934</v>
      </c>
      <c r="AG13" s="1382">
        <f t="shared" si="5"/>
        <v>0.58145038167938934</v>
      </c>
      <c r="AH13" s="1382">
        <f t="shared" si="5"/>
        <v>0.58145038167938934</v>
      </c>
      <c r="AI13" s="1382">
        <f t="shared" si="5"/>
        <v>0.58145038167938934</v>
      </c>
      <c r="AJ13" s="1382">
        <f t="shared" si="5"/>
        <v>0.58145038167938934</v>
      </c>
    </row>
    <row r="14" spans="1:36" ht="15">
      <c r="A14" s="3385"/>
      <c r="B14" s="2229"/>
      <c r="C14" s="2230"/>
      <c r="D14" s="2231"/>
      <c r="E14" s="2231"/>
      <c r="F14" s="2232"/>
      <c r="G14" s="2233" t="s">
        <v>2693</v>
      </c>
      <c r="H14" s="2234"/>
      <c r="I14" s="2235"/>
      <c r="J14" s="2236"/>
      <c r="K14" s="1278"/>
      <c r="L14" s="1278"/>
      <c r="M14" s="1278"/>
      <c r="N14" s="1278"/>
      <c r="O14" s="1278"/>
      <c r="P14" s="1278"/>
      <c r="Q14" s="1278"/>
      <c r="R14" s="1371">
        <v>13</v>
      </c>
      <c r="S14" s="1372"/>
      <c r="T14" s="1371" t="e">
        <f t="shared" si="0"/>
        <v>#DIV/0!</v>
      </c>
      <c r="U14" s="1372"/>
      <c r="V14" s="1371" t="e">
        <f t="shared" si="1"/>
        <v>#DIV/0!</v>
      </c>
      <c r="W14" s="1375"/>
      <c r="X14" s="1375"/>
      <c r="Y14" s="1375"/>
      <c r="Z14" s="1375"/>
      <c r="AA14" s="1375"/>
      <c r="AB14" s="1375"/>
      <c r="AC14" s="1376"/>
      <c r="AD14" s="3014"/>
      <c r="AE14" s="3014"/>
      <c r="AF14" s="3014"/>
      <c r="AG14" s="3014"/>
      <c r="AH14" s="3014"/>
      <c r="AI14" s="3014"/>
      <c r="AJ14" s="3015"/>
    </row>
    <row r="15" spans="1:36" ht="15.75" thickBot="1">
      <c r="A15" s="3386"/>
      <c r="B15" s="2237" t="s">
        <v>2694</v>
      </c>
      <c r="C15" s="191">
        <f>IF(C14="有",1.1,1)</f>
        <v>1</v>
      </c>
      <c r="D15" s="191">
        <f>IF(D14="有",1.1,1)</f>
        <v>1</v>
      </c>
      <c r="E15" s="191">
        <f>IF(E14="有",1.1,1)</f>
        <v>1</v>
      </c>
      <c r="F15" s="191">
        <f>IF(F14="500米范围内",1.2,IF(F14="500-1000米",1.1,1))</f>
        <v>1</v>
      </c>
      <c r="G15" s="881">
        <v>1</v>
      </c>
      <c r="H15" s="881">
        <v>1</v>
      </c>
      <c r="I15" s="881">
        <v>1</v>
      </c>
      <c r="J15" s="882">
        <v>1</v>
      </c>
      <c r="K15" s="1278"/>
      <c r="L15" s="2180"/>
      <c r="M15" s="2180"/>
      <c r="N15" s="2180"/>
      <c r="O15" s="2180"/>
      <c r="P15" s="2180"/>
      <c r="Q15" s="1278"/>
      <c r="R15" s="1371">
        <v>14</v>
      </c>
      <c r="S15" s="1372"/>
      <c r="T15" s="1371" t="e">
        <f t="shared" si="0"/>
        <v>#DIV/0!</v>
      </c>
      <c r="U15" s="1372"/>
      <c r="V15" s="1371" t="e">
        <f t="shared" si="1"/>
        <v>#DIV/0!</v>
      </c>
      <c r="W15" s="1375"/>
      <c r="X15" s="1375"/>
      <c r="Y15" s="1375"/>
      <c r="Z15" s="1375"/>
      <c r="AA15" s="1375"/>
      <c r="AB15" s="1375"/>
      <c r="AC15" s="1376"/>
      <c r="AD15" s="3014"/>
      <c r="AE15" s="3014"/>
      <c r="AF15" s="3014"/>
      <c r="AG15" s="3014"/>
      <c r="AH15" s="3014"/>
      <c r="AI15" s="3014"/>
      <c r="AJ15" s="3015"/>
    </row>
    <row r="16" spans="1:36" ht="24.6" customHeight="1">
      <c r="A16" s="3361" t="s">
        <v>2699</v>
      </c>
      <c r="B16" s="2206" t="s">
        <v>2700</v>
      </c>
      <c r="C16" s="2368" t="e">
        <f>ROUND(IF(F17="与级别开发程度一致",0,(G17-E17)/C17),0)</f>
        <v>#DIV/0!</v>
      </c>
      <c r="D16" s="3374" t="s">
        <v>2704</v>
      </c>
      <c r="E16" s="3375"/>
      <c r="F16" s="3374" t="s">
        <v>2701</v>
      </c>
      <c r="G16" s="3375"/>
      <c r="H16" s="2238"/>
      <c r="I16" s="2238"/>
      <c r="J16" s="2372"/>
      <c r="K16" s="2238"/>
      <c r="L16" s="2238"/>
      <c r="M16" s="2238"/>
      <c r="N16" s="2238"/>
      <c r="O16" s="2239"/>
      <c r="P16" s="2180"/>
      <c r="Q16" s="1278"/>
      <c r="R16" s="1371">
        <v>15</v>
      </c>
      <c r="S16" s="1372"/>
      <c r="T16" s="1371" t="e">
        <f t="shared" si="0"/>
        <v>#DIV/0!</v>
      </c>
      <c r="U16" s="1372"/>
      <c r="V16" s="1371" t="e">
        <f t="shared" si="1"/>
        <v>#DIV/0!</v>
      </c>
      <c r="W16" s="1375"/>
      <c r="X16" s="1375"/>
      <c r="Y16" s="1375"/>
      <c r="Z16" s="1375"/>
      <c r="AA16" s="1375"/>
      <c r="AB16" s="1375"/>
      <c r="AC16" s="1376"/>
      <c r="AD16" s="3014"/>
      <c r="AE16" s="3014"/>
      <c r="AF16" s="3014"/>
      <c r="AG16" s="3014"/>
      <c r="AH16" s="3014"/>
      <c r="AI16" s="3014"/>
      <c r="AJ16" s="3015"/>
    </row>
    <row r="17" spans="1:37" ht="13.5" thickBot="1">
      <c r="A17" s="3362"/>
      <c r="B17" s="2379" t="s">
        <v>2703</v>
      </c>
      <c r="C17" s="2380">
        <f>SUMPRODUCT((修正!A2:A5=E2)*(修正!B1:M1=G2)*(修正!B2:M5))</f>
        <v>0</v>
      </c>
      <c r="D17" s="191"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8"/>
      <c r="R17" s="1278"/>
      <c r="S17" s="1278"/>
      <c r="T17" s="1278"/>
      <c r="U17" s="1278"/>
      <c r="V17" s="1278"/>
      <c r="W17" s="1278"/>
      <c r="X17" s="1278"/>
      <c r="Y17" s="1278"/>
      <c r="Z17" s="1279"/>
      <c r="AA17" s="1279"/>
      <c r="AB17" s="1279"/>
      <c r="AC17" s="1279"/>
      <c r="AD17" s="1279"/>
      <c r="AE17" s="1278"/>
      <c r="AF17" s="1278"/>
      <c r="AG17" s="2180"/>
      <c r="AH17" s="2180"/>
      <c r="AI17" s="2180"/>
      <c r="AJ17" s="2180"/>
    </row>
    <row r="18" spans="1:37" s="2199" customFormat="1" ht="15.75" thickBot="1">
      <c r="A18" s="2373" t="s">
        <v>808</v>
      </c>
      <c r="B18" s="2374" t="s">
        <v>2706</v>
      </c>
      <c r="C18" s="2375">
        <f>SUMIF(修正!C18:C39,E3,修正!E18:E39)</f>
        <v>0</v>
      </c>
      <c r="D18" s="2376"/>
      <c r="E18" s="2377"/>
      <c r="F18" s="2377"/>
      <c r="G18" s="2377"/>
      <c r="H18" s="2377"/>
      <c r="I18" s="2377"/>
      <c r="J18" s="2378"/>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3"/>
    </row>
    <row r="19" spans="1:37" s="2199" customFormat="1" ht="27.75" thickBot="1">
      <c r="A19" s="2243" t="s">
        <v>809</v>
      </c>
      <c r="B19" s="2244" t="s">
        <v>2707</v>
      </c>
      <c r="C19" s="861" t="e">
        <f>ROUND(IF(H19="按公示增长率计算",SUMPRODUCT((地价!A3:A33=YEAR(G19)&amp;"-"&amp;ROUNDUP(MONTH(G19)/3,0))*(地价!X2:AB2=E2)*(地价!X3:AB33)),IF(H19="地价指数",M20/M19,(1+I19)^O19)),4)</f>
        <v>#VALUE!</v>
      </c>
      <c r="D19" s="2248" t="s">
        <v>2708</v>
      </c>
      <c r="E19" s="862">
        <v>41640</v>
      </c>
      <c r="F19" s="2248" t="s">
        <v>2709</v>
      </c>
      <c r="G19" s="863">
        <f>'数据-取费表'!B2</f>
        <v>44299</v>
      </c>
      <c r="H19" s="2249"/>
      <c r="I19" s="864" t="str">
        <f>IF(H19="季度增幅（自定义）",SUMIF(N21:N24,E2,O21:O24),"")</f>
        <v/>
      </c>
      <c r="J19" s="2246"/>
      <c r="K19" s="1285"/>
      <c r="L19" s="2250" t="s">
        <v>2710</v>
      </c>
      <c r="M19" s="1494">
        <f>ROUND(SUMIF(地价!B2:F2,E2,地价!B33:F33),0)</f>
        <v>0</v>
      </c>
      <c r="N19" s="2251" t="s">
        <v>2711</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6"/>
      <c r="AH19" s="2337"/>
      <c r="AI19" s="3017"/>
      <c r="AJ19" s="3017"/>
      <c r="AK19" s="2252"/>
    </row>
    <row r="20" spans="1:37" s="2199" customFormat="1" ht="27.75" thickBot="1">
      <c r="A20" s="2253" t="s">
        <v>810</v>
      </c>
      <c r="B20" s="2254" t="s">
        <v>2712</v>
      </c>
      <c r="C20" s="866" t="e">
        <f>ROUND(POWER(1+G20,J20-I20)*(POWER(1+G20,I20)-1)/(POWER(1+G20,J20)-1),4)</f>
        <v>#DIV/0!</v>
      </c>
      <c r="D20" s="2255" t="s">
        <v>2713</v>
      </c>
      <c r="E20" s="1503">
        <f ca="1">存贷款利率!D4/100</f>
        <v>3.85E-2</v>
      </c>
      <c r="F20" s="2255" t="s">
        <v>2705</v>
      </c>
      <c r="G20" s="871">
        <f>SUMIF(M26:P26,E2,M28:P28)</f>
        <v>0</v>
      </c>
      <c r="H20" s="2255" t="s">
        <v>2714</v>
      </c>
      <c r="I20" s="872" t="e">
        <f>SUMIF('数据-取费表'!C6:C15,E2,'数据-取费表'!F6:F15)/COUNTIF('数据-取费表'!C6:C15,E2)</f>
        <v>#DIV/0!</v>
      </c>
      <c r="J20" s="873">
        <f>IF(E2="住宅",70,IF(E2="商业",40,50))</f>
        <v>50</v>
      </c>
      <c r="K20" s="1285"/>
      <c r="L20" s="2256" t="s">
        <v>2715</v>
      </c>
      <c r="M20" s="1495">
        <f>ROUND(SUMPRODUCT((地价!A4:A33=YEAR(G19)&amp;"-"&amp;ROUNDUP(MONTH(G19)/3,0))*(地价!B2:F2=E2)*(地价!B4:F33)),0)</f>
        <v>0</v>
      </c>
      <c r="N20" s="2257" t="s">
        <v>2716</v>
      </c>
      <c r="O20" s="2258" t="s">
        <v>2717</v>
      </c>
      <c r="P20" s="2259" t="s">
        <v>2718</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9" customFormat="1" ht="15">
      <c r="A21" s="2260" t="s">
        <v>811</v>
      </c>
      <c r="B21" s="2261" t="s">
        <v>2719</v>
      </c>
      <c r="C21" s="874">
        <f>IF(B21="容积率修正",IF(G3&lt;=10,D22,J22),C23)</f>
        <v>0</v>
      </c>
      <c r="D21" s="2262"/>
      <c r="E21" s="2262"/>
      <c r="F21" s="2262"/>
      <c r="G21" s="2262"/>
      <c r="H21" s="2262"/>
      <c r="I21" s="2262"/>
      <c r="J21" s="2263"/>
      <c r="K21" s="1285"/>
      <c r="L21" s="3013"/>
      <c r="M21" s="3013"/>
      <c r="N21" s="2264" t="s">
        <v>2720</v>
      </c>
      <c r="O21" s="1333"/>
      <c r="P21" s="1334">
        <f>SUMPRODUCT((地价!A3:A33=YEAR(G19)&amp;"-"&amp;ROUNDUP(MONTH(G19)/3,0))*(地价!AD2:AH2=N21)*(地价!AD3:AH33))</f>
        <v>0</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9" customFormat="1" ht="14.25">
      <c r="A22" s="2138" t="s">
        <v>2721</v>
      </c>
      <c r="B22" s="2265" t="s">
        <v>2722</v>
      </c>
      <c r="C22" s="1534" t="s">
        <v>2723</v>
      </c>
      <c r="D22" s="1534">
        <f>IF(E22=G22,F22,IF(G3&lt;=10,ROUND(F22+(H22-F22)*(G3-E22)/(G22-E22),4),"——"))</f>
        <v>0</v>
      </c>
      <c r="E22" s="853">
        <f>ROUNDDOWN(G3,1)</f>
        <v>1.3</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3"/>
      <c r="M22" s="3013"/>
      <c r="N22" s="2264" t="s">
        <v>2724</v>
      </c>
      <c r="O22" s="1333"/>
      <c r="P22" s="1334">
        <f>SUMPRODUCT((地价!A3:A33=YEAR(G19)&amp;"-"&amp;ROUNDUP(MONTH(G19)/3,0))*(地价!AD2:AH2=N22)*(地价!AD3:AH33))</f>
        <v>0</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8" t="s">
        <v>2725</v>
      </c>
      <c r="B23" s="2266" t="s">
        <v>2726</v>
      </c>
      <c r="C23" s="948">
        <f>ROUND(IF(G3&gt;1,IF(I3&lt;7,SUMPRODUCT((B93:B98=I3)*(C92:N92=G2)*(C93:N98)),SUMIF(C92:N92,G2,C100:N100)),IF(I3&lt;7,SUMPRODUCT((B102:B107=I3)*(C92:N92=G2)*(C102:N107)),SUMIF(C92:N92,G2,C109:N109))),4)</f>
        <v>0</v>
      </c>
      <c r="D23" s="2234"/>
      <c r="E23" s="2234"/>
      <c r="F23" s="2267"/>
      <c r="G23" s="2268"/>
      <c r="H23" s="2269"/>
      <c r="I23" s="2270"/>
      <c r="J23" s="2271"/>
      <c r="K23" s="1278"/>
      <c r="L23" s="2180"/>
      <c r="M23" s="2180"/>
      <c r="N23" s="2264" t="s">
        <v>2727</v>
      </c>
      <c r="O23" s="1333"/>
      <c r="P23" s="1334">
        <f>SUMPRODUCT((地价!A3:A33=YEAR(G19)&amp;"-"&amp;ROUNDUP(MONTH(G19)/3,0))*(地价!AD2:AH2=N23)*(地价!AD3:AH33))</f>
        <v>0</v>
      </c>
      <c r="Q23" s="2180"/>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199" customFormat="1" ht="15.75" thickBot="1">
      <c r="A24" s="2253" t="s">
        <v>812</v>
      </c>
      <c r="B24" s="2244" t="s">
        <v>2728</v>
      </c>
      <c r="C24" s="861">
        <f>SUMIF(A45:A88,E2,B45:B88)</f>
        <v>0</v>
      </c>
      <c r="D24" s="2245"/>
      <c r="E24" s="2272"/>
      <c r="F24" s="2272"/>
      <c r="G24" s="2272"/>
      <c r="H24" s="2272"/>
      <c r="I24" s="2272"/>
      <c r="J24" s="2273"/>
      <c r="K24" s="1285"/>
      <c r="L24" s="3013"/>
      <c r="M24" s="3013"/>
      <c r="N24" s="2274" t="s">
        <v>2729</v>
      </c>
      <c r="O24" s="1335"/>
      <c r="P24" s="1336">
        <f>SUMPRODUCT((地价!A3:A33=YEAR(G19)&amp;"-"&amp;ROUNDUP(MONTH(G19)/3,0))*(地价!AD2:AH2=N24)*(地价!AD3:AH33))</f>
        <v>0</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3" t="s">
        <v>813</v>
      </c>
      <c r="B25" s="2275" t="s">
        <v>2730</v>
      </c>
      <c r="C25" s="867"/>
      <c r="D25" s="2209"/>
      <c r="E25" s="2209"/>
      <c r="F25" s="2276"/>
      <c r="G25" s="2209"/>
      <c r="H25" s="2209"/>
      <c r="I25" s="2209"/>
      <c r="J25" s="2210"/>
      <c r="K25" s="1278"/>
      <c r="L25" s="2180"/>
      <c r="M25" s="2180"/>
      <c r="N25" s="3008" t="s">
        <v>2731</v>
      </c>
      <c r="O25" s="3009"/>
      <c r="P25" s="3010">
        <f>SUMPRODUCT((地价!A3:A33=YEAR(G19)&amp;"-"&amp;ROUNDUP(MONTH(G19)/3,0))*(地价!AD2:AH2=N25)*(地价!AD3:AH33))</f>
        <v>0</v>
      </c>
      <c r="Q25" s="2180"/>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2732</v>
      </c>
      <c r="C26" s="2539" t="e">
        <f>IF(B21="容积率修正",E29+SUM(E33:E39),SUM(V2:V16)+SUM(E33:E39))</f>
        <v>#DIV/0!</v>
      </c>
      <c r="D26" s="2278"/>
      <c r="E26" s="2234"/>
      <c r="F26" s="2279"/>
      <c r="G26" s="2234"/>
      <c r="H26" s="2234"/>
      <c r="I26" s="2234"/>
      <c r="J26" s="2280"/>
      <c r="K26" s="1278"/>
      <c r="L26" s="3011" t="s">
        <v>2630</v>
      </c>
      <c r="M26" s="2207" t="s">
        <v>2695</v>
      </c>
      <c r="N26" s="2207" t="s">
        <v>2696</v>
      </c>
      <c r="O26" s="2207" t="s">
        <v>2697</v>
      </c>
      <c r="P26" s="3012" t="s">
        <v>2698</v>
      </c>
      <c r="Q26" s="2180"/>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2733</v>
      </c>
      <c r="C27" s="868" t="e">
        <f>E30+SUM(I33:I39)</f>
        <v>#DIV/0!</v>
      </c>
      <c r="D27" s="2282"/>
      <c r="E27" s="2283"/>
      <c r="F27" s="2284"/>
      <c r="G27" s="2283"/>
      <c r="H27" s="2283"/>
      <c r="I27" s="2283"/>
      <c r="J27" s="2285"/>
      <c r="K27" s="1278"/>
      <c r="L27" s="2240" t="s">
        <v>2702</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8"/>
      <c r="L28" s="2241" t="s">
        <v>2705</v>
      </c>
      <c r="M28" s="181">
        <f ca="1">ROUND($E$20*(1+M27),3)</f>
        <v>4.8000000000000001E-2</v>
      </c>
      <c r="N28" s="181">
        <f ca="1">ROUND($E$20*(1+N27),3)</f>
        <v>4.5999999999999999E-2</v>
      </c>
      <c r="O28" s="181">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2738</v>
      </c>
      <c r="C29" s="178" t="e">
        <f>ROUND(C5*C18*C19*C20*C21*C24,0)</f>
        <v>#DIV/0!</v>
      </c>
      <c r="D29" s="2293"/>
      <c r="E29" s="877" t="e">
        <f>ROUND(C29*D29/10000,0)</f>
        <v>#DIV/0!</v>
      </c>
      <c r="F29" s="2294" t="s">
        <v>2739</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0"/>
      <c r="AH29" s="2180"/>
      <c r="AI29" s="2180"/>
      <c r="AJ29" s="2180"/>
    </row>
    <row r="30" spans="1:37" ht="25.5" thickBot="1">
      <c r="A30" s="2297"/>
      <c r="B30" s="2298" t="s">
        <v>2740</v>
      </c>
      <c r="C30" s="191" t="e">
        <f>ROUND(IF(E2="工业",C29*M39,C29*M38),0)</f>
        <v>#DIV/0!</v>
      </c>
      <c r="D30" s="2299"/>
      <c r="E30" s="877" t="e">
        <f>ROUND(C30*D30/10000,0)</f>
        <v>#DIV/0!</v>
      </c>
      <c r="F30" s="2300" t="s">
        <v>2741</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0"/>
      <c r="AH30" s="2180"/>
      <c r="AI30" s="2180"/>
      <c r="AJ30" s="2180"/>
    </row>
    <row r="31" spans="1:37" ht="14.25">
      <c r="A31" s="2303"/>
      <c r="B31" s="2304" t="s">
        <v>2742</v>
      </c>
      <c r="C31" s="2305" t="s">
        <v>2743</v>
      </c>
      <c r="D31" s="2222"/>
      <c r="E31" s="2305"/>
      <c r="F31" s="2305"/>
      <c r="G31" s="2220" t="s">
        <v>2744</v>
      </c>
      <c r="H31" s="2222"/>
      <c r="I31" s="2306"/>
      <c r="J31" s="2223"/>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0"/>
      <c r="AH31" s="2180"/>
      <c r="AI31" s="2180"/>
      <c r="AJ31" s="2180"/>
    </row>
    <row r="32" spans="1:37" ht="24">
      <c r="A32" s="2291"/>
      <c r="B32" s="2307"/>
      <c r="C32" s="456" t="s">
        <v>2735</v>
      </c>
      <c r="D32" s="453" t="s">
        <v>2736</v>
      </c>
      <c r="E32" s="453" t="s">
        <v>2737</v>
      </c>
      <c r="F32" s="346" t="s">
        <v>2745</v>
      </c>
      <c r="G32" s="2308" t="s">
        <v>2735</v>
      </c>
      <c r="H32" s="2308" t="s">
        <v>2736</v>
      </c>
      <c r="I32" s="2308" t="s">
        <v>2737</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0"/>
      <c r="AH32" s="2180"/>
      <c r="AI32" s="2180"/>
      <c r="AJ32" s="2180"/>
    </row>
    <row r="33" spans="1:37" ht="36" customHeight="1">
      <c r="A33" s="3371"/>
      <c r="B33" s="2309" t="s">
        <v>2746</v>
      </c>
      <c r="C33" s="178" t="e">
        <f>ROUND(D5*C19*C20*C24*F33,0)</f>
        <v>#DIV/0!</v>
      </c>
      <c r="D33" s="2293"/>
      <c r="E33" s="174" t="e">
        <f>ROUND(C33*D33/10000,0)</f>
        <v>#DIV/0!</v>
      </c>
      <c r="F33" s="174">
        <f>SUMIF(修正!A45:A56,G2,修正!B45:B56)</f>
        <v>0</v>
      </c>
      <c r="G33" s="174" t="e">
        <f t="shared" ref="G33" si="6">ROUND(IF(E2="工业",C33*$M$39,C33*$M$38),0)</f>
        <v>#DIV/0!</v>
      </c>
      <c r="H33" s="174">
        <f>D33</f>
        <v>0</v>
      </c>
      <c r="I33" s="174" t="e">
        <f>ROUND(G33*H33/10000,0)</f>
        <v>#DIV/0!</v>
      </c>
      <c r="J33" s="3376" t="s">
        <v>3052</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372"/>
      <c r="B34" s="2226" t="s">
        <v>2747</v>
      </c>
      <c r="C34" s="178" t="e">
        <f>ROUND(D5*C19*C20*C24*F34,0)</f>
        <v>#DIV/0!</v>
      </c>
      <c r="D34" s="2293"/>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37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372"/>
      <c r="B35" s="2226" t="s">
        <v>2748</v>
      </c>
      <c r="C35" s="178" t="e">
        <f>ROUND(D5*C19*C20*C24*F35,0)</f>
        <v>#DIV/0!</v>
      </c>
      <c r="D35" s="2293"/>
      <c r="E35" s="174" t="e">
        <f t="shared" si="7"/>
        <v>#DIV/0!</v>
      </c>
      <c r="F35" s="174">
        <f>SUMIF(修正!A45:A56,G2,修正!D45:D56)</f>
        <v>0</v>
      </c>
      <c r="G35" s="174" t="e">
        <f>ROUND(IF(E2="工业",C35*$M$39,C35*$M$38),0)</f>
        <v>#DIV/0!</v>
      </c>
      <c r="H35" s="174">
        <f t="shared" si="8"/>
        <v>0</v>
      </c>
      <c r="I35" s="174" t="e">
        <f t="shared" si="9"/>
        <v>#DIV/0!</v>
      </c>
      <c r="J35" s="337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373"/>
      <c r="B36" s="2226" t="s">
        <v>2749</v>
      </c>
      <c r="C36" s="178" t="e">
        <f>ROUND(D5*C19*C20*C24*F36,0)</f>
        <v>#DIV/0!</v>
      </c>
      <c r="D36" s="2293"/>
      <c r="E36" s="174" t="e">
        <f t="shared" si="7"/>
        <v>#DIV/0!</v>
      </c>
      <c r="F36" s="174">
        <f>SUMIF(修正!A45:A56,G2,修正!E45:E56)</f>
        <v>0</v>
      </c>
      <c r="G36" s="174" t="e">
        <f>ROUND(IF(E2="工业",C36*$M$39,C36*$M$38),0)</f>
        <v>#DIV/0!</v>
      </c>
      <c r="H36" s="174">
        <f t="shared" si="8"/>
        <v>0</v>
      </c>
      <c r="I36" s="174" t="e">
        <f t="shared" si="9"/>
        <v>#DIV/0!</v>
      </c>
      <c r="J36" s="3373"/>
      <c r="K36" s="1278"/>
      <c r="L36" s="2180"/>
      <c r="M36" s="2180"/>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6" t="s">
        <v>2750</v>
      </c>
      <c r="C37" s="174" t="e">
        <f>ROUND(D5*C19*C20*C24*F37,0)</f>
        <v>#DIV/0!</v>
      </c>
      <c r="D37" s="2293"/>
      <c r="E37" s="174" t="e">
        <f t="shared" si="7"/>
        <v>#DIV/0!</v>
      </c>
      <c r="F37" s="178">
        <f>SUMIF(修正!A45:A56,G2,修正!F45:F56)</f>
        <v>0</v>
      </c>
      <c r="G37" s="174" t="e">
        <f>ROUND(IF(E2="工业",C37*$M$39,C37*$M$38),0)</f>
        <v>#DIV/0!</v>
      </c>
      <c r="H37" s="174">
        <f t="shared" si="8"/>
        <v>0</v>
      </c>
      <c r="I37" s="174" t="e">
        <f t="shared" si="9"/>
        <v>#DIV/0!</v>
      </c>
      <c r="J37" s="2310"/>
      <c r="K37" s="1278"/>
      <c r="L37" s="2312" t="s">
        <v>2751</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6" t="s">
        <v>2752</v>
      </c>
      <c r="C38" s="174" t="e">
        <f>ROUND(D5*C19*C41*C24*F38,0)</f>
        <v>#DIV/0!</v>
      </c>
      <c r="D38" s="2293"/>
      <c r="E38" s="174" t="e">
        <f t="shared" si="7"/>
        <v>#DIV/0!</v>
      </c>
      <c r="F38" s="178">
        <f>SUMIF(修正!A45:A56,G2,修正!G45:G56)</f>
        <v>0</v>
      </c>
      <c r="G38" s="174" t="e">
        <f>ROUND(IF(E2="工业",C38*$M$39,C38*$M$38),0)</f>
        <v>#DIV/0!</v>
      </c>
      <c r="H38" s="174">
        <f t="shared" si="8"/>
        <v>0</v>
      </c>
      <c r="I38" s="174" t="e">
        <f t="shared" si="9"/>
        <v>#DIV/0!</v>
      </c>
      <c r="J38" s="2310"/>
      <c r="K38" s="1278"/>
      <c r="L38" s="1603" t="s">
        <v>2753</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2754</v>
      </c>
      <c r="C39" s="191" t="e">
        <f>ROUND(D5*C19*C41*C24*F39,0)</f>
        <v>#DIV/0!</v>
      </c>
      <c r="D39" s="2299"/>
      <c r="E39" s="191" t="e">
        <f t="shared" si="7"/>
        <v>#DIV/0!</v>
      </c>
      <c r="F39" s="869">
        <f>SUMIF(修正!A45:A56,G2,修正!H45:H56)</f>
        <v>0</v>
      </c>
      <c r="G39" s="191" t="e">
        <f>ROUND(IF(E2="工业",C39*$M$39,C39*$M$38),0)</f>
        <v>#DIV/0!</v>
      </c>
      <c r="H39" s="191">
        <f t="shared" si="8"/>
        <v>0</v>
      </c>
      <c r="I39" s="191" t="e">
        <f t="shared" si="9"/>
        <v>#DIV/0!</v>
      </c>
      <c r="J39" s="2316"/>
      <c r="K39" s="1278"/>
      <c r="L39" s="2317" t="s">
        <v>2698</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2859</v>
      </c>
      <c r="C41" s="346" t="e">
        <f>ROUND(POWER(1+E41,H41-G41)*(POWER(1+E41,G41)-1)/(POWER(1+E41,H41)-1),4)</f>
        <v>#DIV/0!</v>
      </c>
      <c r="D41" s="174" t="s">
        <v>2705</v>
      </c>
      <c r="E41" s="2366">
        <f>G20</f>
        <v>0</v>
      </c>
      <c r="F41" s="174" t="s">
        <v>2714</v>
      </c>
      <c r="G41" s="187"/>
      <c r="H41" s="174">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2755</v>
      </c>
      <c r="B45" s="2321"/>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22" t="s">
        <v>2756</v>
      </c>
      <c r="B46" s="2323">
        <f>1+E48</f>
        <v>1</v>
      </c>
      <c r="C46" s="2324"/>
      <c r="D46" s="751"/>
      <c r="E46" s="752"/>
      <c r="F46" s="2325"/>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6" t="s">
        <v>2757</v>
      </c>
      <c r="B47" s="1533" t="s">
        <v>2758</v>
      </c>
      <c r="C47" s="1533" t="s">
        <v>2759</v>
      </c>
      <c r="D47" s="1533" t="s">
        <v>2760</v>
      </c>
      <c r="E47" s="756" t="s">
        <v>2761</v>
      </c>
      <c r="F47" s="2327" t="s">
        <v>2762</v>
      </c>
      <c r="G47" s="1533" t="s">
        <v>754</v>
      </c>
      <c r="H47" s="2328" t="s">
        <v>2763</v>
      </c>
      <c r="I47" s="1533" t="s">
        <v>2764</v>
      </c>
      <c r="J47" s="558" t="s">
        <v>2415</v>
      </c>
      <c r="K47" s="558" t="s">
        <v>2416</v>
      </c>
      <c r="L47" s="558" t="s">
        <v>2417</v>
      </c>
      <c r="M47" s="558" t="s">
        <v>2418</v>
      </c>
      <c r="N47" s="558" t="s">
        <v>2419</v>
      </c>
      <c r="AA47" s="1279"/>
      <c r="AB47" s="1279"/>
      <c r="AC47" s="1279"/>
      <c r="AD47" s="1279"/>
      <c r="AE47" s="1279"/>
      <c r="AF47" s="1279"/>
      <c r="AG47" s="1279"/>
      <c r="AH47" s="1279"/>
      <c r="AI47" s="1279"/>
      <c r="AJ47" s="1279"/>
      <c r="AK47" s="1279"/>
    </row>
    <row r="48" spans="1:37" s="1278" customFormat="1" ht="38.25">
      <c r="A48" s="2326" t="s">
        <v>2765</v>
      </c>
      <c r="B48" s="2329" t="str">
        <f>估价对象房地状况!C4</f>
        <v>估价对象位于XX商圈，周边商业氛围成熟，人流量大，商业繁华度好</v>
      </c>
      <c r="C48" s="2231"/>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6" t="s">
        <v>2766</v>
      </c>
      <c r="B49" s="2330" t="str">
        <f>估价对象房地状况!C18</f>
        <v>估价对象周边道路状况、公共交通通达情况、停车便捷程度，综合评价交通便捷度较好</v>
      </c>
      <c r="C49" s="2231"/>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6" t="s">
        <v>2767</v>
      </c>
      <c r="B50" s="2330">
        <f>估价对象房地状况!C19</f>
        <v>0</v>
      </c>
      <c r="C50" s="2231"/>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6" t="s">
        <v>2768</v>
      </c>
      <c r="B51" s="2331" t="s">
        <v>2769</v>
      </c>
      <c r="C51" s="2231"/>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6" t="s">
        <v>2770</v>
      </c>
      <c r="B52" s="2330">
        <f>估价对象房地状况!C24</f>
        <v>0</v>
      </c>
      <c r="C52" s="2231"/>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6" t="s">
        <v>2771</v>
      </c>
      <c r="B53" s="2332" t="s">
        <v>2772</v>
      </c>
      <c r="C53" s="2231"/>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3" t="s">
        <v>2773</v>
      </c>
      <c r="B54" s="1492" t="str">
        <f>估价对象房地状况!C21</f>
        <v>估价对象所在区域公共配套设施齐备情况</v>
      </c>
      <c r="C54" s="2231"/>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3" t="s">
        <v>2774</v>
      </c>
      <c r="B55" s="2330" t="str">
        <f>估价对象房地状况!C22</f>
        <v>估价对象所在区域基础设施水平</v>
      </c>
      <c r="C55" s="2231"/>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4" t="s">
        <v>2775</v>
      </c>
      <c r="B56" s="2335" t="str">
        <f>估价对象房地状况!C20</f>
        <v>区域自然环境：；人文环境；综合评价环境状况一般</v>
      </c>
      <c r="C56" s="2231"/>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2" t="s">
        <v>2776</v>
      </c>
      <c r="B57" s="2323">
        <f>1+E59</f>
        <v>1</v>
      </c>
      <c r="C57" s="751"/>
      <c r="D57" s="751"/>
      <c r="E57" s="752"/>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2757</v>
      </c>
      <c r="B58" s="1533"/>
      <c r="C58" s="1533" t="s">
        <v>2759</v>
      </c>
      <c r="D58" s="1533" t="s">
        <v>2760</v>
      </c>
      <c r="E58" s="756" t="s">
        <v>2761</v>
      </c>
      <c r="F58" s="2327" t="s">
        <v>2777</v>
      </c>
      <c r="G58" s="1533" t="s">
        <v>754</v>
      </c>
      <c r="H58" s="2328" t="s">
        <v>2763</v>
      </c>
      <c r="I58" s="1533" t="s">
        <v>2764</v>
      </c>
      <c r="J58" s="558" t="s">
        <v>2415</v>
      </c>
      <c r="K58" s="558" t="s">
        <v>2416</v>
      </c>
      <c r="L58" s="558" t="s">
        <v>2417</v>
      </c>
      <c r="M58" s="558" t="s">
        <v>2418</v>
      </c>
      <c r="N58" s="558" t="s">
        <v>2419</v>
      </c>
      <c r="AA58" s="1279"/>
      <c r="AB58" s="1279"/>
      <c r="AC58" s="1279"/>
      <c r="AD58" s="1279"/>
      <c r="AE58" s="1279"/>
      <c r="AF58" s="1279"/>
      <c r="AG58" s="1279"/>
      <c r="AH58" s="1279"/>
      <c r="AI58" s="1279"/>
      <c r="AJ58" s="1279"/>
      <c r="AK58" s="1279"/>
    </row>
    <row r="59" spans="1:37" s="1278" customFormat="1" ht="38.25">
      <c r="A59" s="2326" t="s">
        <v>2778</v>
      </c>
      <c r="B59" s="2329" t="str">
        <f>估价对象房地状况!C17</f>
        <v>估价对象位于XX商圈，周边办公楼项目较多，入驻率高，办公集聚程度较好</v>
      </c>
      <c r="C59" s="2231"/>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6" t="s">
        <v>2766</v>
      </c>
      <c r="B60" s="2330" t="str">
        <f>估价对象房地状况!C18</f>
        <v>估价对象周边道路状况、公共交通通达情况、停车便捷程度，综合评价交通便捷度较好</v>
      </c>
      <c r="C60" s="2231"/>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6" t="s">
        <v>2767</v>
      </c>
      <c r="B61" s="2330">
        <f>估价对象房地状况!C19</f>
        <v>0</v>
      </c>
      <c r="C61" s="2231"/>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6" t="s">
        <v>2768</v>
      </c>
      <c r="B62" s="2331" t="s">
        <v>2769</v>
      </c>
      <c r="C62" s="2231"/>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6" t="s">
        <v>2770</v>
      </c>
      <c r="B63" s="2330">
        <f>估价对象房地状况!C24</f>
        <v>0</v>
      </c>
      <c r="C63" s="2231"/>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6" t="s">
        <v>2771</v>
      </c>
      <c r="B64" s="2332" t="s">
        <v>2772</v>
      </c>
      <c r="C64" s="2231"/>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6" t="s">
        <v>2773</v>
      </c>
      <c r="B65" s="1492" t="str">
        <f>估价对象房地状况!C21</f>
        <v>估价对象所在区域公共配套设施齐备情况</v>
      </c>
      <c r="C65" s="2231"/>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6" t="s">
        <v>2774</v>
      </c>
      <c r="B66" s="1492" t="str">
        <f>估价对象房地状况!C22</f>
        <v>估价对象所在区域基础设施水平</v>
      </c>
      <c r="C66" s="2231"/>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4" t="s">
        <v>2775</v>
      </c>
      <c r="B67" s="2336" t="str">
        <f>估价对象房地状况!C20</f>
        <v>区域自然环境：；人文环境；综合评价环境状况一般</v>
      </c>
      <c r="C67" s="2231"/>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2" t="s">
        <v>2779</v>
      </c>
      <c r="B68" s="2323">
        <f>1+E70</f>
        <v>1</v>
      </c>
      <c r="C68" s="751"/>
      <c r="D68" s="751"/>
      <c r="E68" s="752"/>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2757</v>
      </c>
      <c r="B69" s="1533"/>
      <c r="C69" s="1533" t="s">
        <v>2759</v>
      </c>
      <c r="D69" s="1533" t="s">
        <v>2760</v>
      </c>
      <c r="E69" s="756" t="s">
        <v>2761</v>
      </c>
      <c r="F69" s="2327" t="s">
        <v>2777</v>
      </c>
      <c r="G69" s="1533" t="s">
        <v>754</v>
      </c>
      <c r="H69" s="2328" t="s">
        <v>2763</v>
      </c>
      <c r="I69" s="1533" t="s">
        <v>2764</v>
      </c>
      <c r="J69" s="558" t="s">
        <v>2415</v>
      </c>
      <c r="K69" s="558" t="s">
        <v>2416</v>
      </c>
      <c r="L69" s="558" t="s">
        <v>2417</v>
      </c>
      <c r="M69" s="558" t="s">
        <v>2418</v>
      </c>
      <c r="N69" s="558" t="s">
        <v>2419</v>
      </c>
      <c r="AA69" s="1279"/>
      <c r="AB69" s="1279"/>
      <c r="AC69" s="1279"/>
      <c r="AD69" s="1279"/>
      <c r="AE69" s="1279"/>
      <c r="AF69" s="1279"/>
      <c r="AG69" s="1279"/>
      <c r="AH69" s="1279"/>
      <c r="AI69" s="1279"/>
      <c r="AJ69" s="1279"/>
      <c r="AK69" s="1279"/>
    </row>
    <row r="70" spans="1:37" s="1278" customFormat="1" ht="51">
      <c r="A70" s="2326" t="s">
        <v>2780</v>
      </c>
      <c r="B70" s="2329" t="str">
        <f>估价对象房地状况!C15</f>
        <v>估价对象周边居住用地比例、居住小区规模和社区发展完善程度，综合评价居住社区成熟度一般</v>
      </c>
      <c r="C70" s="2231"/>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6" t="s">
        <v>2766</v>
      </c>
      <c r="B71" s="2330" t="str">
        <f>估价对象房地状况!C18</f>
        <v>估价对象周边道路状况、公共交通通达情况、停车便捷程度，综合评价交通便捷度较好</v>
      </c>
      <c r="C71" s="2231"/>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6" t="s">
        <v>2767</v>
      </c>
      <c r="B72" s="2330">
        <f>估价对象房地状况!C19</f>
        <v>0</v>
      </c>
      <c r="C72" s="2231"/>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6" t="s">
        <v>2781</v>
      </c>
      <c r="B73" s="2330">
        <f>估价对象房地状况!C24</f>
        <v>0</v>
      </c>
      <c r="C73" s="2231"/>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6" t="s">
        <v>2773</v>
      </c>
      <c r="B74" s="1492" t="str">
        <f>估价对象房地状况!C21</f>
        <v>估价对象所在区域公共配套设施齐备情况</v>
      </c>
      <c r="C74" s="2231"/>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6" t="s">
        <v>2774</v>
      </c>
      <c r="B75" s="1492" t="str">
        <f>估价对象房地状况!C22</f>
        <v>估价对象所在区域基础设施水平</v>
      </c>
      <c r="C75" s="2231"/>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0" customFormat="1" ht="24">
      <c r="A76" s="2326" t="s">
        <v>2771</v>
      </c>
      <c r="B76" s="2332" t="s">
        <v>2772</v>
      </c>
      <c r="C76" s="2231"/>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7"/>
      <c r="AB76" s="1279"/>
      <c r="AC76" s="1279"/>
      <c r="AD76" s="1279"/>
      <c r="AE76" s="1279"/>
      <c r="AF76" s="1279"/>
      <c r="AG76" s="1279"/>
      <c r="AH76" s="2337"/>
      <c r="AI76" s="2337"/>
      <c r="AJ76" s="2337"/>
      <c r="AK76" s="2337"/>
    </row>
    <row r="77" spans="1:37" ht="38.25">
      <c r="A77" s="2326" t="s">
        <v>2775</v>
      </c>
      <c r="B77" s="2329" t="str">
        <f>估价对象房地状况!C20</f>
        <v>区域自然环境：；人文环境；综合评价环境状况一般</v>
      </c>
      <c r="C77" s="2231"/>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81"/>
      <c r="AA77" s="2247"/>
      <c r="AG77" s="1280"/>
      <c r="AK77" s="2247"/>
    </row>
    <row r="78" spans="1:37" ht="24.75" thickBot="1">
      <c r="A78" s="2334" t="s">
        <v>2782</v>
      </c>
      <c r="B78" s="2338"/>
      <c r="C78" s="2231"/>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81"/>
      <c r="AA78" s="2247"/>
      <c r="AG78" s="1280"/>
      <c r="AK78" s="2247"/>
    </row>
    <row r="79" spans="1:37" ht="15">
      <c r="A79" s="2322" t="s">
        <v>2783</v>
      </c>
      <c r="B79" s="2323">
        <f>1+E81</f>
        <v>1</v>
      </c>
      <c r="C79" s="751"/>
      <c r="D79" s="751"/>
      <c r="E79" s="752"/>
      <c r="F79" s="2325"/>
      <c r="G79" s="6"/>
      <c r="H79" s="6"/>
      <c r="I79" s="6"/>
      <c r="J79" s="7"/>
      <c r="K79" s="7"/>
      <c r="L79" s="7"/>
      <c r="M79" s="7"/>
      <c r="N79" s="7"/>
      <c r="Z79" s="2181"/>
      <c r="AA79" s="2247"/>
      <c r="AG79" s="1280"/>
      <c r="AK79" s="2247"/>
    </row>
    <row r="80" spans="1:37" ht="24.75">
      <c r="A80" s="2326" t="s">
        <v>2757</v>
      </c>
      <c r="B80" s="1533"/>
      <c r="C80" s="1533" t="s">
        <v>2759</v>
      </c>
      <c r="D80" s="1533" t="s">
        <v>2760</v>
      </c>
      <c r="E80" s="756" t="s">
        <v>2761</v>
      </c>
      <c r="F80" s="2327" t="s">
        <v>2777</v>
      </c>
      <c r="G80" s="1533" t="s">
        <v>754</v>
      </c>
      <c r="H80" s="2328" t="s">
        <v>2763</v>
      </c>
      <c r="I80" s="1533" t="s">
        <v>2764</v>
      </c>
      <c r="J80" s="558" t="s">
        <v>2415</v>
      </c>
      <c r="K80" s="558" t="s">
        <v>2416</v>
      </c>
      <c r="L80" s="558" t="s">
        <v>2417</v>
      </c>
      <c r="M80" s="558" t="s">
        <v>2418</v>
      </c>
      <c r="N80" s="558" t="s">
        <v>2419</v>
      </c>
      <c r="Z80" s="2181"/>
      <c r="AA80" s="2247"/>
      <c r="AG80" s="1280"/>
      <c r="AK80" s="2247"/>
    </row>
    <row r="81" spans="1:37" ht="38.25">
      <c r="A81" s="2326" t="s">
        <v>2784</v>
      </c>
      <c r="B81" s="2330" t="str">
        <f>估价对象房地状况!G15</f>
        <v>估价对象位于XX开发区，园区建设成熟度XX，产业集聚程度XX</v>
      </c>
      <c r="C81" s="2231"/>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1"/>
      <c r="AA81" s="2247"/>
      <c r="AG81" s="1280"/>
      <c r="AK81" s="2247"/>
    </row>
    <row r="82" spans="1:37" ht="51">
      <c r="A82" s="2326" t="s">
        <v>2766</v>
      </c>
      <c r="B82" s="2330" t="str">
        <f>估价对象房地状况!G16</f>
        <v>估价对象周边道路状况、公共交通通达情况、停车便捷程度，综合评价交通便捷度较好</v>
      </c>
      <c r="C82" s="2231"/>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81"/>
      <c r="AA82" s="2247"/>
      <c r="AG82" s="1280"/>
      <c r="AK82" s="2247"/>
    </row>
    <row r="83" spans="1:37" ht="24">
      <c r="A83" s="2326" t="s">
        <v>2767</v>
      </c>
      <c r="B83" s="2330">
        <f>估价对象房地状况!G17</f>
        <v>0</v>
      </c>
      <c r="C83" s="2231"/>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81"/>
      <c r="AA83" s="2247"/>
      <c r="AG83" s="1280"/>
      <c r="AK83" s="2247"/>
    </row>
    <row r="84" spans="1:37" ht="14.25">
      <c r="A84" s="2326" t="s">
        <v>2781</v>
      </c>
      <c r="B84" s="2330">
        <f>估价对象房地状况!G22</f>
        <v>0</v>
      </c>
      <c r="C84" s="2231"/>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81"/>
      <c r="AA84" s="2247"/>
      <c r="AG84" s="1280"/>
      <c r="AK84" s="2247"/>
    </row>
    <row r="85" spans="1:37" ht="25.5">
      <c r="A85" s="2326" t="s">
        <v>2773</v>
      </c>
      <c r="B85" s="1492" t="str">
        <f>估价对象房地状况!G19</f>
        <v>估价对象所在区域公共配套设施齐备情况</v>
      </c>
      <c r="C85" s="2231"/>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81"/>
      <c r="AA85" s="2247"/>
      <c r="AG85" s="1280"/>
      <c r="AK85" s="2247"/>
    </row>
    <row r="86" spans="1:37" ht="25.5">
      <c r="A86" s="2326" t="s">
        <v>2774</v>
      </c>
      <c r="B86" s="1492" t="str">
        <f>估价对象房地状况!G20</f>
        <v>估价对象所在区域基础设施水平</v>
      </c>
      <c r="C86" s="2231"/>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81"/>
      <c r="AA86" s="2247"/>
      <c r="AG86" s="1280"/>
      <c r="AK86" s="2247"/>
    </row>
    <row r="87" spans="1:37" ht="24">
      <c r="A87" s="2326" t="s">
        <v>2771</v>
      </c>
      <c r="B87" s="2332" t="s">
        <v>2785</v>
      </c>
      <c r="C87" s="2231"/>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81"/>
      <c r="AA87" s="2247"/>
      <c r="AG87" s="1280"/>
      <c r="AK87" s="2247"/>
    </row>
    <row r="88" spans="1:37" ht="39" thickBot="1">
      <c r="A88" s="2334" t="s">
        <v>2786</v>
      </c>
      <c r="B88" s="2339" t="str">
        <f>估价对象房地状况!G18</f>
        <v>该园区内是否有污染型企业，绿化情况，卫生条件，整体环境状况判断</v>
      </c>
      <c r="C88" s="2231"/>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81"/>
      <c r="AA88" s="2247"/>
      <c r="AG88" s="1280"/>
      <c r="AK88" s="2247"/>
    </row>
    <row r="90" spans="1:37">
      <c r="A90" s="3363" t="s">
        <v>2787</v>
      </c>
      <c r="B90" s="3363"/>
      <c r="C90" s="3363"/>
      <c r="D90" s="3363"/>
      <c r="E90" s="3363"/>
      <c r="F90" s="3363"/>
      <c r="G90" s="3363"/>
      <c r="H90" s="3363"/>
      <c r="I90" s="3363"/>
      <c r="J90" s="3363"/>
      <c r="K90" s="2340"/>
      <c r="L90" s="2340"/>
      <c r="M90" s="2340"/>
      <c r="N90" s="2340"/>
    </row>
    <row r="91" spans="1:37">
      <c r="A91" s="3365" t="s">
        <v>2788</v>
      </c>
      <c r="B91" s="3365" t="s">
        <v>2789</v>
      </c>
      <c r="C91" s="2294" t="s">
        <v>2790</v>
      </c>
      <c r="D91" s="2295"/>
      <c r="E91" s="2295"/>
      <c r="F91" s="2295"/>
      <c r="G91" s="2295"/>
      <c r="H91" s="2295"/>
      <c r="I91" s="2295"/>
      <c r="J91" s="2341"/>
      <c r="K91" s="2342"/>
      <c r="L91" s="2342"/>
      <c r="M91" s="2342"/>
      <c r="N91" s="2342"/>
    </row>
    <row r="92" spans="1:37">
      <c r="A92" s="3365"/>
      <c r="B92" s="3365"/>
      <c r="C92" s="877" t="s">
        <v>2657</v>
      </c>
      <c r="D92" s="877" t="s">
        <v>2658</v>
      </c>
      <c r="E92" s="877" t="s">
        <v>2659</v>
      </c>
      <c r="F92" s="877" t="s">
        <v>2660</v>
      </c>
      <c r="G92" s="877" t="s">
        <v>2661</v>
      </c>
      <c r="H92" s="877" t="s">
        <v>2662</v>
      </c>
      <c r="I92" s="877" t="s">
        <v>2663</v>
      </c>
      <c r="J92" s="877" t="s">
        <v>2664</v>
      </c>
      <c r="K92" s="877" t="s">
        <v>2665</v>
      </c>
      <c r="L92" s="877" t="s">
        <v>2666</v>
      </c>
      <c r="M92" s="877" t="s">
        <v>2667</v>
      </c>
      <c r="N92" s="877" t="s">
        <v>2668</v>
      </c>
    </row>
    <row r="93" spans="1:37">
      <c r="A93" s="3366"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67"/>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67"/>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67"/>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67"/>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67"/>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67"/>
      <c r="B99" s="2343" t="s">
        <v>2673</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68"/>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66" t="s">
        <v>2792</v>
      </c>
      <c r="B101" s="2347" t="s">
        <v>2793</v>
      </c>
      <c r="C101" s="2348">
        <f>$G$3</f>
        <v>1.31</v>
      </c>
      <c r="D101" s="2348">
        <f t="shared" ref="D101:N101" si="31">$G$3</f>
        <v>1.31</v>
      </c>
      <c r="E101" s="2348">
        <f t="shared" si="31"/>
        <v>1.31</v>
      </c>
      <c r="F101" s="2348">
        <f t="shared" si="31"/>
        <v>1.31</v>
      </c>
      <c r="G101" s="2348">
        <f t="shared" si="31"/>
        <v>1.31</v>
      </c>
      <c r="H101" s="2348">
        <f t="shared" si="31"/>
        <v>1.31</v>
      </c>
      <c r="I101" s="2348">
        <f t="shared" si="31"/>
        <v>1.31</v>
      </c>
      <c r="J101" s="2348">
        <f t="shared" si="31"/>
        <v>1.31</v>
      </c>
      <c r="K101" s="2348">
        <f t="shared" si="31"/>
        <v>1.31</v>
      </c>
      <c r="L101" s="2348">
        <f t="shared" si="31"/>
        <v>1.31</v>
      </c>
      <c r="M101" s="2348">
        <f t="shared" si="31"/>
        <v>1.31</v>
      </c>
      <c r="N101" s="2348">
        <f t="shared" si="31"/>
        <v>1.31</v>
      </c>
    </row>
    <row r="102" spans="1:14">
      <c r="A102" s="3367"/>
      <c r="B102" s="2343">
        <v>1</v>
      </c>
      <c r="C102" s="2344">
        <f>1.9362/C101</f>
        <v>1.4780152671755724</v>
      </c>
      <c r="D102" s="2344">
        <f>1.9362/D101</f>
        <v>1.4780152671755724</v>
      </c>
      <c r="E102" s="2344">
        <f>1.8629/E101</f>
        <v>1.4220610687022901</v>
      </c>
      <c r="F102" s="2344">
        <f>1.8629/F101</f>
        <v>1.4220610687022901</v>
      </c>
      <c r="G102" s="2344">
        <f>1.8629/G101</f>
        <v>1.4220610687022901</v>
      </c>
      <c r="H102" s="2344">
        <f>1.8629/H101</f>
        <v>1.4220610687022901</v>
      </c>
      <c r="I102" s="2344">
        <f>1.8629/I101</f>
        <v>1.4220610687022901</v>
      </c>
      <c r="J102" s="2344">
        <f>1.942/J101</f>
        <v>1.4824427480916029</v>
      </c>
      <c r="K102" s="2344">
        <f>1.942/K101</f>
        <v>1.4824427480916029</v>
      </c>
      <c r="L102" s="2344">
        <f>1.942/L101</f>
        <v>1.4824427480916029</v>
      </c>
      <c r="M102" s="2344">
        <f>1.942/M101</f>
        <v>1.4824427480916029</v>
      </c>
      <c r="N102" s="2344">
        <f>1.942/N101</f>
        <v>1.4824427480916029</v>
      </c>
    </row>
    <row r="103" spans="1:14">
      <c r="A103" s="3367"/>
      <c r="B103" s="2343">
        <v>2</v>
      </c>
      <c r="C103" s="2344">
        <f>1.4198/C101</f>
        <v>1.0838167938931298</v>
      </c>
      <c r="D103" s="2344">
        <f>1.4198/D101</f>
        <v>1.0838167938931298</v>
      </c>
      <c r="E103" s="2344">
        <f>1.3372/E101</f>
        <v>1.0207633587786258</v>
      </c>
      <c r="F103" s="2344">
        <f>1.3372/F101</f>
        <v>1.0207633587786258</v>
      </c>
      <c r="G103" s="2344">
        <f>1.3372/G101</f>
        <v>1.0207633587786258</v>
      </c>
      <c r="H103" s="2344">
        <f>1.3372/H101</f>
        <v>1.0207633587786258</v>
      </c>
      <c r="I103" s="2344">
        <f>1.3372/I101</f>
        <v>1.0207633587786258</v>
      </c>
      <c r="J103" s="2344">
        <f>1.2799/J101</f>
        <v>0.97702290076335874</v>
      </c>
      <c r="K103" s="2344">
        <f>1.2799/K101</f>
        <v>0.97702290076335874</v>
      </c>
      <c r="L103" s="2344">
        <f>1.2799/L101</f>
        <v>0.97702290076335874</v>
      </c>
      <c r="M103" s="2344">
        <f>1.2799/M101</f>
        <v>0.97702290076335874</v>
      </c>
      <c r="N103" s="2344">
        <f>1.2799/N101</f>
        <v>0.97702290076335874</v>
      </c>
    </row>
    <row r="104" spans="1:14">
      <c r="A104" s="3367"/>
      <c r="B104" s="2343">
        <v>3</v>
      </c>
      <c r="C104" s="2344">
        <f>1.1594/C101</f>
        <v>0.8850381679389312</v>
      </c>
      <c r="D104" s="2344">
        <f>1.1594/D101</f>
        <v>0.8850381679389312</v>
      </c>
      <c r="E104" s="2344">
        <f>1.0788/E101</f>
        <v>0.82351145038167939</v>
      </c>
      <c r="F104" s="2344">
        <f>1.0788/F101</f>
        <v>0.82351145038167939</v>
      </c>
      <c r="G104" s="2344">
        <f>1.0788/G101</f>
        <v>0.82351145038167939</v>
      </c>
      <c r="H104" s="2344">
        <f>1.0788/H101</f>
        <v>0.82351145038167939</v>
      </c>
      <c r="I104" s="2344">
        <f>1.0788/I101</f>
        <v>0.82351145038167939</v>
      </c>
      <c r="J104" s="2344">
        <f>1.0072/J101</f>
        <v>0.76885496183206115</v>
      </c>
      <c r="K104" s="2344">
        <f>1.0072/K101</f>
        <v>0.76885496183206115</v>
      </c>
      <c r="L104" s="2344">
        <f>1.0072/L101</f>
        <v>0.76885496183206115</v>
      </c>
      <c r="M104" s="2344">
        <f>1.0072/M101</f>
        <v>0.76885496183206115</v>
      </c>
      <c r="N104" s="2344">
        <f>1.0072/N101</f>
        <v>0.76885496183206115</v>
      </c>
    </row>
    <row r="105" spans="1:14">
      <c r="A105" s="3367"/>
      <c r="B105" s="2343">
        <v>4</v>
      </c>
      <c r="C105" s="2344">
        <f>0.9622/C101</f>
        <v>0.73450381679389309</v>
      </c>
      <c r="D105" s="2344">
        <f>0.9622/D101</f>
        <v>0.73450381679389309</v>
      </c>
      <c r="E105" s="2344">
        <f>0.8656/E101</f>
        <v>0.66076335877862591</v>
      </c>
      <c r="F105" s="2344">
        <f>0.8656/F101</f>
        <v>0.66076335877862591</v>
      </c>
      <c r="G105" s="2344">
        <f>0.8656/G101</f>
        <v>0.66076335877862591</v>
      </c>
      <c r="H105" s="2344">
        <f>0.8656/H101</f>
        <v>0.66076335877862591</v>
      </c>
      <c r="I105" s="2344">
        <f>0.8656/I101</f>
        <v>0.66076335877862591</v>
      </c>
      <c r="J105" s="2344">
        <f>0.7525/J101</f>
        <v>0.57442748091603046</v>
      </c>
      <c r="K105" s="2344">
        <f>0.7525/K101</f>
        <v>0.57442748091603046</v>
      </c>
      <c r="L105" s="2344">
        <f>0.7525/L101</f>
        <v>0.57442748091603046</v>
      </c>
      <c r="M105" s="2344">
        <f>0.7525/M101</f>
        <v>0.57442748091603046</v>
      </c>
      <c r="N105" s="2344">
        <f>0.7525/N101</f>
        <v>0.57442748091603046</v>
      </c>
    </row>
    <row r="106" spans="1:14">
      <c r="A106" s="3367"/>
      <c r="B106" s="2343">
        <v>5</v>
      </c>
      <c r="C106" s="2344">
        <f>0.8417/C101</f>
        <v>0.64251908396946567</v>
      </c>
      <c r="D106" s="2344">
        <f>0.8417/D101</f>
        <v>0.64251908396946567</v>
      </c>
      <c r="E106" s="2344">
        <f>0.7371/E101</f>
        <v>0.56267175572519079</v>
      </c>
      <c r="F106" s="2344">
        <f>0.7371/F101</f>
        <v>0.56267175572519079</v>
      </c>
      <c r="G106" s="2344">
        <f>0.7371/G101</f>
        <v>0.56267175572519079</v>
      </c>
      <c r="H106" s="2344">
        <f>0.7371/H101</f>
        <v>0.56267175572519079</v>
      </c>
      <c r="I106" s="2344">
        <f>0.7371/I101</f>
        <v>0.56267175572519079</v>
      </c>
      <c r="J106" s="2344">
        <f>0.5659/J101</f>
        <v>0.43198473282442745</v>
      </c>
      <c r="K106" s="2344">
        <f>0.5659/K101</f>
        <v>0.43198473282442745</v>
      </c>
      <c r="L106" s="2344">
        <f>0.5659/L101</f>
        <v>0.43198473282442745</v>
      </c>
      <c r="M106" s="2344">
        <f>0.5659/M101</f>
        <v>0.43198473282442745</v>
      </c>
      <c r="N106" s="2344">
        <f>0.5659/N101</f>
        <v>0.43198473282442745</v>
      </c>
    </row>
    <row r="107" spans="1:14">
      <c r="A107" s="3367"/>
      <c r="B107" s="2343">
        <v>6</v>
      </c>
      <c r="C107" s="2344">
        <f>0.7608/C101</f>
        <v>0.58076335877862595</v>
      </c>
      <c r="D107" s="2344">
        <f>0.7608/D101</f>
        <v>0.58076335877862595</v>
      </c>
      <c r="E107" s="2344">
        <f>0.6482/E101</f>
        <v>0.4948091603053435</v>
      </c>
      <c r="F107" s="2344">
        <f>0.6482/F101</f>
        <v>0.4948091603053435</v>
      </c>
      <c r="G107" s="2344">
        <f>0.6482/G101</f>
        <v>0.4948091603053435</v>
      </c>
      <c r="H107" s="2344">
        <f>0.6482/H101</f>
        <v>0.4948091603053435</v>
      </c>
      <c r="I107" s="2344">
        <f>0.6482/I101</f>
        <v>0.4948091603053435</v>
      </c>
      <c r="J107" s="2344">
        <f>0.4525/J101</f>
        <v>0.34541984732824427</v>
      </c>
      <c r="K107" s="2344">
        <f>0.4525/K101</f>
        <v>0.34541984732824427</v>
      </c>
      <c r="L107" s="2344">
        <f>0.4525/L101</f>
        <v>0.34541984732824427</v>
      </c>
      <c r="M107" s="2344">
        <f>0.4525/M101</f>
        <v>0.34541984732824427</v>
      </c>
      <c r="N107" s="2344">
        <f>0.4525/N101</f>
        <v>0.34541984732824427</v>
      </c>
    </row>
    <row r="108" spans="1:14">
      <c r="A108" s="3367"/>
      <c r="B108" s="3369" t="s">
        <v>2794</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68"/>
      <c r="B109" s="3370"/>
      <c r="C109" s="2346">
        <f>(-0.163*(C108^2)-0.59*C108+7617)*(10^(-4))/C101</f>
        <v>0.58145038167938934</v>
      </c>
      <c r="D109" s="2346">
        <f>(-0.163*(D108^2)-0.59*D108+7617)*(10^(-4))/D101</f>
        <v>0.58145038167938934</v>
      </c>
      <c r="E109" s="2346">
        <f>(-0.161*(E108^2)-7.509*E108+6533)*(10^(-4))/E101</f>
        <v>0.49870229007633587</v>
      </c>
      <c r="F109" s="2346">
        <f>(-0.161*(F108^2)-7.509*F108+6533)*(10^(-4))/F101</f>
        <v>0.49870229007633587</v>
      </c>
      <c r="G109" s="2346">
        <f>(-0.161*(G108^2)-7.509*G108+6533)*(10^(-4))/G101</f>
        <v>0.49870229007633587</v>
      </c>
      <c r="H109" s="2346">
        <f>(-0.161*(H108^2)-7.509*H108+6533)*(10^(-4))/H101</f>
        <v>0.49870229007633587</v>
      </c>
      <c r="I109" s="2346">
        <f>(-0.161*(I108^2)-7.509*I108+6533)*(10^(-4))/I101</f>
        <v>0.49870229007633587</v>
      </c>
      <c r="J109" s="2346">
        <f>(-0.214*(J108^2)-21.991*J108+4665)*(10^(-4))/J101</f>
        <v>0.35610687022900767</v>
      </c>
      <c r="K109" s="2346">
        <f>(-0.214*(K108^2)-21.991*K108+4665)*(10^(-4))/K101</f>
        <v>0.35610687022900767</v>
      </c>
      <c r="L109" s="2346">
        <f>(-0.214*(L108^2)-21.991*L108+4665)*(10^(-4))/L101</f>
        <v>0.35610687022900767</v>
      </c>
      <c r="M109" s="2346">
        <f>(-0.214*(M108^2)-21.991*M108+4665)*(10^(-4))/M101</f>
        <v>0.35610687022900767</v>
      </c>
      <c r="N109" s="2346">
        <f>(-0.214*(N108^2)-21.991*N108+4665)*(10^(-4))/N101</f>
        <v>0.35610687022900767</v>
      </c>
    </row>
    <row r="110" spans="1:14">
      <c r="A110" s="3364" t="s">
        <v>2795</v>
      </c>
      <c r="B110" s="3364"/>
      <c r="C110" s="3364"/>
      <c r="D110" s="3364"/>
      <c r="E110" s="3364"/>
      <c r="F110" s="3364"/>
      <c r="G110" s="3364"/>
      <c r="H110" s="3364"/>
      <c r="I110" s="3364"/>
      <c r="J110" s="3364"/>
      <c r="K110" s="2349"/>
      <c r="L110" s="2349"/>
      <c r="M110" s="2349"/>
      <c r="N110" s="2349"/>
    </row>
    <row r="112" spans="1:14" ht="13.5" thickBot="1"/>
    <row r="113" spans="1:13" ht="25.5" thickBot="1">
      <c r="A113" s="840" t="s">
        <v>2796</v>
      </c>
      <c r="B113" s="1195">
        <f>G3</f>
        <v>1.31</v>
      </c>
      <c r="C113" s="841" t="s">
        <v>2797</v>
      </c>
      <c r="D113" s="842">
        <f>SUMPRODUCT((A115:A118=F113)*(B114:M114=H113)*B115:M118)</f>
        <v>0</v>
      </c>
      <c r="E113" s="2185" t="s">
        <v>2630</v>
      </c>
      <c r="F113" s="2351">
        <f>E2</f>
        <v>0</v>
      </c>
      <c r="G113" s="2185" t="s">
        <v>2631</v>
      </c>
      <c r="H113" s="2351">
        <f>G2</f>
        <v>0</v>
      </c>
      <c r="I113" s="2185"/>
      <c r="J113" s="2352"/>
      <c r="K113" s="2352"/>
      <c r="L113" s="2352"/>
      <c r="M113" s="2352"/>
    </row>
    <row r="114" spans="1:13">
      <c r="A114" s="845"/>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6" t="s">
        <v>2695</v>
      </c>
      <c r="B115" s="847">
        <f>ROUND(0.9335-0.0094*B113,4)</f>
        <v>0.92120000000000002</v>
      </c>
      <c r="C115" s="847">
        <f>B115</f>
        <v>0.92120000000000002</v>
      </c>
      <c r="D115" s="847">
        <f>ROUND(0.8331-0.0109*B113,4)</f>
        <v>0.81879999999999997</v>
      </c>
      <c r="E115" s="847">
        <f>D115</f>
        <v>0.81879999999999997</v>
      </c>
      <c r="F115" s="847">
        <f>E115</f>
        <v>0.81879999999999997</v>
      </c>
      <c r="G115" s="847">
        <f>F115</f>
        <v>0.81879999999999997</v>
      </c>
      <c r="H115" s="847">
        <f>G115</f>
        <v>0.81879999999999997</v>
      </c>
      <c r="I115" s="847">
        <f>ROUND(0.689-0.0155*B113,4)</f>
        <v>0.66869999999999996</v>
      </c>
      <c r="J115" s="847">
        <f t="shared" ref="J115:M118" si="33">I115</f>
        <v>0.66869999999999996</v>
      </c>
      <c r="K115" s="847">
        <f t="shared" si="33"/>
        <v>0.66869999999999996</v>
      </c>
      <c r="L115" s="847">
        <f t="shared" si="33"/>
        <v>0.66869999999999996</v>
      </c>
      <c r="M115" s="848">
        <f t="shared" si="33"/>
        <v>0.66869999999999996</v>
      </c>
    </row>
    <row r="116" spans="1:13">
      <c r="A116" s="846" t="s">
        <v>2696</v>
      </c>
      <c r="B116" s="847">
        <f>ROUND(0.949-0.012*B113,4)</f>
        <v>0.93330000000000002</v>
      </c>
      <c r="C116" s="847">
        <f>B116</f>
        <v>0.93330000000000002</v>
      </c>
      <c r="D116" s="847">
        <f>ROUND(0.8567-0.013*B113,4)</f>
        <v>0.8397</v>
      </c>
      <c r="E116" s="847">
        <f t="shared" ref="E116:H117" si="34">D116</f>
        <v>0.8397</v>
      </c>
      <c r="F116" s="847">
        <f t="shared" si="34"/>
        <v>0.8397</v>
      </c>
      <c r="G116" s="847">
        <f t="shared" si="34"/>
        <v>0.8397</v>
      </c>
      <c r="H116" s="847">
        <f t="shared" si="34"/>
        <v>0.8397</v>
      </c>
      <c r="I116" s="847">
        <f>ROUND(0.7694-0.014*B113,4)</f>
        <v>0.75109999999999999</v>
      </c>
      <c r="J116" s="847">
        <f t="shared" si="33"/>
        <v>0.75109999999999999</v>
      </c>
      <c r="K116" s="847">
        <f t="shared" si="33"/>
        <v>0.75109999999999999</v>
      </c>
      <c r="L116" s="847">
        <f t="shared" si="33"/>
        <v>0.75109999999999999</v>
      </c>
      <c r="M116" s="848">
        <f t="shared" si="33"/>
        <v>0.75109999999999999</v>
      </c>
    </row>
    <row r="117" spans="1:13">
      <c r="A117" s="846" t="s">
        <v>2697</v>
      </c>
      <c r="B117" s="847">
        <f>ROUND(0.8808-0.006*B113,4)</f>
        <v>0.87290000000000001</v>
      </c>
      <c r="C117" s="847">
        <f>B117</f>
        <v>0.87290000000000001</v>
      </c>
      <c r="D117" s="847">
        <f>ROUND(0.8748-0.008*B113,4)</f>
        <v>0.86429999999999996</v>
      </c>
      <c r="E117" s="847">
        <f t="shared" si="34"/>
        <v>0.86429999999999996</v>
      </c>
      <c r="F117" s="847">
        <f t="shared" si="34"/>
        <v>0.86429999999999996</v>
      </c>
      <c r="G117" s="847">
        <f t="shared" si="34"/>
        <v>0.86429999999999996</v>
      </c>
      <c r="H117" s="847">
        <f t="shared" si="34"/>
        <v>0.86429999999999996</v>
      </c>
      <c r="I117" s="847">
        <f>ROUND(0.7412-0.0095*B113,4)</f>
        <v>0.7288</v>
      </c>
      <c r="J117" s="847">
        <f t="shared" si="33"/>
        <v>0.7288</v>
      </c>
      <c r="K117" s="847">
        <f t="shared" si="33"/>
        <v>0.7288</v>
      </c>
      <c r="L117" s="847">
        <f t="shared" si="33"/>
        <v>0.7288</v>
      </c>
      <c r="M117" s="848">
        <f t="shared" si="33"/>
        <v>0.7288</v>
      </c>
    </row>
    <row r="118" spans="1:13" ht="13.5" thickBot="1">
      <c r="A118" s="668" t="s">
        <v>2698</v>
      </c>
      <c r="B118" s="849">
        <f>ROUND(0.7275-0.01*B113,4)</f>
        <v>0.71440000000000003</v>
      </c>
      <c r="C118" s="849">
        <f>B118</f>
        <v>0.71440000000000003</v>
      </c>
      <c r="D118" s="849">
        <f>ROUND(0.7043-0.012*B113,4)</f>
        <v>0.68859999999999999</v>
      </c>
      <c r="E118" s="849">
        <f>D118</f>
        <v>0.68859999999999999</v>
      </c>
      <c r="F118" s="849">
        <f>E118</f>
        <v>0.68859999999999999</v>
      </c>
      <c r="G118" s="849">
        <f>ROUND(0.6299-0.0122*B113,4)</f>
        <v>0.6139</v>
      </c>
      <c r="H118" s="849">
        <f>G118</f>
        <v>0.6139</v>
      </c>
      <c r="I118" s="849">
        <f>ROUND(0.5667-0.0136*B113,4)</f>
        <v>0.54890000000000005</v>
      </c>
      <c r="J118" s="849">
        <f t="shared" si="33"/>
        <v>0.54890000000000005</v>
      </c>
      <c r="K118" s="849">
        <f t="shared" si="33"/>
        <v>0.54890000000000005</v>
      </c>
      <c r="L118" s="849">
        <f t="shared" si="33"/>
        <v>0.54890000000000005</v>
      </c>
      <c r="M118" s="850">
        <f t="shared" si="33"/>
        <v>0.54890000000000005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7" t="s">
        <v>183</v>
      </c>
      <c r="B18" s="819" t="s">
        <v>560</v>
      </c>
      <c r="C18" s="820" t="s">
        <v>561</v>
      </c>
      <c r="D18" s="821"/>
      <c r="E18" s="819">
        <v>1</v>
      </c>
      <c r="F18" s="822" t="s">
        <v>562</v>
      </c>
      <c r="G18" s="823"/>
      <c r="H18" s="815"/>
      <c r="I18" s="815"/>
    </row>
    <row r="19" spans="1:9" s="824" customFormat="1" ht="19.5" customHeight="1">
      <c r="A19" s="3387"/>
      <c r="B19" s="3387" t="s">
        <v>563</v>
      </c>
      <c r="C19" s="820" t="s">
        <v>564</v>
      </c>
      <c r="D19" s="821"/>
      <c r="E19" s="819">
        <v>0.9</v>
      </c>
      <c r="F19" s="822" t="s">
        <v>565</v>
      </c>
      <c r="G19" s="823"/>
      <c r="H19" s="815"/>
      <c r="I19" s="815"/>
    </row>
    <row r="20" spans="1:9" s="824" customFormat="1" ht="19.5" customHeight="1">
      <c r="A20" s="3387"/>
      <c r="B20" s="3387"/>
      <c r="C20" s="820" t="s">
        <v>566</v>
      </c>
      <c r="D20" s="821"/>
      <c r="E20" s="819">
        <v>1.1000000000000001</v>
      </c>
      <c r="F20" s="822" t="s">
        <v>567</v>
      </c>
      <c r="G20" s="823"/>
      <c r="H20" s="815"/>
      <c r="I20" s="815"/>
    </row>
    <row r="21" spans="1:9" s="824" customFormat="1" ht="19.5" customHeight="1">
      <c r="A21" s="3387"/>
      <c r="B21" s="3387"/>
      <c r="C21" s="820" t="s">
        <v>568</v>
      </c>
      <c r="D21" s="821"/>
      <c r="E21" s="819">
        <v>0.8</v>
      </c>
      <c r="F21" s="822" t="s">
        <v>569</v>
      </c>
      <c r="G21" s="823"/>
      <c r="H21" s="815"/>
      <c r="I21" s="815"/>
    </row>
    <row r="22" spans="1:9" s="824" customFormat="1" ht="19.5" customHeight="1">
      <c r="A22" s="3387"/>
      <c r="B22" s="3387"/>
      <c r="C22" s="820" t="s">
        <v>570</v>
      </c>
      <c r="D22" s="821"/>
      <c r="E22" s="819">
        <v>0.5</v>
      </c>
      <c r="F22" s="822"/>
      <c r="G22" s="823"/>
      <c r="H22" s="815"/>
      <c r="I22" s="815"/>
    </row>
    <row r="23" spans="1:9" s="824" customFormat="1" ht="19.5" customHeight="1">
      <c r="A23" s="3387" t="s">
        <v>184</v>
      </c>
      <c r="B23" s="819" t="s">
        <v>560</v>
      </c>
      <c r="C23" s="820" t="s">
        <v>571</v>
      </c>
      <c r="D23" s="821"/>
      <c r="E23" s="819">
        <v>1</v>
      </c>
      <c r="F23" s="822" t="s">
        <v>572</v>
      </c>
      <c r="G23" s="823"/>
      <c r="H23" s="815"/>
      <c r="I23" s="815"/>
    </row>
    <row r="24" spans="1:9" s="824" customFormat="1" ht="19.5" customHeight="1">
      <c r="A24" s="3387"/>
      <c r="B24" s="3387" t="s">
        <v>563</v>
      </c>
      <c r="C24" s="820" t="s">
        <v>573</v>
      </c>
      <c r="D24" s="821"/>
      <c r="E24" s="819">
        <v>0.5</v>
      </c>
      <c r="F24" s="822"/>
      <c r="G24" s="823"/>
      <c r="H24" s="815"/>
      <c r="I24" s="815"/>
    </row>
    <row r="25" spans="1:9" s="824" customFormat="1" ht="19.5" customHeight="1">
      <c r="A25" s="3387"/>
      <c r="B25" s="3387"/>
      <c r="C25" s="820" t="s">
        <v>574</v>
      </c>
      <c r="D25" s="821"/>
      <c r="E25" s="819">
        <v>1.1000000000000001</v>
      </c>
      <c r="F25" s="822"/>
      <c r="G25" s="823"/>
      <c r="H25" s="815"/>
      <c r="I25" s="815"/>
    </row>
    <row r="26" spans="1:9" s="824" customFormat="1" ht="19.5" customHeight="1">
      <c r="A26" s="3387"/>
      <c r="B26" s="3387"/>
      <c r="C26" s="820" t="s">
        <v>575</v>
      </c>
      <c r="D26" s="821"/>
      <c r="E26" s="819">
        <v>1.1000000000000001</v>
      </c>
      <c r="F26" s="822"/>
      <c r="G26" s="823"/>
      <c r="H26" s="815"/>
      <c r="I26" s="815"/>
    </row>
    <row r="27" spans="1:9" s="824" customFormat="1" ht="19.5" customHeight="1">
      <c r="A27" s="3387"/>
      <c r="B27" s="3387"/>
      <c r="C27" s="820" t="s">
        <v>576</v>
      </c>
      <c r="D27" s="821"/>
      <c r="E27" s="819">
        <v>0.9</v>
      </c>
      <c r="F27" s="822" t="s">
        <v>577</v>
      </c>
      <c r="G27" s="823"/>
      <c r="H27" s="815"/>
      <c r="I27" s="815"/>
    </row>
    <row r="28" spans="1:9" s="824" customFormat="1" ht="19.5" customHeight="1">
      <c r="A28" s="3387"/>
      <c r="B28" s="3387"/>
      <c r="C28" s="820" t="s">
        <v>578</v>
      </c>
      <c r="D28" s="821"/>
      <c r="E28" s="819">
        <v>0.9</v>
      </c>
      <c r="F28" s="822" t="s">
        <v>579</v>
      </c>
      <c r="G28" s="823"/>
      <c r="H28" s="815"/>
      <c r="I28" s="815"/>
    </row>
    <row r="29" spans="1:9" s="824" customFormat="1" ht="19.5" customHeight="1">
      <c r="A29" s="3387"/>
      <c r="B29" s="3387"/>
      <c r="C29" s="820" t="s">
        <v>580</v>
      </c>
      <c r="D29" s="821"/>
      <c r="E29" s="819">
        <v>0.9</v>
      </c>
      <c r="F29" s="822" t="s">
        <v>581</v>
      </c>
      <c r="G29" s="823"/>
      <c r="H29" s="815"/>
      <c r="I29" s="815"/>
    </row>
    <row r="30" spans="1:9" s="824" customFormat="1" ht="19.5" customHeight="1">
      <c r="A30" s="3387"/>
      <c r="B30" s="3387"/>
      <c r="C30" s="820" t="s">
        <v>582</v>
      </c>
      <c r="D30" s="821"/>
      <c r="E30" s="819">
        <v>0.9</v>
      </c>
      <c r="F30" s="822" t="s">
        <v>583</v>
      </c>
      <c r="G30" s="823"/>
      <c r="H30" s="815"/>
      <c r="I30" s="815"/>
    </row>
    <row r="31" spans="1:9" s="824" customFormat="1" ht="19.5" customHeight="1">
      <c r="A31" s="3387"/>
      <c r="B31" s="3387"/>
      <c r="C31" s="820" t="s">
        <v>584</v>
      </c>
      <c r="D31" s="821"/>
      <c r="E31" s="819">
        <v>0.8</v>
      </c>
      <c r="F31" s="822" t="s">
        <v>585</v>
      </c>
      <c r="G31" s="823"/>
      <c r="H31" s="815"/>
      <c r="I31" s="815"/>
    </row>
    <row r="32" spans="1:9" s="824" customFormat="1" ht="19.5" customHeight="1">
      <c r="A32" s="3387"/>
      <c r="B32" s="3387"/>
      <c r="C32" s="820" t="s">
        <v>586</v>
      </c>
      <c r="D32" s="821"/>
      <c r="E32" s="819">
        <v>0.8</v>
      </c>
      <c r="F32" s="822" t="s">
        <v>587</v>
      </c>
      <c r="G32" s="823"/>
      <c r="H32" s="815"/>
      <c r="I32" s="815"/>
    </row>
    <row r="33" spans="1:9" s="824" customFormat="1" ht="19.5" customHeight="1">
      <c r="A33" s="3387" t="s">
        <v>185</v>
      </c>
      <c r="B33" s="819" t="s">
        <v>560</v>
      </c>
      <c r="C33" s="820" t="s">
        <v>588</v>
      </c>
      <c r="D33" s="821"/>
      <c r="E33" s="819">
        <v>1</v>
      </c>
      <c r="F33" s="822" t="s">
        <v>589</v>
      </c>
      <c r="G33" s="823"/>
      <c r="H33" s="815"/>
      <c r="I33" s="815"/>
    </row>
    <row r="34" spans="1:9" s="824" customFormat="1" ht="19.5" customHeight="1">
      <c r="A34" s="3387"/>
      <c r="B34" s="819" t="s">
        <v>563</v>
      </c>
      <c r="C34" s="820" t="s">
        <v>590</v>
      </c>
      <c r="D34" s="821"/>
      <c r="E34" s="819">
        <v>1.5</v>
      </c>
      <c r="F34" s="822" t="s">
        <v>591</v>
      </c>
      <c r="G34" s="823"/>
      <c r="H34" s="815"/>
      <c r="I34" s="815"/>
    </row>
    <row r="35" spans="1:9" s="824" customFormat="1" ht="19.5" customHeight="1">
      <c r="A35" s="3387" t="s">
        <v>186</v>
      </c>
      <c r="B35" s="819" t="s">
        <v>560</v>
      </c>
      <c r="C35" s="820" t="s">
        <v>592</v>
      </c>
      <c r="D35" s="821"/>
      <c r="E35" s="819">
        <v>1</v>
      </c>
      <c r="F35" s="822" t="s">
        <v>593</v>
      </c>
      <c r="G35" s="823"/>
      <c r="H35" s="815"/>
      <c r="I35" s="815"/>
    </row>
    <row r="36" spans="1:9" s="824" customFormat="1" ht="19.5" customHeight="1">
      <c r="A36" s="3387"/>
      <c r="B36" s="3387" t="s">
        <v>563</v>
      </c>
      <c r="C36" s="820" t="s">
        <v>594</v>
      </c>
      <c r="D36" s="821"/>
      <c r="E36" s="819">
        <v>1</v>
      </c>
      <c r="F36" s="822" t="s">
        <v>595</v>
      </c>
      <c r="G36" s="823"/>
      <c r="H36" s="815"/>
      <c r="I36" s="815"/>
    </row>
    <row r="37" spans="1:9" s="824" customFormat="1" ht="19.5" customHeight="1">
      <c r="A37" s="3387"/>
      <c r="B37" s="3387"/>
      <c r="C37" s="820" t="s">
        <v>596</v>
      </c>
      <c r="D37" s="821"/>
      <c r="E37" s="819">
        <v>1.5</v>
      </c>
      <c r="F37" s="822" t="s">
        <v>597</v>
      </c>
      <c r="G37" s="823"/>
      <c r="H37" s="815"/>
      <c r="I37" s="815"/>
    </row>
    <row r="38" spans="1:9" s="824" customFormat="1" ht="19.5" customHeight="1">
      <c r="A38" s="3387"/>
      <c r="B38" s="3387"/>
      <c r="C38" s="820" t="s">
        <v>598</v>
      </c>
      <c r="D38" s="821"/>
      <c r="E38" s="819">
        <v>1</v>
      </c>
      <c r="F38" s="822" t="s">
        <v>599</v>
      </c>
      <c r="G38" s="823"/>
      <c r="H38" s="815"/>
      <c r="I38" s="815"/>
    </row>
    <row r="39" spans="1:9" s="824" customFormat="1" ht="19.5" customHeight="1">
      <c r="A39" s="3387"/>
      <c r="B39" s="338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7" t="s">
        <v>614</v>
      </c>
      <c r="C61" s="755" t="s">
        <v>615</v>
      </c>
      <c r="D61" s="755" t="s">
        <v>616</v>
      </c>
      <c r="E61" s="832">
        <v>0.5</v>
      </c>
      <c r="F61" s="819">
        <v>80</v>
      </c>
    </row>
    <row r="62" spans="1:8" s="815" customFormat="1" ht="24">
      <c r="A62" s="819">
        <v>2</v>
      </c>
      <c r="B62" s="3387"/>
      <c r="C62" s="755" t="s">
        <v>617</v>
      </c>
      <c r="D62" s="755" t="s">
        <v>618</v>
      </c>
      <c r="E62" s="832">
        <v>0.5</v>
      </c>
      <c r="F62" s="819">
        <v>80</v>
      </c>
    </row>
    <row r="63" spans="1:8" s="815" customFormat="1" ht="36">
      <c r="A63" s="819">
        <v>3</v>
      </c>
      <c r="B63" s="3387"/>
      <c r="C63" s="755" t="s">
        <v>619</v>
      </c>
      <c r="D63" s="755" t="s">
        <v>620</v>
      </c>
      <c r="E63" s="832">
        <v>0.5</v>
      </c>
      <c r="F63" s="819">
        <v>80</v>
      </c>
    </row>
    <row r="64" spans="1:8" s="815" customFormat="1" ht="36">
      <c r="A64" s="819">
        <v>4</v>
      </c>
      <c r="B64" s="3387"/>
      <c r="C64" s="755" t="s">
        <v>621</v>
      </c>
      <c r="D64" s="755" t="s">
        <v>622</v>
      </c>
      <c r="E64" s="832">
        <v>0.4</v>
      </c>
      <c r="F64" s="819">
        <v>60</v>
      </c>
    </row>
    <row r="65" spans="1:6" s="815" customFormat="1" ht="36">
      <c r="A65" s="819">
        <v>5</v>
      </c>
      <c r="B65" s="3387"/>
      <c r="C65" s="755" t="s">
        <v>623</v>
      </c>
      <c r="D65" s="755" t="s">
        <v>624</v>
      </c>
      <c r="E65" s="832">
        <v>0.2</v>
      </c>
      <c r="F65" s="819">
        <v>30</v>
      </c>
    </row>
    <row r="66" spans="1:6" s="815" customFormat="1" ht="36">
      <c r="A66" s="819">
        <v>6</v>
      </c>
      <c r="B66" s="3387"/>
      <c r="C66" s="755" t="s">
        <v>625</v>
      </c>
      <c r="D66" s="755" t="s">
        <v>626</v>
      </c>
      <c r="E66" s="832">
        <v>0.3</v>
      </c>
      <c r="F66" s="819">
        <v>50</v>
      </c>
    </row>
    <row r="67" spans="1:6" s="815" customFormat="1" ht="36">
      <c r="A67" s="819">
        <v>7</v>
      </c>
      <c r="B67" s="3387"/>
      <c r="C67" s="755" t="s">
        <v>627</v>
      </c>
      <c r="D67" s="755" t="s">
        <v>628</v>
      </c>
      <c r="E67" s="832">
        <v>0.2</v>
      </c>
      <c r="F67" s="819">
        <v>30</v>
      </c>
    </row>
    <row r="68" spans="1:6" s="815" customFormat="1" ht="36">
      <c r="A68" s="819">
        <v>8</v>
      </c>
      <c r="B68" s="3387"/>
      <c r="C68" s="755" t="s">
        <v>629</v>
      </c>
      <c r="D68" s="755" t="s">
        <v>630</v>
      </c>
      <c r="E68" s="832">
        <v>0.2</v>
      </c>
      <c r="F68" s="819">
        <v>30</v>
      </c>
    </row>
    <row r="69" spans="1:6" s="815" customFormat="1" ht="36">
      <c r="A69" s="819">
        <v>9</v>
      </c>
      <c r="B69" s="3387"/>
      <c r="C69" s="755" t="s">
        <v>631</v>
      </c>
      <c r="D69" s="755" t="s">
        <v>632</v>
      </c>
      <c r="E69" s="832">
        <v>0.2</v>
      </c>
      <c r="F69" s="819">
        <v>30</v>
      </c>
    </row>
    <row r="70" spans="1:6" s="815" customFormat="1" ht="48">
      <c r="A70" s="819">
        <v>10</v>
      </c>
      <c r="B70" s="3387"/>
      <c r="C70" s="755" t="s">
        <v>633</v>
      </c>
      <c r="D70" s="755" t="s">
        <v>634</v>
      </c>
      <c r="E70" s="832">
        <v>0.2</v>
      </c>
      <c r="F70" s="819">
        <v>30</v>
      </c>
    </row>
    <row r="71" spans="1:6" s="815" customFormat="1" ht="48">
      <c r="A71" s="819">
        <v>11</v>
      </c>
      <c r="B71" s="3387"/>
      <c r="C71" s="755" t="s">
        <v>635</v>
      </c>
      <c r="D71" s="755" t="s">
        <v>636</v>
      </c>
      <c r="E71" s="832">
        <v>0.2</v>
      </c>
      <c r="F71" s="819">
        <v>30</v>
      </c>
    </row>
    <row r="72" spans="1:6" s="815" customFormat="1" ht="36">
      <c r="A72" s="819">
        <v>12</v>
      </c>
      <c r="B72" s="3387"/>
      <c r="C72" s="755" t="s">
        <v>637</v>
      </c>
      <c r="D72" s="755" t="s">
        <v>638</v>
      </c>
      <c r="E72" s="832">
        <v>0.5</v>
      </c>
      <c r="F72" s="819">
        <v>80</v>
      </c>
    </row>
    <row r="73" spans="1:6" s="815" customFormat="1" ht="24">
      <c r="A73" s="819">
        <v>13</v>
      </c>
      <c r="B73" s="3387"/>
      <c r="C73" s="755" t="s">
        <v>639</v>
      </c>
      <c r="D73" s="755" t="s">
        <v>640</v>
      </c>
      <c r="E73" s="832">
        <v>0.4</v>
      </c>
      <c r="F73" s="819">
        <v>60</v>
      </c>
    </row>
    <row r="74" spans="1:6" s="815" customFormat="1" ht="24">
      <c r="A74" s="819">
        <v>14</v>
      </c>
      <c r="B74" s="3387"/>
      <c r="C74" s="755" t="s">
        <v>641</v>
      </c>
      <c r="D74" s="755" t="s">
        <v>642</v>
      </c>
      <c r="E74" s="832">
        <v>0.2</v>
      </c>
      <c r="F74" s="819">
        <v>30</v>
      </c>
    </row>
    <row r="75" spans="1:6" s="815" customFormat="1" ht="24">
      <c r="A75" s="819">
        <v>15</v>
      </c>
      <c r="B75" s="3387"/>
      <c r="C75" s="755" t="s">
        <v>643</v>
      </c>
      <c r="D75" s="755" t="s">
        <v>644</v>
      </c>
      <c r="E75" s="832">
        <v>0.2</v>
      </c>
      <c r="F75" s="819">
        <v>30</v>
      </c>
    </row>
    <row r="76" spans="1:6" s="815" customFormat="1" ht="24">
      <c r="A76" s="819">
        <v>16</v>
      </c>
      <c r="B76" s="3387" t="s">
        <v>645</v>
      </c>
      <c r="C76" s="755" t="s">
        <v>646</v>
      </c>
      <c r="D76" s="755" t="s">
        <v>647</v>
      </c>
      <c r="E76" s="832">
        <v>0.5</v>
      </c>
      <c r="F76" s="819">
        <v>80</v>
      </c>
    </row>
    <row r="77" spans="1:6" s="815" customFormat="1" ht="24">
      <c r="A77" s="819">
        <v>17</v>
      </c>
      <c r="B77" s="3387"/>
      <c r="C77" s="755" t="s">
        <v>648</v>
      </c>
      <c r="D77" s="755" t="s">
        <v>649</v>
      </c>
      <c r="E77" s="832">
        <v>0.5</v>
      </c>
      <c r="F77" s="819">
        <v>80</v>
      </c>
    </row>
    <row r="78" spans="1:6" s="815" customFormat="1" ht="24">
      <c r="A78" s="819">
        <v>18</v>
      </c>
      <c r="B78" s="3387"/>
      <c r="C78" s="755" t="s">
        <v>650</v>
      </c>
      <c r="D78" s="755" t="s">
        <v>651</v>
      </c>
      <c r="E78" s="832">
        <v>0.2</v>
      </c>
      <c r="F78" s="819">
        <v>30</v>
      </c>
    </row>
    <row r="79" spans="1:6" s="815" customFormat="1" ht="24">
      <c r="A79" s="819">
        <v>19</v>
      </c>
      <c r="B79" s="3387"/>
      <c r="C79" s="755" t="s">
        <v>652</v>
      </c>
      <c r="D79" s="755" t="s">
        <v>653</v>
      </c>
      <c r="E79" s="832">
        <v>0.5</v>
      </c>
      <c r="F79" s="819">
        <v>80</v>
      </c>
    </row>
    <row r="80" spans="1:6" s="815" customFormat="1" ht="36">
      <c r="A80" s="819">
        <v>20</v>
      </c>
      <c r="B80" s="3387"/>
      <c r="C80" s="755" t="s">
        <v>654</v>
      </c>
      <c r="D80" s="755" t="s">
        <v>655</v>
      </c>
      <c r="E80" s="832">
        <v>0.2</v>
      </c>
      <c r="F80" s="819">
        <v>30</v>
      </c>
    </row>
    <row r="81" spans="1:6" s="815" customFormat="1" ht="36">
      <c r="A81" s="819">
        <v>21</v>
      </c>
      <c r="B81" s="3387"/>
      <c r="C81" s="755" t="s">
        <v>656</v>
      </c>
      <c r="D81" s="755" t="s">
        <v>657</v>
      </c>
      <c r="E81" s="832">
        <v>0.2</v>
      </c>
      <c r="F81" s="819">
        <v>30</v>
      </c>
    </row>
    <row r="82" spans="1:6" s="815" customFormat="1" ht="48">
      <c r="A82" s="819">
        <v>22</v>
      </c>
      <c r="B82" s="3387"/>
      <c r="C82" s="755" t="s">
        <v>658</v>
      </c>
      <c r="D82" s="755" t="s">
        <v>659</v>
      </c>
      <c r="E82" s="832">
        <v>0.2</v>
      </c>
      <c r="F82" s="819">
        <v>30</v>
      </c>
    </row>
    <row r="83" spans="1:6" s="815" customFormat="1" ht="48">
      <c r="A83" s="819">
        <v>23</v>
      </c>
      <c r="B83" s="3387"/>
      <c r="C83" s="755" t="s">
        <v>660</v>
      </c>
      <c r="D83" s="755" t="s">
        <v>661</v>
      </c>
      <c r="E83" s="832">
        <v>0.2</v>
      </c>
      <c r="F83" s="819">
        <v>30</v>
      </c>
    </row>
    <row r="84" spans="1:6" s="815" customFormat="1" ht="36">
      <c r="A84" s="819">
        <v>24</v>
      </c>
      <c r="B84" s="3387"/>
      <c r="C84" s="755" t="s">
        <v>662</v>
      </c>
      <c r="D84" s="755" t="s">
        <v>663</v>
      </c>
      <c r="E84" s="832">
        <v>0.2</v>
      </c>
      <c r="F84" s="819">
        <v>30</v>
      </c>
    </row>
    <row r="85" spans="1:6" s="815" customFormat="1" ht="36">
      <c r="A85" s="819">
        <v>25</v>
      </c>
      <c r="B85" s="3387"/>
      <c r="C85" s="755" t="s">
        <v>664</v>
      </c>
      <c r="D85" s="755" t="s">
        <v>665</v>
      </c>
      <c r="E85" s="832">
        <v>0.5</v>
      </c>
      <c r="F85" s="819">
        <v>80</v>
      </c>
    </row>
    <row r="86" spans="1:6" s="815" customFormat="1" ht="36">
      <c r="A86" s="819">
        <v>26</v>
      </c>
      <c r="B86" s="3387"/>
      <c r="C86" s="755" t="s">
        <v>666</v>
      </c>
      <c r="D86" s="755" t="s">
        <v>667</v>
      </c>
      <c r="E86" s="832">
        <v>0.2</v>
      </c>
      <c r="F86" s="819">
        <v>30</v>
      </c>
    </row>
    <row r="87" spans="1:6" s="815" customFormat="1" ht="36">
      <c r="A87" s="819">
        <v>27</v>
      </c>
      <c r="B87" s="3387"/>
      <c r="C87" s="755" t="s">
        <v>668</v>
      </c>
      <c r="D87" s="755" t="s">
        <v>669</v>
      </c>
      <c r="E87" s="832">
        <v>0.2</v>
      </c>
      <c r="F87" s="819">
        <v>30</v>
      </c>
    </row>
    <row r="88" spans="1:6" s="815" customFormat="1" ht="36">
      <c r="A88" s="819">
        <v>28</v>
      </c>
      <c r="B88" s="3387"/>
      <c r="C88" s="755" t="s">
        <v>670</v>
      </c>
      <c r="D88" s="755" t="s">
        <v>671</v>
      </c>
      <c r="E88" s="832">
        <v>0.2</v>
      </c>
      <c r="F88" s="819">
        <v>30</v>
      </c>
    </row>
    <row r="89" spans="1:6" s="815" customFormat="1" ht="24">
      <c r="A89" s="819">
        <v>29</v>
      </c>
      <c r="B89" s="3387"/>
      <c r="C89" s="755" t="s">
        <v>672</v>
      </c>
      <c r="D89" s="755" t="s">
        <v>673</v>
      </c>
      <c r="E89" s="832">
        <v>0.2</v>
      </c>
      <c r="F89" s="819">
        <v>30</v>
      </c>
    </row>
    <row r="90" spans="1:6" s="815" customFormat="1" ht="24">
      <c r="A90" s="819">
        <v>30</v>
      </c>
      <c r="B90" s="3387"/>
      <c r="C90" s="755" t="s">
        <v>674</v>
      </c>
      <c r="D90" s="755" t="s">
        <v>675</v>
      </c>
      <c r="E90" s="832">
        <v>0.2</v>
      </c>
      <c r="F90" s="819">
        <v>30</v>
      </c>
    </row>
    <row r="91" spans="1:6" s="815" customFormat="1" ht="36">
      <c r="A91" s="819">
        <v>31</v>
      </c>
      <c r="B91" s="3387"/>
      <c r="C91" s="755" t="s">
        <v>676</v>
      </c>
      <c r="D91" s="755" t="s">
        <v>677</v>
      </c>
      <c r="E91" s="832">
        <v>0.2</v>
      </c>
      <c r="F91" s="819">
        <v>30</v>
      </c>
    </row>
    <row r="92" spans="1:6" s="815" customFormat="1" ht="24">
      <c r="A92" s="819">
        <v>32</v>
      </c>
      <c r="B92" s="3387" t="s">
        <v>678</v>
      </c>
      <c r="C92" s="819" t="s">
        <v>679</v>
      </c>
      <c r="D92" s="755" t="s">
        <v>680</v>
      </c>
      <c r="E92" s="832">
        <v>0.2</v>
      </c>
      <c r="F92" s="819">
        <v>30</v>
      </c>
    </row>
    <row r="93" spans="1:6" s="815" customFormat="1" ht="36">
      <c r="A93" s="819">
        <v>33</v>
      </c>
      <c r="B93" s="3387"/>
      <c r="C93" s="819" t="s">
        <v>681</v>
      </c>
      <c r="D93" s="755" t="s">
        <v>682</v>
      </c>
      <c r="E93" s="832">
        <v>0.2</v>
      </c>
      <c r="F93" s="819">
        <v>30</v>
      </c>
    </row>
    <row r="94" spans="1:6" s="815" customFormat="1" ht="48">
      <c r="A94" s="819">
        <v>34</v>
      </c>
      <c r="B94" s="3387"/>
      <c r="C94" s="819" t="s">
        <v>683</v>
      </c>
      <c r="D94" s="755" t="s">
        <v>684</v>
      </c>
      <c r="E94" s="832">
        <v>0.2</v>
      </c>
      <c r="F94" s="819">
        <v>30</v>
      </c>
    </row>
    <row r="95" spans="1:6" s="815" customFormat="1" ht="36">
      <c r="A95" s="819">
        <v>35</v>
      </c>
      <c r="B95" s="3387"/>
      <c r="C95" s="819" t="s">
        <v>685</v>
      </c>
      <c r="D95" s="755" t="s">
        <v>686</v>
      </c>
      <c r="E95" s="832">
        <v>0.2</v>
      </c>
      <c r="F95" s="819">
        <v>30</v>
      </c>
    </row>
    <row r="96" spans="1:6" s="815" customFormat="1" ht="48">
      <c r="A96" s="819">
        <v>36</v>
      </c>
      <c r="B96" s="3387"/>
      <c r="C96" s="755" t="s">
        <v>687</v>
      </c>
      <c r="D96" s="755" t="s">
        <v>688</v>
      </c>
      <c r="E96" s="832">
        <v>0.2</v>
      </c>
      <c r="F96" s="819">
        <v>30</v>
      </c>
    </row>
    <row r="97" spans="1:6" s="815" customFormat="1" ht="36">
      <c r="A97" s="819">
        <v>37</v>
      </c>
      <c r="B97" s="3387"/>
      <c r="C97" s="819" t="s">
        <v>689</v>
      </c>
      <c r="D97" s="755" t="s">
        <v>690</v>
      </c>
      <c r="E97" s="832">
        <v>0.2</v>
      </c>
      <c r="F97" s="819">
        <v>30</v>
      </c>
    </row>
    <row r="98" spans="1:6" s="815" customFormat="1" ht="36">
      <c r="A98" s="819">
        <v>38</v>
      </c>
      <c r="B98" s="3387"/>
      <c r="C98" s="819" t="s">
        <v>691</v>
      </c>
      <c r="D98" s="755" t="s">
        <v>692</v>
      </c>
      <c r="E98" s="832">
        <v>0.2</v>
      </c>
      <c r="F98" s="819">
        <v>30</v>
      </c>
    </row>
    <row r="99" spans="1:6" s="815" customFormat="1" ht="36">
      <c r="A99" s="819">
        <v>39</v>
      </c>
      <c r="B99" s="3387" t="s">
        <v>693</v>
      </c>
      <c r="C99" s="819" t="s">
        <v>694</v>
      </c>
      <c r="D99" s="755" t="s">
        <v>695</v>
      </c>
      <c r="E99" s="832">
        <v>0.3</v>
      </c>
      <c r="F99" s="819">
        <v>50</v>
      </c>
    </row>
    <row r="100" spans="1:6" s="815" customFormat="1" ht="24">
      <c r="A100" s="819">
        <v>40</v>
      </c>
      <c r="B100" s="3387"/>
      <c r="C100" s="819" t="s">
        <v>696</v>
      </c>
      <c r="D100" s="755" t="s">
        <v>697</v>
      </c>
      <c r="E100" s="832">
        <v>0.2</v>
      </c>
      <c r="F100" s="819">
        <v>30</v>
      </c>
    </row>
    <row r="101" spans="1:6" s="815" customFormat="1" ht="36">
      <c r="A101" s="819">
        <v>41</v>
      </c>
      <c r="B101" s="338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7" t="s">
        <v>708</v>
      </c>
      <c r="C105" s="819" t="s">
        <v>709</v>
      </c>
      <c r="D105" s="755" t="s">
        <v>710</v>
      </c>
      <c r="E105" s="832">
        <v>0.2</v>
      </c>
      <c r="F105" s="819">
        <v>30</v>
      </c>
    </row>
    <row r="106" spans="1:6" s="815" customFormat="1" ht="36">
      <c r="A106" s="819">
        <v>46</v>
      </c>
      <c r="B106" s="3387"/>
      <c r="C106" s="819" t="s">
        <v>711</v>
      </c>
      <c r="D106" s="755" t="s">
        <v>712</v>
      </c>
      <c r="E106" s="832">
        <v>0.2</v>
      </c>
      <c r="F106" s="819">
        <v>30</v>
      </c>
    </row>
    <row r="107" spans="1:6" s="815" customFormat="1" ht="36">
      <c r="A107" s="819">
        <v>47</v>
      </c>
      <c r="B107" s="3387" t="s">
        <v>713</v>
      </c>
      <c r="C107" s="819" t="s">
        <v>714</v>
      </c>
      <c r="D107" s="755" t="s">
        <v>715</v>
      </c>
      <c r="E107" s="832">
        <v>0.3</v>
      </c>
      <c r="F107" s="819">
        <v>50</v>
      </c>
    </row>
    <row r="108" spans="1:6" s="815" customFormat="1" ht="36">
      <c r="A108" s="819">
        <v>48</v>
      </c>
      <c r="B108" s="338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7" t="s">
        <v>724</v>
      </c>
      <c r="C111" s="819" t="s">
        <v>725</v>
      </c>
      <c r="D111" s="755" t="s">
        <v>726</v>
      </c>
      <c r="E111" s="832">
        <v>0.2</v>
      </c>
      <c r="F111" s="819">
        <v>30</v>
      </c>
    </row>
    <row r="112" spans="1:6" s="815" customFormat="1" ht="24">
      <c r="A112" s="819">
        <v>52</v>
      </c>
      <c r="B112" s="3387"/>
      <c r="C112" s="819" t="s">
        <v>727</v>
      </c>
      <c r="D112" s="755" t="s">
        <v>728</v>
      </c>
      <c r="E112" s="832">
        <v>0.2</v>
      </c>
      <c r="F112" s="819">
        <v>30</v>
      </c>
    </row>
    <row r="113" spans="1:6" s="815" customFormat="1" ht="24">
      <c r="A113" s="819">
        <v>53</v>
      </c>
      <c r="B113" s="338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7" t="s">
        <v>737</v>
      </c>
      <c r="C116" s="819" t="s">
        <v>738</v>
      </c>
      <c r="D116" s="755" t="s">
        <v>739</v>
      </c>
      <c r="E116" s="832">
        <v>0.2</v>
      </c>
      <c r="F116" s="819">
        <v>30</v>
      </c>
    </row>
    <row r="117" spans="1:6" ht="36">
      <c r="A117" s="819">
        <v>57</v>
      </c>
      <c r="B117" s="338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18"/>
      <c r="G1" s="3018"/>
      <c r="H1" s="3018"/>
      <c r="I1" s="3018"/>
      <c r="J1" s="3018"/>
      <c r="K1" s="3018"/>
      <c r="L1" s="3018"/>
      <c r="M1" s="3018"/>
      <c r="N1" s="3018"/>
      <c r="O1" s="3018"/>
      <c r="P1" s="3018"/>
    </row>
    <row r="2" spans="1:16" ht="15.75">
      <c r="A2" s="2358" t="s">
        <v>2810</v>
      </c>
      <c r="B2" s="2822" t="e">
        <f ca="1">SUMIF(B6:B13,"&lt;&gt;#ref!",B6:B13)</f>
        <v>#DIV/0!</v>
      </c>
      <c r="C2" s="2358" t="s">
        <v>2811</v>
      </c>
      <c r="D2" s="2358" t="s">
        <v>2812</v>
      </c>
      <c r="E2" s="2832">
        <f ca="1">SUMIF(E6:E13,"&lt;&gt;#ref!",E6:E13)</f>
        <v>0</v>
      </c>
      <c r="F2" s="3018"/>
      <c r="G2" s="3018"/>
      <c r="H2" s="3018"/>
      <c r="I2" s="3018"/>
      <c r="J2" s="3018"/>
      <c r="K2" s="3018"/>
      <c r="L2" s="3018"/>
      <c r="M2" s="3018"/>
      <c r="N2" s="3018"/>
      <c r="O2" s="3018"/>
      <c r="P2" s="3018"/>
    </row>
    <row r="3" spans="1:16" ht="15.75">
      <c r="A3" s="2358" t="s">
        <v>2813</v>
      </c>
      <c r="B3" s="2822" t="e">
        <f ca="1">ROUND(B2*10000/E2,0)</f>
        <v>#DIV/0!</v>
      </c>
      <c r="C3" s="2358"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9"/>
      <c r="D5" s="3018"/>
      <c r="E5" s="2831" t="s">
        <v>2816</v>
      </c>
      <c r="F5" s="3018"/>
      <c r="G5" s="3018"/>
      <c r="H5" s="3018"/>
      <c r="I5" s="3018"/>
      <c r="J5" s="3018"/>
      <c r="K5" s="3018"/>
      <c r="L5" s="3018"/>
      <c r="M5" s="3018"/>
      <c r="N5" s="3018"/>
      <c r="O5" s="3018"/>
      <c r="P5" s="3018"/>
    </row>
    <row r="6" spans="1:16" ht="15.75">
      <c r="A6" s="2829" t="s">
        <v>2817</v>
      </c>
      <c r="B6" s="2822" t="e">
        <f ca="1">SUMIF(INDIRECT("'"&amp;A6&amp;"'"&amp;"!A:A"),"总价",INDIRECT("'"&amp;A6&amp;"'"&amp;"!B:B"))</f>
        <v>#DIV/0!</v>
      </c>
      <c r="C6" s="2358" t="s">
        <v>2811</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8"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8"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8"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8"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8"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8"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8"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6"/>
      <c r="B4" s="3070" t="s">
        <v>1595</v>
      </c>
      <c r="C4" s="3070"/>
      <c r="D4" s="3070"/>
      <c r="E4" s="1676"/>
    </row>
    <row r="5" spans="1:5" ht="16.5" thickTop="1">
      <c r="A5" s="1674"/>
      <c r="B5" s="3068" t="s">
        <v>1587</v>
      </c>
      <c r="C5" s="1677" t="s">
        <v>1588</v>
      </c>
      <c r="D5" s="957">
        <f ca="1">结果表!H101</f>
        <v>26899</v>
      </c>
      <c r="E5" s="1674"/>
    </row>
    <row r="6" spans="1:5" ht="15.75">
      <c r="A6" s="1674"/>
      <c r="B6" s="3068"/>
      <c r="C6" s="1677" t="s">
        <v>1589</v>
      </c>
      <c r="D6" s="957" t="str">
        <f ca="1">NUMBERSTRING(INT(D5*10000),2)&amp;"元整"</f>
        <v>贰亿陆仟捌佰玖拾玖万元整</v>
      </c>
      <c r="E6" s="1674"/>
    </row>
    <row r="7" spans="1:5" ht="15.75">
      <c r="A7" s="1674"/>
      <c r="B7" s="3073"/>
      <c r="C7" s="1678" t="s">
        <v>1590</v>
      </c>
      <c r="D7" s="958">
        <f ca="1">结果表!H102</f>
        <v>23186</v>
      </c>
      <c r="E7" s="1674"/>
    </row>
    <row r="8" spans="1:5" ht="15.75">
      <c r="A8" s="1674"/>
      <c r="B8" s="3074" t="str">
        <f>结果表!E103</f>
        <v>2.估价师知悉的法定优先受偿款</v>
      </c>
      <c r="C8" s="1679" t="s">
        <v>1591</v>
      </c>
      <c r="D8" s="958">
        <f>结果表!H103</f>
        <v>0</v>
      </c>
      <c r="E8" s="1674"/>
    </row>
    <row r="9" spans="1:5" ht="15.75">
      <c r="A9" s="1674"/>
      <c r="B9" s="3076"/>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67" t="str">
        <f>结果表!E107</f>
        <v>3.房地产抵押价值</v>
      </c>
      <c r="C13" s="1682" t="s">
        <v>1588</v>
      </c>
      <c r="D13" s="960">
        <f ca="1">结果表!H107</f>
        <v>26899</v>
      </c>
      <c r="E13" s="1674"/>
    </row>
    <row r="14" spans="1:5" ht="15.75">
      <c r="A14" s="1674"/>
      <c r="B14" s="3068"/>
      <c r="C14" s="1677" t="s">
        <v>1589</v>
      </c>
      <c r="D14" s="957" t="str">
        <f ca="1">NUMBERSTRING(INT(D13*10000),2)&amp;"元整"</f>
        <v>贰亿陆仟捌佰玖拾玖万元整</v>
      </c>
      <c r="E14" s="1674"/>
    </row>
    <row r="15" spans="1:5" ht="15">
      <c r="A15" s="1674"/>
      <c r="B15" s="3073"/>
      <c r="C15" s="1678" t="s">
        <v>1599</v>
      </c>
      <c r="D15" s="966">
        <f ca="1">结果表!H108</f>
        <v>23186</v>
      </c>
      <c r="E15" s="1674"/>
    </row>
    <row r="16" spans="1:5" ht="15">
      <c r="A16" s="1674"/>
      <c r="B16" s="3074" t="str">
        <f>结果表!E109</f>
        <v>——</v>
      </c>
      <c r="C16" s="1682" t="s">
        <v>1600</v>
      </c>
      <c r="D16" s="1683" t="str">
        <f>结果表!H109</f>
        <v>——</v>
      </c>
      <c r="E16" s="1674"/>
    </row>
    <row r="17" spans="1:5" ht="15.75">
      <c r="A17" s="1674"/>
      <c r="B17" s="3075"/>
      <c r="C17" s="1677" t="s">
        <v>1601</v>
      </c>
      <c r="D17" s="957" t="e">
        <f>NUMBERSTRING(INT(D16*10000),2)&amp;"元整"</f>
        <v>#VALUE!</v>
      </c>
      <c r="E17" s="1674"/>
    </row>
    <row r="18" spans="1:5" ht="15">
      <c r="A18" s="1674"/>
      <c r="B18" s="3076"/>
      <c r="C18" s="1678" t="s">
        <v>1590</v>
      </c>
      <c r="D18" s="966" t="str">
        <f>结果表!H110</f>
        <v>——</v>
      </c>
      <c r="E18" s="1674"/>
    </row>
    <row r="19" spans="1:5" ht="15.75">
      <c r="A19" s="1674"/>
      <c r="B19" s="3067" t="str">
        <f>结果表!E111</f>
        <v>——</v>
      </c>
      <c r="C19" s="1682" t="s">
        <v>1588</v>
      </c>
      <c r="D19" s="958" t="str">
        <f>结果表!H111</f>
        <v>——</v>
      </c>
      <c r="E19" s="1674"/>
    </row>
    <row r="20" spans="1:5" ht="15.75">
      <c r="A20" s="1674"/>
      <c r="B20" s="3068"/>
      <c r="C20" s="1677" t="s">
        <v>1601</v>
      </c>
      <c r="D20" s="957" t="e">
        <f>NUMBERSTRING(INT(D19*10000),2)&amp;"元整"</f>
        <v>#VALUE!</v>
      </c>
      <c r="E20" s="1674"/>
    </row>
    <row r="21" spans="1:5" ht="15.75" thickBot="1">
      <c r="A21" s="1674"/>
      <c r="B21" s="3069"/>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3" t="s">
        <v>1117</v>
      </c>
      <c r="C1" s="3393"/>
      <c r="D1" s="3393"/>
      <c r="E1" s="3393"/>
      <c r="F1" s="3393"/>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ROUND(AVERAGE($I4:$I33),2)</f>
        <v>1.68</v>
      </c>
      <c r="J3" s="2396">
        <f>ROUND(AVERAGE($J4:$J33),2)</f>
        <v>1.1000000000000001</v>
      </c>
      <c r="K3" s="2396">
        <f>ROUND(AVERAGE($K4:$K33),2)</f>
        <v>1.85</v>
      </c>
      <c r="L3" s="2396">
        <f>ROUND(AVERAGE($L4:$L33),2)</f>
        <v>1.19</v>
      </c>
      <c r="N3" s="2394"/>
      <c r="S3" s="2394"/>
      <c r="W3" s="2398"/>
      <c r="X3" s="2399">
        <f>ROUND(SUMPRODUCT(PRODUCT(1+N3:N$32)),4)</f>
        <v>1.571</v>
      </c>
      <c r="Y3" s="2399">
        <f>ROUND(SUMPRODUCT(PRODUCT(1+O3:O$32)),4)</f>
        <v>1.3420000000000001</v>
      </c>
      <c r="Z3" s="2399">
        <f t="shared" ref="Z3:Z30" si="0">Y3</f>
        <v>1.3420000000000001</v>
      </c>
      <c r="AA3" s="2399">
        <f>ROUND(SUMPRODUCT(PRODUCT(1+P3:P$32)),4)</f>
        <v>1.6415999999999999</v>
      </c>
      <c r="AB3" s="2399">
        <f>ROUND(SUMPRODUCT(PRODUCT(1+Q3:Q$32)),4)</f>
        <v>1.389</v>
      </c>
      <c r="AD3" s="2400">
        <f>ROUND(AVERAGE(I3:I$33)/100,4)</f>
        <v>1.6799999999999999E-2</v>
      </c>
      <c r="AE3" s="2400">
        <f>ROUND(AVERAGE(J3:J$33)/100,4)</f>
        <v>1.0999999999999999E-2</v>
      </c>
      <c r="AF3" s="2400">
        <f t="shared" ref="AF3:AF31" si="1">AE3</f>
        <v>1.0999999999999999E-2</v>
      </c>
      <c r="AG3" s="2400">
        <f>ROUND(AVERAGE(K3:K$33)/100,4)</f>
        <v>1.8499999999999999E-2</v>
      </c>
      <c r="AH3" s="2400">
        <f>ROUND(AVERAGE(L3:L$33)/100,4)</f>
        <v>1.1900000000000001E-2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483.1434279321756</v>
      </c>
      <c r="C5" s="2410">
        <f t="shared" ref="C5" si="3">C6*(1+O5)</f>
        <v>345.93622669144776</v>
      </c>
      <c r="D5" s="2410">
        <f t="shared" ref="D5" si="4">C5</f>
        <v>345.93622669144776</v>
      </c>
      <c r="E5" s="2410">
        <f t="shared" ref="E5" si="5">E6*(1+P5)</f>
        <v>694.24498562544113</v>
      </c>
      <c r="F5" s="2410">
        <f t="shared" ref="F5" si="6">F6*(1+Q5)</f>
        <v>319.35475932716082</v>
      </c>
      <c r="G5" s="3037">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ROUND(IF(项目基本情况!B5="出让",SUMPRODUCT(PRODUCT(1+N5:N$33)),SUMPRODUCT(PRODUCT(1+N5:N$32))),4)</f>
        <v>1.571</v>
      </c>
      <c r="Y5" s="2418">
        <f>ROUND(IF(项目基本情况!B5="出让",SUMPRODUCT(PRODUCT(1+O5:O$33)),SUMPRODUCT(PRODUCT(1+O5:O$32))),4)</f>
        <v>1.3420000000000001</v>
      </c>
      <c r="Z5" s="2418">
        <f t="shared" ref="Z5" si="11">Y5</f>
        <v>1.3420000000000001</v>
      </c>
      <c r="AA5" s="2418">
        <f>ROUND(IF(项目基本情况!B5="出让",SUMPRODUCT(PRODUCT(1+P5:P$33)),SUMPRODUCT(PRODUCT(1+P5:P$32))),4)</f>
        <v>1.6415999999999999</v>
      </c>
      <c r="AB5" s="2418">
        <f>ROUND(IF(项目基本情况!B5="出让",SUMPRODUCT(PRODUCT(1+Q5:Q$33)),SUMPRODUCT(PRODUCT(1+Q5:Q$32))),4)</f>
        <v>1.389</v>
      </c>
      <c r="AD5" s="2419">
        <f>ROUND(AVERAGE(I5:I$33)/100,4)</f>
        <v>1.6799999999999999E-2</v>
      </c>
      <c r="AE5" s="2419">
        <f>ROUND(AVERAGE(J5:J$33)/100,4)</f>
        <v>1.0999999999999999E-2</v>
      </c>
      <c r="AF5" s="2419">
        <f t="shared" ref="AF5" si="12">AE5</f>
        <v>1.0999999999999999E-2</v>
      </c>
      <c r="AG5" s="2419">
        <f>ROUND(AVERAGE(K5:K$33)/100,4)</f>
        <v>1.8499999999999999E-2</v>
      </c>
      <c r="AH5" s="2419">
        <f>ROUND(AVERAGE(L5:L$33)/100,4)</f>
        <v>1.1900000000000001E-2</v>
      </c>
    </row>
    <row r="6" spans="1:34" s="2427" customFormat="1">
      <c r="A6" s="2420" t="s">
        <v>3056</v>
      </c>
      <c r="B6" s="2421">
        <f t="shared" ref="B6" si="13">B7*(1+N6)</f>
        <v>483.1434279321756</v>
      </c>
      <c r="C6" s="2421">
        <f t="shared" ref="C6" si="14">C7*(1+O6)</f>
        <v>345.93622669144776</v>
      </c>
      <c r="D6" s="2421">
        <f t="shared" ref="D6" si="15">C6</f>
        <v>345.93622669144776</v>
      </c>
      <c r="E6" s="2421">
        <f t="shared" ref="E6" si="16">E7*(1+P6)</f>
        <v>694.24498562544113</v>
      </c>
      <c r="F6" s="2421">
        <f t="shared" ref="F6" si="17">F7*(1+Q6)</f>
        <v>319.35475932716082</v>
      </c>
      <c r="G6" s="3037">
        <v>2020</v>
      </c>
      <c r="H6" s="2422">
        <v>4</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ROUND(IF(项目基本情况!B6="出让",SUMPRODUCT(PRODUCT(1+N6:N$33)),SUMPRODUCT(PRODUCT(1+N6:N$32))),4)</f>
        <v>1.571</v>
      </c>
      <c r="Y6" s="2425">
        <f>ROUND(IF(项目基本情况!B6="出让",SUMPRODUCT(PRODUCT(1+O6:O$33)),SUMPRODUCT(PRODUCT(1+O6:O$32))),4)</f>
        <v>1.3420000000000001</v>
      </c>
      <c r="Z6" s="2425">
        <f t="shared" ref="Z6" si="22">Y6</f>
        <v>1.3420000000000001</v>
      </c>
      <c r="AA6" s="2425">
        <f>ROUND(IF(项目基本情况!B6="出让",SUMPRODUCT(PRODUCT(1+P6:P$33)),SUMPRODUCT(PRODUCT(1+P6:P$32))),4)</f>
        <v>1.6415999999999999</v>
      </c>
      <c r="AB6" s="2425">
        <f>ROUND(IF(项目基本情况!B6="出让",SUMPRODUCT(PRODUCT(1+Q6:Q$33)),SUMPRODUCT(PRODUCT(1+Q6:Q$32))),4)</f>
        <v>1.389</v>
      </c>
      <c r="AC6" s="2425"/>
      <c r="AD6" s="2426">
        <f>ROUND(AVERAGE(I6:I$33)/100,4)</f>
        <v>1.7399999999999999E-2</v>
      </c>
      <c r="AE6" s="2426">
        <f>ROUND(AVERAGE(J6:J$33)/100,4)</f>
        <v>1.14E-2</v>
      </c>
      <c r="AF6" s="2426">
        <f t="shared" ref="AF6" si="23">AE6</f>
        <v>1.14E-2</v>
      </c>
      <c r="AG6" s="2426">
        <f>ROUND(AVERAGE(K6:K$33)/100,4)</f>
        <v>1.9199999999999998E-2</v>
      </c>
      <c r="AH6" s="2426">
        <f>ROUND(AVERAGE(L6:L$33)/100,4)</f>
        <v>1.23E-2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4">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2868</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2866</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2865</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2864</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2862</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2860</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2863</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1">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2858</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1"/>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2857</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1"/>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2850</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398"/>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2848</v>
      </c>
      <c r="B18" s="2435">
        <v>439</v>
      </c>
      <c r="C18" s="2435">
        <v>327</v>
      </c>
      <c r="D18" s="2435">
        <f>C18</f>
        <v>327</v>
      </c>
      <c r="E18" s="2435">
        <v>627</v>
      </c>
      <c r="F18" s="2436">
        <v>283</v>
      </c>
      <c r="G18" s="3394">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2849</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1"/>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1351</v>
      </c>
      <c r="B20" s="2421">
        <f t="shared" si="152"/>
        <v>419.31181600000002</v>
      </c>
      <c r="C20" s="2421">
        <f t="shared" si="153"/>
        <v>313.95436800000004</v>
      </c>
      <c r="D20" s="2421">
        <f t="shared" si="154"/>
        <v>313.95436800000004</v>
      </c>
      <c r="E20" s="2421">
        <f t="shared" si="155"/>
        <v>596.63028431999999</v>
      </c>
      <c r="F20" s="2421">
        <f t="shared" si="156"/>
        <v>274.74220703999998</v>
      </c>
      <c r="G20" s="3391"/>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398"/>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394">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1"/>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1"/>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2"/>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0">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1"/>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1"/>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2"/>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0">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1"/>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1"/>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2"/>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395">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396"/>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396"/>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397"/>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0">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1"/>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1"/>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2"/>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0">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1">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1">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2">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0">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1">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1">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2">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0">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1">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1">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2">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0">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1">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1">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2">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0">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1">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1">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2">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0">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1">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1">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2">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0">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1">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1">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2">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0">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1">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1">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2">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0">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1">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1">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2">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0">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1">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1">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2">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12" t="s">
        <v>2820</v>
      </c>
      <c r="C1" s="3402" t="s">
        <v>2821</v>
      </c>
      <c r="D1" s="3403"/>
      <c r="E1" s="3403"/>
      <c r="F1" s="3403"/>
      <c r="G1" s="3403"/>
      <c r="H1" s="3403"/>
      <c r="I1" s="3403"/>
      <c r="J1" s="3403"/>
      <c r="K1" s="3403"/>
      <c r="L1" s="3403"/>
      <c r="M1" s="3403"/>
      <c r="N1" s="3403"/>
      <c r="O1" s="3403"/>
      <c r="P1" s="3403"/>
      <c r="Q1" s="3403"/>
      <c r="R1" s="3403"/>
      <c r="S1" s="3404"/>
      <c r="T1" s="1112" t="s">
        <v>2822</v>
      </c>
    </row>
    <row r="2" spans="1:45" s="661" customFormat="1">
      <c r="A2" s="1113"/>
      <c r="B2" s="657" t="s">
        <v>2823</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2824</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2825</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5" t="s">
        <v>2826</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4" t="s">
        <v>2827</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4" t="s">
        <v>2828</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4" t="s">
        <v>2829</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1" t="s">
        <v>2830</v>
      </c>
      <c r="B17" s="2362" t="s">
        <v>2831</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3" t="s">
        <v>2832</v>
      </c>
      <c r="E19" s="1522"/>
      <c r="F19" s="1522"/>
      <c r="G19" s="1522"/>
      <c r="H19" s="1188"/>
      <c r="I19" s="162"/>
      <c r="J19" s="162"/>
      <c r="K19" s="162"/>
      <c r="L19" s="162"/>
      <c r="M19" s="162"/>
      <c r="N19" s="162"/>
      <c r="O19" s="162"/>
      <c r="P19" s="162"/>
      <c r="Q19" s="162"/>
      <c r="R19" s="725"/>
      <c r="S19" s="132"/>
    </row>
    <row r="20" spans="1:45" ht="16.5" thickBot="1">
      <c r="A20" s="669" t="s">
        <v>2833</v>
      </c>
      <c r="B20" s="298" t="e">
        <f ca="1">IF(D20="——",S22,S22-F20)</f>
        <v>#REF!</v>
      </c>
      <c r="C20" s="162"/>
      <c r="D20" s="2364"/>
      <c r="E20" s="1523"/>
      <c r="F20" s="1112" t="e">
        <f ca="1">SUMIF(INDIRECT("'"&amp;H20&amp;"'"&amp;"!A:A"),"承租人权益价值",INDIRECT("'"&amp;H20&amp;"'"&amp;"!c:c"))</f>
        <v>#REF!</v>
      </c>
      <c r="G20" s="1112" t="s">
        <v>2834</v>
      </c>
      <c r="H20" s="2365"/>
      <c r="I20" s="162"/>
      <c r="J20" s="162"/>
      <c r="K20" s="162"/>
      <c r="L20" s="162"/>
      <c r="M20" s="162"/>
      <c r="N20" s="162"/>
      <c r="O20" s="162"/>
      <c r="P20" s="162"/>
      <c r="Q20" s="162"/>
      <c r="R20" s="725"/>
      <c r="S20" s="132"/>
    </row>
    <row r="21" spans="1:45" ht="15.75">
      <c r="A21" s="669" t="s">
        <v>2835</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2836</v>
      </c>
      <c r="B22" s="23">
        <f>SUM(B24:B10000)</f>
        <v>100</v>
      </c>
      <c r="C22" s="3399" t="s">
        <v>33</v>
      </c>
      <c r="D22" s="3400"/>
      <c r="E22" s="3400"/>
      <c r="F22" s="3400"/>
      <c r="G22" s="3400"/>
      <c r="H22" s="3400"/>
      <c r="I22" s="3400"/>
      <c r="J22" s="3400"/>
      <c r="K22" s="3400"/>
      <c r="L22" s="3400"/>
      <c r="M22" s="3400"/>
      <c r="N22" s="3400"/>
      <c r="O22" s="3400"/>
      <c r="P22" s="3400"/>
      <c r="Q22" s="3401"/>
      <c r="R22" s="670">
        <f>ROUND(S22*10000/B22,0)</f>
        <v>10000</v>
      </c>
      <c r="S22" s="23">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1" t="s">
        <v>2840</v>
      </c>
      <c r="S23" s="11" t="s">
        <v>2841</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2842</v>
      </c>
      <c r="B24" s="672">
        <v>100</v>
      </c>
      <c r="C24" s="3035">
        <v>1</v>
      </c>
      <c r="D24" s="3036"/>
      <c r="E24" s="3035">
        <v>1</v>
      </c>
      <c r="F24" s="3036"/>
      <c r="G24" s="3035">
        <v>1</v>
      </c>
      <c r="H24" s="3036"/>
      <c r="I24" s="3035">
        <v>1</v>
      </c>
      <c r="J24" s="3036"/>
      <c r="K24" s="3035">
        <v>1</v>
      </c>
      <c r="L24" s="3036"/>
      <c r="M24" s="3035">
        <v>1</v>
      </c>
      <c r="N24" s="3036"/>
      <c r="O24" s="3035">
        <v>1</v>
      </c>
      <c r="P24" s="3036"/>
      <c r="Q24" s="3035">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c r="Q25" s="23">
        <f>(SUMIF($17:$17,P25,$18:$18)-SUMIF($17:$17,$P$24,$18:$18)+100)/100</f>
        <v>1</v>
      </c>
      <c r="R25" s="670">
        <f>IF(B25="",0,ROUND($R$24*C25*E25*G25*I25*K25*M25*O25*Q25,0))</f>
        <v>0</v>
      </c>
      <c r="S25" s="320">
        <f t="shared" si="11"/>
        <v>0</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1</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1</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1</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1</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1</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1</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1</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1</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1</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1</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1</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1</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1</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1</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1</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1</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1</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1</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1</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1</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1</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1</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1</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1</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1</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1</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1</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1</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1</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1</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1</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1</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1</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1</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1</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1</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1</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1</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1</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1</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1</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1</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1</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1</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1</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1</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1</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1</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1</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1</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1</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1</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1</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1</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1</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1</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1</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1</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1</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1</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1</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1</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1</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1</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1</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1</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1</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1</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1</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1</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1</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1</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1</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1</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1</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1</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1</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1</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1</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1</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1</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1</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1</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1</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1</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1</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1</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1</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1</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1</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1</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1</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1</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1</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1</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1</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1</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1</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1</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1</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1</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1</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1</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1</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1</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1</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1</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1</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1</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1</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1</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1</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1</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1</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1</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1</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1</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1</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1</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1</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1</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1</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1</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1</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1</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1</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1</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1</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1</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1</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1</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1</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1</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1</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1</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1</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1</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1</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1</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1</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1</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1</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1</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1</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1</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1</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1</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1</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1</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1</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1</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1</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1</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1</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1</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1</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1</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1</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1</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1</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1</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1</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1</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1</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1</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1</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1</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1</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1</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1</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1</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1</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1</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1</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1</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1</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1</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1</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1</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1</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1</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1</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1</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1</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1</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1</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1</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1</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1</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1</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1</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1</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1</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1</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1</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1</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1</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1</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1</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1</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1</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1</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1</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1</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1</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1</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1</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1</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1</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1</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1</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1</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1</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1</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1</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1</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1</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1</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1</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1</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1</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1</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1</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1</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1</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1</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1</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1</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1</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1</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1</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1</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1</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1</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1</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1</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1</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1</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1</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1</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1</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1</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1</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1</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1</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1</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1</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1</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1</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1</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1</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1</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1</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1</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1</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1</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1</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1</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1</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1</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1</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1</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1</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1</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1</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1</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1</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1</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1</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1</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1</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1</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1</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1</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1</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1</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1</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1</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1</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1</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1</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1</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1</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1</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1</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1</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1</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1</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1</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1</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1</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1</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1</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1</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1</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1</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1</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1</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1</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1</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1</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1</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1</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1</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1</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1</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1</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1</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1</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1</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1</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1</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1</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1</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1</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1</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1</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1</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1</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1</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1</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1</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1</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1</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1</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1</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1</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1</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1</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1</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1</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1</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1</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1</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1</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1</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1</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1</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1</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1</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1</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1</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1</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1</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1</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1</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1</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1</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1</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1</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1</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1</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1</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1</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1</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1</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1</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1</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1</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1</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1</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1</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1</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1</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1</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1</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1</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1</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1</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1</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1</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1</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1</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1</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1</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1</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1</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1</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1</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1</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1</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1</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1</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1</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1</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1</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1</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1</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1</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1</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1</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1</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1</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1</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1</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1</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1</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1</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1</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1</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1</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1</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1</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1</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1</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1</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1</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1</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1</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1</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1</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1</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1</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1</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1</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1</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1</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1</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1</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1</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1</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1</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1</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1</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1</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1</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1</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1</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1</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1</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1</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1</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1</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1</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1</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1</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1</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1</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1</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1</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1</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1</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1</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1</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1</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1</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1</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1</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1</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1</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1</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1</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1</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1</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1</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1</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1</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1</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1</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1</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1</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1</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1</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1</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1</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1</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1</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1</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1</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1</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1</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1</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1</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1</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1</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1</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1</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1</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1</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1</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1</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1</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1</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1</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1</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1</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1</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1</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1</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1</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1</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1</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1</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1</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1</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1</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1</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1</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31326</v>
      </c>
      <c r="C2" s="2" t="s">
        <v>133</v>
      </c>
      <c r="D2" s="203"/>
      <c r="E2" s="203"/>
      <c r="F2" s="203"/>
      <c r="G2" s="203"/>
    </row>
    <row r="3" spans="1:7" s="204" customFormat="1" ht="18" customHeight="1" thickBot="1">
      <c r="A3" s="207" t="s">
        <v>85</v>
      </c>
      <c r="B3" s="208">
        <f ca="1">ROUND(B2*10000/'数据-汇总表'!E3,0)</f>
        <v>27002</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160</v>
      </c>
      <c r="F9" s="225"/>
      <c r="G9" s="230"/>
    </row>
    <row r="10" spans="1:7" s="218" customFormat="1" ht="13.5" customHeight="1">
      <c r="A10" s="885" t="s">
        <v>801</v>
      </c>
      <c r="B10" s="228" t="s">
        <v>94</v>
      </c>
      <c r="C10" s="229">
        <f>ROUND(D10*E10/10000,0)</f>
        <v>232</v>
      </c>
      <c r="D10" s="952">
        <f>'数据-汇总表'!E6</f>
        <v>11601.220000000001</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232</v>
      </c>
      <c r="D19" s="956">
        <f>'数据-汇总表'!E3</f>
        <v>11601.220000000001</v>
      </c>
      <c r="E19" s="215">
        <f>'数据-取费表'!B31</f>
        <v>200</v>
      </c>
      <c r="F19" s="235"/>
      <c r="G19" s="1" t="s">
        <v>1042</v>
      </c>
    </row>
    <row r="20" spans="1:7" s="218" customFormat="1" ht="13.5" customHeight="1">
      <c r="A20" s="883" t="s">
        <v>1025</v>
      </c>
      <c r="B20" s="214" t="s">
        <v>104</v>
      </c>
      <c r="C20" s="236">
        <f>ROUND((C5+C19)*F20,0)</f>
        <v>417</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1228</v>
      </c>
      <c r="D22" s="239">
        <f ca="1">C26</f>
        <v>5.9999999999999995E-4</v>
      </c>
      <c r="E22" s="240" t="s">
        <v>126</v>
      </c>
      <c r="F22" s="241">
        <f ca="1">'数据-取费表'!B40</f>
        <v>3.85E-2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1202</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14</v>
      </c>
      <c r="D24" s="242"/>
      <c r="E24" s="242"/>
      <c r="F24" s="243"/>
      <c r="G24" s="244" t="s">
        <v>109</v>
      </c>
    </row>
    <row r="25" spans="1:7" s="218" customFormat="1" ht="24">
      <c r="A25" s="886" t="s">
        <v>793</v>
      </c>
      <c r="B25" s="219" t="s">
        <v>1026</v>
      </c>
      <c r="C25" s="1263">
        <f ca="1">ROUND(IF('数据-取费表'!B22&lt;=1,C20*F22*'数据-取费表'!B23/2,C20*(POWER((1+F22),'数据-取费表'!B23/2)-1)),0)</f>
        <v>12</v>
      </c>
      <c r="D25" s="242"/>
      <c r="E25" s="245"/>
      <c r="F25" s="243"/>
      <c r="G25" s="246" t="s">
        <v>110</v>
      </c>
    </row>
    <row r="26" spans="1:7" s="218" customFormat="1">
      <c r="A26" s="886" t="s">
        <v>795</v>
      </c>
      <c r="B26" s="219" t="s">
        <v>1028</v>
      </c>
      <c r="C26" s="242">
        <f ca="1">ROUND(IF('数据-取费表'!B22&lt;=1,F21*F22*'数据-取费表'!B23/2,F21*(POWER((1+F22),'数据-取费表'!B23/2)-1)),4)</f>
        <v>5.9999999999999995E-4</v>
      </c>
      <c r="D26" s="242"/>
      <c r="E26" s="245"/>
      <c r="F26" s="243"/>
      <c r="G26" s="247"/>
    </row>
    <row r="27" spans="1:7" s="218" customFormat="1" ht="24.75">
      <c r="A27" s="883" t="s">
        <v>787</v>
      </c>
      <c r="B27" s="248" t="s">
        <v>112</v>
      </c>
      <c r="C27" s="249">
        <f>C28</f>
        <v>2126</v>
      </c>
      <c r="D27" s="239">
        <f>C29</f>
        <v>2E-3</v>
      </c>
      <c r="E27" s="240" t="s">
        <v>126</v>
      </c>
      <c r="F27" s="250">
        <f>'数据-取费表'!Q16</f>
        <v>0.1</v>
      </c>
      <c r="G27" s="251" t="s">
        <v>1037</v>
      </c>
    </row>
    <row r="28" spans="1:7" s="218" customFormat="1" ht="13.5" customHeight="1">
      <c r="A28" s="886" t="s">
        <v>794</v>
      </c>
      <c r="B28" s="252" t="s">
        <v>1030</v>
      </c>
      <c r="C28" s="253">
        <f>ROUND((C5+C19+C20)*F27*'数据-取费表'!B21/'数据-取费表'!B20,0)</f>
        <v>2126</v>
      </c>
      <c r="D28" s="239"/>
      <c r="E28" s="240"/>
      <c r="F28" s="250"/>
      <c r="G28" s="251"/>
    </row>
    <row r="29" spans="1:7" s="218" customFormat="1" ht="13.5" customHeight="1">
      <c r="A29" s="886" t="s">
        <v>792</v>
      </c>
      <c r="B29" s="252" t="s">
        <v>1031</v>
      </c>
      <c r="C29" s="242">
        <f>ROUND(C21*F27*'数据-取费表'!B21/'数据-取费表'!B20,4)</f>
        <v>2E-3</v>
      </c>
      <c r="D29" s="239"/>
      <c r="E29" s="240"/>
      <c r="F29" s="250"/>
      <c r="G29" s="251"/>
    </row>
    <row r="30" spans="1:7" s="218" customFormat="1" ht="13.5" customHeight="1">
      <c r="A30" s="883"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26608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3868</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3480</v>
      </c>
      <c r="D34" s="221"/>
      <c r="E34" s="224"/>
      <c r="F34" s="261">
        <f>IF('数据-取费表'!B24=0,1,'数据-取费表'!N16)</f>
        <v>1</v>
      </c>
      <c r="G34" s="223" t="s">
        <v>116</v>
      </c>
    </row>
    <row r="35" spans="1:7" ht="13.5" customHeight="1">
      <c r="A35" s="886" t="s">
        <v>796</v>
      </c>
      <c r="B35" s="219" t="s">
        <v>60</v>
      </c>
      <c r="C35" s="224">
        <f>ROUND(C34*F35,0)</f>
        <v>104</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232</v>
      </c>
      <c r="D37" s="221">
        <f>'数据-汇总表'!E3</f>
        <v>11601.220000000001</v>
      </c>
      <c r="E37" s="253">
        <f>'数据-取费表'!B35</f>
        <v>200</v>
      </c>
      <c r="F37" s="263"/>
      <c r="G37" s="265" t="s">
        <v>119</v>
      </c>
    </row>
    <row r="38" spans="1:7" ht="13.5" customHeight="1">
      <c r="A38" s="886" t="s">
        <v>799</v>
      </c>
      <c r="B38" s="219" t="s">
        <v>63</v>
      </c>
      <c r="C38" s="224">
        <f>ROUND(C34*F38,0)</f>
        <v>52</v>
      </c>
      <c r="D38" s="224"/>
      <c r="E38" s="224"/>
      <c r="F38" s="263">
        <f>'数据-取费表'!B36</f>
        <v>1.4999999999999999E-2</v>
      </c>
      <c r="G38" s="223" t="s">
        <v>117</v>
      </c>
    </row>
    <row r="39" spans="1:7" s="218" customFormat="1" ht="13.5" customHeight="1">
      <c r="A39" s="883" t="s">
        <v>783</v>
      </c>
      <c r="B39" s="214" t="s">
        <v>104</v>
      </c>
      <c r="C39" s="236">
        <f>ROUND(C33*F20,0)</f>
        <v>77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113</v>
      </c>
      <c r="D41" s="239">
        <f ca="1">C44</f>
        <v>5.9999999999999995E-4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111</v>
      </c>
      <c r="D42" s="242"/>
      <c r="E42" s="242"/>
      <c r="F42" s="243"/>
      <c r="G42" s="3259" t="s">
        <v>121</v>
      </c>
    </row>
    <row r="43" spans="1:7" ht="13.5" customHeight="1">
      <c r="A43" s="886" t="s">
        <v>792</v>
      </c>
      <c r="B43" s="219" t="s">
        <v>1032</v>
      </c>
      <c r="C43" s="242">
        <f ca="1">ROUND(IF('数据-取费表'!B22&lt;=1,C39*F22*'数据-取费表'!B21/2,C39*(POWER((1+F22),'数据-取费表'!B21/2)-1)),0)</f>
        <v>2</v>
      </c>
      <c r="D43" s="242"/>
      <c r="E43" s="242"/>
      <c r="F43" s="243"/>
      <c r="G43" s="3260"/>
    </row>
    <row r="44" spans="1:7" ht="13.5" customHeight="1">
      <c r="A44" s="886" t="s">
        <v>793</v>
      </c>
      <c r="B44" s="219" t="s">
        <v>1034</v>
      </c>
      <c r="C44" s="242">
        <f ca="1">ROUND(IF('数据-取费表'!B22&lt;=1,C40*F22*'数据-取费表'!B21/2,C40*(POWER((1+F22),'数据-取费表'!B21/2)-1)),4)</f>
        <v>5.9999999999999995E-4</v>
      </c>
      <c r="D44" s="242"/>
      <c r="E44" s="242"/>
      <c r="F44" s="243"/>
      <c r="G44" s="3261"/>
    </row>
    <row r="45" spans="1:7" s="218" customFormat="1" ht="13.5" customHeight="1">
      <c r="A45" s="883" t="s">
        <v>786</v>
      </c>
      <c r="B45" s="248" t="s">
        <v>112</v>
      </c>
      <c r="C45" s="249">
        <f>C46</f>
        <v>395</v>
      </c>
      <c r="D45" s="239">
        <f>C47</f>
        <v>2E-3</v>
      </c>
      <c r="E45" s="240" t="s">
        <v>129</v>
      </c>
      <c r="F45" s="250"/>
      <c r="G45" s="251" t="s">
        <v>1040</v>
      </c>
    </row>
    <row r="46" spans="1:7" s="218" customFormat="1" ht="13.5" customHeight="1">
      <c r="A46" s="886" t="s">
        <v>794</v>
      </c>
      <c r="B46" s="252" t="s">
        <v>1033</v>
      </c>
      <c r="C46" s="253">
        <f>ROUND((C33+C39)*F27,0)</f>
        <v>395</v>
      </c>
      <c r="D46" s="267"/>
      <c r="E46" s="240"/>
      <c r="F46" s="250"/>
      <c r="G46" s="251"/>
    </row>
    <row r="47" spans="1:7" s="218" customFormat="1" ht="13.5" customHeight="1">
      <c r="A47" s="886" t="s">
        <v>792</v>
      </c>
      <c r="B47" s="252" t="s">
        <v>1035</v>
      </c>
      <c r="C47" s="242">
        <f>ROUND(C40*F27,4)</f>
        <v>2E-3</v>
      </c>
      <c r="D47" s="267"/>
      <c r="E47" s="240"/>
      <c r="F47" s="250"/>
      <c r="G47" s="251"/>
    </row>
    <row r="48" spans="1:7" s="218" customFormat="1" ht="13.5" customHeight="1">
      <c r="A48" s="883" t="s">
        <v>787</v>
      </c>
      <c r="B48" s="214" t="s">
        <v>122</v>
      </c>
      <c r="C48" s="266">
        <f>F30</f>
        <v>5.5000000000000007E-2</v>
      </c>
      <c r="D48" s="240" t="s">
        <v>130</v>
      </c>
      <c r="E48" s="236"/>
      <c r="F48" s="241"/>
      <c r="G48" s="238" t="s">
        <v>123</v>
      </c>
    </row>
    <row r="49" spans="1:7" ht="16.5" customHeight="1">
      <c r="A49" s="883" t="s">
        <v>788</v>
      </c>
      <c r="B49" s="214" t="s">
        <v>131</v>
      </c>
      <c r="C49" s="236">
        <f ca="1">ROUND((C33+C39+C41+C45)/(1-C40-D41-D45-C48/(1+'数据-取费表'!B42)),0)</f>
        <v>4814</v>
      </c>
      <c r="D49" s="236"/>
      <c r="E49" s="236"/>
      <c r="F49" s="268"/>
      <c r="G49" s="238" t="s">
        <v>1041</v>
      </c>
    </row>
    <row r="50" spans="1:7" s="262" customFormat="1" ht="24">
      <c r="A50" s="883" t="s">
        <v>789</v>
      </c>
      <c r="B50" s="214" t="s">
        <v>124</v>
      </c>
      <c r="C50" s="236"/>
      <c r="D50" s="236"/>
      <c r="E50" s="236"/>
      <c r="F50" s="268">
        <f>IF('数据-取费表'!B24=0,'数据-取费表'!N16,1)</f>
        <v>0.98</v>
      </c>
      <c r="G50" s="251" t="s">
        <v>125</v>
      </c>
    </row>
    <row r="51" spans="1:7" ht="16.5" customHeight="1">
      <c r="A51" s="883" t="s">
        <v>790</v>
      </c>
      <c r="B51" s="214" t="s">
        <v>132</v>
      </c>
      <c r="C51" s="236">
        <f ca="1">ROUND(C49*F50,0)</f>
        <v>4718</v>
      </c>
      <c r="D51" s="236"/>
      <c r="E51" s="236"/>
      <c r="F51" s="268"/>
      <c r="G51" s="238" t="s">
        <v>64</v>
      </c>
    </row>
    <row r="52" spans="1:7" s="212" customFormat="1" ht="16.5" thickBot="1">
      <c r="A52" s="269" t="s">
        <v>65</v>
      </c>
      <c r="B52" s="270"/>
      <c r="C52" s="271">
        <f ca="1">C31+C51</f>
        <v>31326</v>
      </c>
      <c r="D52" s="270"/>
      <c r="E52" s="270"/>
      <c r="F52" s="270"/>
      <c r="G52" s="272"/>
    </row>
    <row r="55" spans="1:7" ht="15">
      <c r="B55" s="274" t="s">
        <v>66</v>
      </c>
      <c r="C55" s="275"/>
    </row>
    <row r="56" spans="1:7">
      <c r="B56" s="277" t="s">
        <v>67</v>
      </c>
      <c r="C56" s="278">
        <f ca="1">ROUND(C51/C52,3)</f>
        <v>0.151</v>
      </c>
    </row>
    <row r="57" spans="1:7">
      <c r="B57" s="277" t="s">
        <v>68</v>
      </c>
      <c r="C57" s="279">
        <f ca="1">1-C56</f>
        <v>0.84899999999999998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5" t="s">
        <v>156</v>
      </c>
      <c r="B1" s="3405"/>
      <c r="C1" s="3405"/>
      <c r="D1" s="3405"/>
      <c r="E1" s="3405"/>
      <c r="F1" s="340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6" t="s">
        <v>169</v>
      </c>
      <c r="B2" s="3406"/>
      <c r="C2" s="3406"/>
      <c r="D2" s="3406"/>
      <c r="E2" s="3406"/>
      <c r="F2" s="340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0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5" t="s">
        <v>839</v>
      </c>
      <c r="B1" s="340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44299</v>
      </c>
      <c r="D1" s="1468" t="s">
        <v>1268</v>
      </c>
      <c r="E1" s="1463">
        <f>'数据-取费表'!B22</f>
        <v>1.5</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5">
        <v>43941</v>
      </c>
      <c r="D13" s="3046">
        <v>3.85</v>
      </c>
      <c r="E13" s="3046">
        <v>3.85</v>
      </c>
      <c r="F13" s="3046">
        <v>3.85</v>
      </c>
      <c r="G13" s="3046">
        <v>3.85</v>
      </c>
      <c r="H13" s="3046">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1"/>
      <c r="C14" s="3042">
        <v>43881</v>
      </c>
      <c r="D14" s="3041">
        <v>4.05</v>
      </c>
      <c r="E14" s="3041">
        <v>4.05</v>
      </c>
      <c r="F14" s="3041">
        <v>4.05</v>
      </c>
      <c r="G14" s="3041">
        <v>4.05</v>
      </c>
      <c r="H14" s="3041">
        <v>4.75</v>
      </c>
      <c r="I14" s="3041"/>
      <c r="J14" s="3041"/>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1"/>
      <c r="C15" s="3042">
        <v>43789</v>
      </c>
      <c r="D15" s="3041">
        <v>4.1500000000000004</v>
      </c>
      <c r="E15" s="3041">
        <v>4.1500000000000004</v>
      </c>
      <c r="F15" s="3041">
        <v>4.1500000000000004</v>
      </c>
      <c r="G15" s="3041">
        <v>4.1500000000000004</v>
      </c>
      <c r="H15" s="3041">
        <v>4.8</v>
      </c>
      <c r="I15" s="3041"/>
      <c r="J15" s="3041"/>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1"/>
      <c r="C16" s="3042">
        <v>43728</v>
      </c>
      <c r="D16" s="3041">
        <v>4.2</v>
      </c>
      <c r="E16" s="3041">
        <v>4.2</v>
      </c>
      <c r="F16" s="3041">
        <v>4.2</v>
      </c>
      <c r="G16" s="3041">
        <v>4.2</v>
      </c>
      <c r="H16" s="3041">
        <v>4.8499999999999996</v>
      </c>
      <c r="I16" s="3041"/>
      <c r="J16" s="3041"/>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40" t="s">
        <v>3057</v>
      </c>
      <c r="C17" s="3043">
        <v>43697</v>
      </c>
      <c r="D17" s="3044">
        <v>4.25</v>
      </c>
      <c r="E17" s="3044">
        <v>4.25</v>
      </c>
      <c r="F17" s="3044">
        <v>4.25</v>
      </c>
      <c r="G17" s="3044">
        <v>4.25</v>
      </c>
      <c r="H17" s="3044">
        <v>4.8499999999999996</v>
      </c>
      <c r="I17" s="3044"/>
      <c r="J17" s="3044"/>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1" sqref="K1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建筑物价值</v>
      </c>
      <c r="G2" s="3078"/>
      <c r="H2" s="3078" t="str">
        <f>IF(项目基本情况!B9="房地产市场价值","房地产市场价值","房地产价值")</f>
        <v>房地产价值</v>
      </c>
      <c r="I2" s="3078"/>
    </row>
    <row r="3" spans="1:9" ht="15">
      <c r="A3" s="3079"/>
      <c r="B3" s="3079"/>
      <c r="C3" s="3079"/>
      <c r="D3" s="961" t="s">
        <v>1603</v>
      </c>
      <c r="E3" s="961" t="s">
        <v>1609</v>
      </c>
      <c r="F3" s="961" t="s">
        <v>1603</v>
      </c>
      <c r="G3" s="961" t="s">
        <v>1604</v>
      </c>
      <c r="H3" s="961" t="s">
        <v>1603</v>
      </c>
      <c r="I3" s="961" t="s">
        <v>1604</v>
      </c>
    </row>
    <row r="4" spans="1:9" ht="60">
      <c r="A4" s="1688" t="str">
        <f>项目基本情况!S2</f>
        <v>北京市大兴区西红门镇3号地块内“星光影视园·北区”项目B5组团B5-1办公楼等6幢办公用房房地产</v>
      </c>
      <c r="B4" s="961">
        <f>项目基本情况!C17</f>
        <v>11601.220000000001</v>
      </c>
      <c r="C4" s="961">
        <f>项目基本情况!C18</f>
        <v>8832.7999999999993</v>
      </c>
      <c r="D4" s="961">
        <f ca="1">结果表!D118</f>
        <v>22703</v>
      </c>
      <c r="E4" s="961">
        <f ca="1">结果表!E118</f>
        <v>19569</v>
      </c>
      <c r="F4" s="961">
        <f ca="1">结果表!F118</f>
        <v>4196</v>
      </c>
      <c r="G4" s="961">
        <f ca="1">结果表!G118</f>
        <v>3617</v>
      </c>
      <c r="H4" s="961">
        <f ca="1">结果表!H118</f>
        <v>26899</v>
      </c>
      <c r="I4" s="961">
        <f ca="1">结果表!I118</f>
        <v>23186</v>
      </c>
    </row>
    <row r="5" spans="1:9" ht="30" customHeight="1">
      <c r="A5" s="3079" t="s">
        <v>1605</v>
      </c>
      <c r="B5" s="3079"/>
      <c r="C5" s="3079"/>
      <c r="D5" s="3080" t="str">
        <f ca="1">结果表!D119</f>
        <v>贰亿贰仟柒佰零叁万元整</v>
      </c>
      <c r="E5" s="3080"/>
      <c r="F5" s="3080" t="str">
        <f ca="1">结果表!F119</f>
        <v>肆仟壹佰玖拾陆万元整</v>
      </c>
      <c r="G5" s="3080"/>
      <c r="H5" s="3080" t="str">
        <f ca="1">结果表!H119</f>
        <v>贰亿陆仟捌佰玖拾玖万元整</v>
      </c>
      <c r="I5" s="3080"/>
    </row>
    <row r="6" spans="1:9" ht="15.75">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75">
      <c r="A8" s="3081" t="str">
        <f>结果表!A122</f>
        <v>房地产抵押价值</v>
      </c>
      <c r="B8" s="3081"/>
      <c r="C8" s="3081"/>
      <c r="D8" s="3081">
        <f ca="1">结果表!D122</f>
        <v>26899</v>
      </c>
      <c r="E8" s="3081"/>
      <c r="F8" s="3081"/>
      <c r="G8" s="3081"/>
      <c r="H8" s="3081"/>
      <c r="I8" s="3081"/>
    </row>
    <row r="9" spans="1:9" ht="15">
      <c r="A9" s="3079" t="s">
        <v>1605</v>
      </c>
      <c r="B9" s="3079"/>
      <c r="C9" s="3079"/>
      <c r="D9" s="3080" t="str">
        <f ca="1">结果表!D123</f>
        <v>贰亿陆仟捌佰玖拾玖万元整</v>
      </c>
      <c r="E9" s="3080"/>
      <c r="F9" s="3080"/>
      <c r="G9" s="3080"/>
      <c r="H9" s="3080"/>
      <c r="I9" s="3080"/>
    </row>
    <row r="10" spans="1:9" ht="15.75">
      <c r="A10" s="3081" t="str">
        <f>结果表!A124</f>
        <v/>
      </c>
      <c r="B10" s="3081"/>
      <c r="C10" s="3081"/>
      <c r="D10" s="3081" t="str">
        <f>结果表!D124</f>
        <v>——</v>
      </c>
      <c r="E10" s="3081"/>
      <c r="F10" s="3081"/>
      <c r="G10" s="3081"/>
      <c r="H10" s="3081"/>
      <c r="I10" s="3081"/>
    </row>
    <row r="11" spans="1:9" ht="15">
      <c r="A11" s="3079" t="s">
        <v>1605</v>
      </c>
      <c r="B11" s="3079"/>
      <c r="C11" s="3079"/>
      <c r="D11" s="3080" t="e">
        <f>结果表!D125</f>
        <v>#VALUE!</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8" t="s">
        <v>1627</v>
      </c>
      <c r="B1" s="3088"/>
      <c r="C1" s="3088"/>
      <c r="D1" s="3088"/>
    </row>
    <row r="2" spans="1:4" ht="18">
      <c r="A2" s="3089" t="s">
        <v>1611</v>
      </c>
      <c r="B2" s="3089"/>
      <c r="C2" s="3089"/>
      <c r="D2" s="3089"/>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089" t="s">
        <v>1617</v>
      </c>
      <c r="B6" s="3089"/>
      <c r="C6" s="3089"/>
      <c r="D6" s="3089"/>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090"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5"/>
      <c r="C21" s="3095"/>
      <c r="D21" s="3095"/>
    </row>
    <row r="22" spans="1:4" ht="18.75" customHeight="1">
      <c r="A22" s="3096" t="s">
        <v>1623</v>
      </c>
      <c r="B22" s="3096"/>
      <c r="C22" s="3096"/>
      <c r="D22" s="309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2" t="s">
        <v>1634</v>
      </c>
      <c r="B15" s="3097" t="s">
        <v>136</v>
      </c>
      <c r="C15" s="3098"/>
    </row>
    <row r="16" spans="1:7" ht="13.5">
      <c r="A16" s="3103"/>
      <c r="B16" s="3097" t="s">
        <v>69</v>
      </c>
      <c r="C16" s="3098"/>
    </row>
    <row r="17" spans="1:3" ht="13.5">
      <c r="A17" s="3103"/>
      <c r="B17" s="3100" t="s">
        <v>1635</v>
      </c>
      <c r="C17" s="1715" t="s">
        <v>1634</v>
      </c>
    </row>
    <row r="18" spans="1:3" ht="13.5">
      <c r="A18" s="3103"/>
      <c r="B18" s="3100"/>
      <c r="C18" s="1715" t="s">
        <v>1636</v>
      </c>
    </row>
    <row r="19" spans="1:3" ht="13.5">
      <c r="A19" s="3103"/>
      <c r="B19" s="3100"/>
      <c r="C19" s="1715" t="s">
        <v>1637</v>
      </c>
    </row>
    <row r="20" spans="1:3" ht="13.5">
      <c r="A20" s="3104"/>
      <c r="B20" s="3099" t="s">
        <v>1638</v>
      </c>
      <c r="C20" s="3098"/>
    </row>
    <row r="21" spans="1:3" ht="13.5">
      <c r="A21" s="1716" t="s">
        <v>1639</v>
      </c>
      <c r="B21" s="1717"/>
      <c r="C21" s="1718"/>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5" t="s">
        <v>1645</v>
      </c>
    </row>
    <row r="26" spans="1:3" ht="13.5">
      <c r="A26" s="3101"/>
      <c r="B26" s="3100"/>
      <c r="C26" s="1715" t="s">
        <v>1646</v>
      </c>
    </row>
    <row r="27" spans="1:3" ht="13.5">
      <c r="A27" s="3101"/>
      <c r="B27" s="3100"/>
      <c r="C27" s="1715" t="s">
        <v>1647</v>
      </c>
    </row>
    <row r="28" spans="1:3" ht="13.5">
      <c r="A28" s="3101"/>
      <c r="B28" s="3100"/>
      <c r="C28" s="1715" t="s">
        <v>1648</v>
      </c>
    </row>
    <row r="29" spans="1:3" ht="13.5">
      <c r="A29" s="3101"/>
      <c r="B29" s="3100"/>
      <c r="C29" s="1715" t="s">
        <v>1649</v>
      </c>
    </row>
    <row r="30" spans="1:3" ht="13.5">
      <c r="A30" s="3101"/>
      <c r="B30" s="3100"/>
      <c r="C30" s="1715" t="s">
        <v>1650</v>
      </c>
    </row>
    <row r="31" spans="1:3" ht="13.5">
      <c r="A31" s="3101"/>
      <c r="B31" s="3100"/>
      <c r="C31" s="1715" t="s">
        <v>1651</v>
      </c>
    </row>
    <row r="32" spans="1:3" ht="13.5">
      <c r="A32" s="3101"/>
      <c r="B32" s="3100"/>
      <c r="C32" s="1715" t="s">
        <v>1652</v>
      </c>
    </row>
    <row r="33" spans="1:3" ht="13.5">
      <c r="A33" s="3101"/>
      <c r="B33" s="310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44313</v>
      </c>
      <c r="C2" s="2560" t="s">
        <v>2878</v>
      </c>
      <c r="D2" s="2560"/>
      <c r="E2" s="2560"/>
      <c r="F2" s="2556"/>
      <c r="G2" s="2556"/>
      <c r="H2" s="2556"/>
    </row>
    <row r="3" spans="1:8" ht="24" customHeight="1">
      <c r="A3" s="2561" t="s">
        <v>2879</v>
      </c>
      <c r="B3" s="2562" t="s">
        <v>2880</v>
      </c>
      <c r="C3" s="2562" t="s">
        <v>2881</v>
      </c>
      <c r="D3" s="2563" t="s">
        <v>2882</v>
      </c>
      <c r="E3" s="2564" t="s">
        <v>2883</v>
      </c>
      <c r="F3" s="1470" t="s">
        <v>2884</v>
      </c>
      <c r="G3" s="2562" t="s">
        <v>2881</v>
      </c>
      <c r="H3" s="2563" t="s">
        <v>2885</v>
      </c>
    </row>
    <row r="4" spans="1:8" ht="24" customHeight="1">
      <c r="A4" s="1470" t="s">
        <v>2886</v>
      </c>
      <c r="B4" s="1470">
        <f ca="1">IF(C4&lt;B2,"已过期",1119970066)</f>
        <v>1119970066</v>
      </c>
      <c r="C4" s="2565">
        <v>44876</v>
      </c>
      <c r="D4" s="2566" t="str">
        <f ca="1">A4&amp;"（注册号："&amp;B4&amp;"）"</f>
        <v>梁津（注册号：1119970066）</v>
      </c>
      <c r="E4" s="2567" t="s">
        <v>2886</v>
      </c>
      <c r="F4" s="1470">
        <f ca="1">IF(G4&lt;B2,"已过期",96010014)</f>
        <v>96010014</v>
      </c>
      <c r="G4" s="2568">
        <v>47118</v>
      </c>
      <c r="H4" s="2569" t="str">
        <f ca="1">E4&amp;"（注册号："&amp;F4&amp;"）"</f>
        <v>梁津（注册号：96010014）</v>
      </c>
    </row>
    <row r="5" spans="1:8" ht="24" customHeight="1">
      <c r="A5" s="1470" t="s">
        <v>2887</v>
      </c>
      <c r="B5" s="1470">
        <f ca="1">IF(C5&lt;B2,"已过期",1119970111)</f>
        <v>1119970111</v>
      </c>
      <c r="C5" s="2565">
        <v>44876</v>
      </c>
      <c r="D5" s="2566" t="str">
        <f t="shared" ref="D5:D15" ca="1" si="0">A5&amp;"（注册号："&amp;B5&amp;"）"</f>
        <v>叶凌（注册号：1119970111）</v>
      </c>
      <c r="E5" s="2567" t="s">
        <v>2887</v>
      </c>
      <c r="F5" s="1470">
        <f ca="1">IF(G5&lt;B2,"已过期",94010078)</f>
        <v>94010078</v>
      </c>
      <c r="G5" s="2568">
        <v>46387</v>
      </c>
      <c r="H5" s="2569" t="str">
        <f t="shared" ref="H5:H16" ca="1" si="1">E5&amp;"（注册号："&amp;F5&amp;"）"</f>
        <v>叶凌（注册号：94010078）</v>
      </c>
    </row>
    <row r="6" spans="1:8" ht="24" customHeight="1">
      <c r="A6" s="1470" t="s">
        <v>2888</v>
      </c>
      <c r="B6" s="1470">
        <f ca="1">IF(C6&lt;B2,"已过期",1120050019)</f>
        <v>1120050019</v>
      </c>
      <c r="C6" s="2565">
        <v>44395</v>
      </c>
      <c r="D6" s="2566" t="str">
        <f t="shared" ca="1" si="0"/>
        <v>王鹏（注册号：1120050019）</v>
      </c>
      <c r="E6" s="2567" t="s">
        <v>2888</v>
      </c>
      <c r="F6" s="1470">
        <f ca="1">IF(G6&lt;B2,"已过期",2002110030)</f>
        <v>2002110030</v>
      </c>
      <c r="G6" s="2568">
        <v>46387</v>
      </c>
      <c r="H6" s="2569" t="str">
        <f t="shared" ca="1" si="1"/>
        <v>王鹏（注册号：2002110030）</v>
      </c>
    </row>
    <row r="7" spans="1:8" ht="24" customHeight="1">
      <c r="A7" s="1470" t="s">
        <v>2889</v>
      </c>
      <c r="B7" s="1470">
        <f ca="1">IF(C7&lt;B2,"已过期",1120000080)</f>
        <v>1120000080</v>
      </c>
      <c r="C7" s="2565">
        <v>44876</v>
      </c>
      <c r="D7" s="2566" t="str">
        <f t="shared" ca="1" si="0"/>
        <v>欧红伟（注册号：1120000080）</v>
      </c>
      <c r="E7" s="2567" t="s">
        <v>2889</v>
      </c>
      <c r="F7" s="1470">
        <f ca="1">IF(G7&lt;B2,"已过期",2000110082)</f>
        <v>2000110082</v>
      </c>
      <c r="G7" s="2568">
        <v>46387</v>
      </c>
      <c r="H7" s="2569" t="str">
        <f t="shared" ca="1" si="1"/>
        <v>欧红伟（注册号：2000110082）</v>
      </c>
    </row>
    <row r="8" spans="1:8" ht="24" customHeight="1">
      <c r="A8" s="1470" t="s">
        <v>2890</v>
      </c>
      <c r="B8" s="1470">
        <f ca="1">IF(C8&lt;B2,"已过期",1419970001)</f>
        <v>1419970001</v>
      </c>
      <c r="C8" s="2565">
        <v>44899</v>
      </c>
      <c r="D8" s="2566" t="str">
        <f t="shared" ca="1" si="0"/>
        <v>吴薇（注册号：1419970001）</v>
      </c>
      <c r="E8" s="2567" t="s">
        <v>2890</v>
      </c>
      <c r="F8" s="1470">
        <f ca="1">IF(G8&lt;B2,"已过期",2002110125)</f>
        <v>2002110125</v>
      </c>
      <c r="G8" s="2568">
        <v>47118</v>
      </c>
      <c r="H8" s="2569" t="str">
        <f t="shared" ca="1" si="1"/>
        <v>吴薇（注册号：2002110125）</v>
      </c>
    </row>
    <row r="9" spans="1:8" ht="24" customHeight="1">
      <c r="A9" s="1470" t="s">
        <v>2891</v>
      </c>
      <c r="B9" s="1470">
        <f ca="1">IF(C9&lt;B2,"已过期",1120060040)</f>
        <v>1120060040</v>
      </c>
      <c r="C9" s="2570">
        <v>44554</v>
      </c>
      <c r="D9" s="2566" t="str">
        <f t="shared" ca="1" si="0"/>
        <v>陈颖（注册号：1120060040）</v>
      </c>
      <c r="E9" s="2567" t="s">
        <v>2891</v>
      </c>
      <c r="F9" s="1470">
        <f ca="1">IF(G9&lt;B2,"已过期",2004110096)</f>
        <v>2004110096</v>
      </c>
      <c r="G9" s="2568">
        <v>47118</v>
      </c>
      <c r="H9" s="2569" t="str">
        <f t="shared" ca="1" si="1"/>
        <v>陈颖（注册号：2004110096）</v>
      </c>
    </row>
    <row r="10" spans="1:8" ht="24" customHeight="1">
      <c r="A10" s="1470" t="s">
        <v>2892</v>
      </c>
      <c r="B10" s="1470">
        <f ca="1">IF(C10&lt;B2,"已过期",1120100036)</f>
        <v>1120100036</v>
      </c>
      <c r="C10" s="2570">
        <v>44675</v>
      </c>
      <c r="D10" s="2566" t="str">
        <f t="shared" ca="1" si="0"/>
        <v>崔锴（注册号：1120100036）</v>
      </c>
      <c r="E10" s="2567" t="s">
        <v>2892</v>
      </c>
      <c r="F10" s="1470">
        <f ca="1">IF(G10&lt;B2,"已过期",2010110070)</f>
        <v>2010110070</v>
      </c>
      <c r="G10" s="2568">
        <v>47907</v>
      </c>
      <c r="H10" s="2569" t="str">
        <f t="shared" ca="1" si="1"/>
        <v>崔锴（注册号：2010110070）</v>
      </c>
    </row>
    <row r="11" spans="1:8" ht="24" customHeight="1">
      <c r="A11" s="1470" t="s">
        <v>2893</v>
      </c>
      <c r="B11" s="1470">
        <f ca="1">IF(C11&lt;B2,"已过期",1120070131)</f>
        <v>1120070131</v>
      </c>
      <c r="C11" s="2565">
        <v>44849</v>
      </c>
      <c r="D11" s="2566" t="str">
        <f t="shared" ca="1" si="0"/>
        <v>郑燚（注册号：1120070131）</v>
      </c>
      <c r="E11" s="2567" t="s">
        <v>2893</v>
      </c>
      <c r="F11" s="1470">
        <f ca="1">IF(G11&lt;B2,"已过期",2014110011)</f>
        <v>2014110011</v>
      </c>
      <c r="G11" s="2568">
        <v>49302</v>
      </c>
      <c r="H11" s="2569" t="str">
        <f t="shared" ca="1" si="1"/>
        <v>郑燚（注册号：2014110011）</v>
      </c>
    </row>
    <row r="12" spans="1:8" ht="24" customHeight="1">
      <c r="A12" s="1470" t="s">
        <v>2894</v>
      </c>
      <c r="B12" s="1470">
        <f ca="1">IF(C12&lt;B2,"已过期",1120040230)</f>
        <v>1120040230</v>
      </c>
      <c r="C12" s="2570">
        <v>44864</v>
      </c>
      <c r="D12" s="2566" t="str">
        <f t="shared" ca="1" si="0"/>
        <v>苏海（注册号：1120040230）</v>
      </c>
      <c r="E12" s="2567" t="s">
        <v>2894</v>
      </c>
      <c r="F12" s="1470">
        <f ca="1">IF(G12&lt;B2,"已过期",98030020)</f>
        <v>98030020</v>
      </c>
      <c r="G12" s="2568">
        <v>47118</v>
      </c>
      <c r="H12" s="2569" t="str">
        <f t="shared" ca="1" si="1"/>
        <v>苏海（注册号：98030020）</v>
      </c>
    </row>
    <row r="13" spans="1:8" ht="24" customHeight="1">
      <c r="A13" s="1470" t="s">
        <v>2895</v>
      </c>
      <c r="B13" s="1470">
        <f ca="1">IF(C13&lt;B2,"已过期",1120020033)</f>
        <v>1120020033</v>
      </c>
      <c r="C13" s="2565">
        <v>44339</v>
      </c>
      <c r="D13" s="2566" t="str">
        <f t="shared" ca="1" si="0"/>
        <v>刘敬东（注册号：1120020033）</v>
      </c>
      <c r="E13" s="2567" t="s">
        <v>2895</v>
      </c>
      <c r="F13" s="1470">
        <f ca="1">IF(G13&lt;B2,"已过期",2000110137)</f>
        <v>2000110137</v>
      </c>
      <c r="G13" s="2568">
        <v>46387</v>
      </c>
      <c r="H13" s="2569" t="str">
        <f t="shared" ca="1" si="1"/>
        <v>刘敬东（注册号：2000110137）</v>
      </c>
    </row>
    <row r="14" spans="1:8" ht="24" customHeight="1">
      <c r="A14" s="1470" t="s">
        <v>2896</v>
      </c>
      <c r="B14" s="1470">
        <f ca="1">IF(C14&lt;B2,"已过期",1119980106)</f>
        <v>1119980106</v>
      </c>
      <c r="C14" s="2570">
        <v>44969</v>
      </c>
      <c r="D14" s="2566" t="str">
        <f t="shared" ca="1" si="0"/>
        <v>刘俊财（注册号：1119980106）</v>
      </c>
      <c r="E14" s="2567" t="s">
        <v>2896</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2897</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05" t="s">
        <v>2898</v>
      </c>
      <c r="B17" s="3105"/>
      <c r="C17" s="3105"/>
      <c r="D17" s="3105"/>
      <c r="E17" s="3105"/>
      <c r="F17" s="3105"/>
      <c r="G17" s="3105"/>
      <c r="H17" s="3105"/>
    </row>
    <row r="18" spans="1:8" ht="24" customHeight="1">
      <c r="A18" s="3106" t="s">
        <v>2899</v>
      </c>
      <c r="B18" s="3106"/>
      <c r="C18" s="3106"/>
      <c r="D18" s="2563"/>
      <c r="E18" s="3107" t="s">
        <v>2900</v>
      </c>
      <c r="F18" s="3106"/>
      <c r="G18" s="3106"/>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2021-04-27T05:50:05Z</dcterms:modified>
</cp:coreProperties>
</file>