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905" windowWidth="21630" windowHeight="4950" tabRatio="875" firstSheet="34" activeTab="4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面积拆分" sheetId="68" r:id="rId15"/>
    <sheet name="估价对象房地状况" sheetId="20" r:id="rId16"/>
    <sheet name="剩余法-现房" sheetId="43" state="hidden" r:id="rId17"/>
    <sheet name="比较法-住宅、综合" sheetId="39" state="hidden" r:id="rId18"/>
    <sheet name="比较法-工业" sheetId="40" state="hidden" r:id="rId19"/>
    <sheet name="基准地价" sheetId="46" state="hidden" r:id="rId20"/>
    <sheet name="修正" sheetId="49" state="hidden" r:id="rId21"/>
    <sheet name="区片价" sheetId="48" state="hidden" r:id="rId22"/>
    <sheet name="容积率修正" sheetId="45" state="hidden" r:id="rId23"/>
    <sheet name="因素修正幅度" sheetId="56" state="hidden" r:id="rId24"/>
    <sheet name="地价" sheetId="59" state="hidden" r:id="rId25"/>
    <sheet name="基准地价（汇总）" sheetId="67" state="hidden" r:id="rId26"/>
    <sheet name="收益还原法" sheetId="44" state="hidden" r:id="rId27"/>
    <sheet name="酒店收入计算" sheetId="57" state="hidden" r:id="rId28"/>
    <sheet name="成本逼近法" sheetId="11" r:id="rId29"/>
    <sheet name="剩余法-待开发" sheetId="12" r:id="rId30"/>
    <sheet name="不动产收益法-住宅" sheetId="15" r:id="rId31"/>
    <sheet name="不动产收益法-底商" sheetId="73" r:id="rId32"/>
    <sheet name="不动产收益法-独商" sheetId="74" r:id="rId33"/>
    <sheet name="不动产收益法-办公" sheetId="75" r:id="rId34"/>
    <sheet name="不动产收益法-公寓" sheetId="76" r:id="rId35"/>
    <sheet name="不动产比较法-住宅" sheetId="21" r:id="rId36"/>
    <sheet name="不动产比较法-商业" sheetId="33" r:id="rId37"/>
    <sheet name="商业案例" sheetId="72" r:id="rId38"/>
    <sheet name="不动产比较法-办公" sheetId="34"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案例-天津" sheetId="70" r:id="rId45"/>
    <sheet name="办公案例" sheetId="71" r:id="rId46"/>
    <sheet name="表-彩色" sheetId="69" r:id="rId47"/>
    <sheet name="系统读取表" sheetId="66" r:id="rId48"/>
    <sheet name="结果表" sheetId="9" r:id="rId49"/>
  </sheets>
  <externalReferences>
    <externalReference r:id="rId50"/>
    <externalReference r:id="rId51"/>
  </externalReferences>
  <definedNames>
    <definedName name="__xlfn.CUBEVALUE" hidden="1">#NAME?</definedName>
    <definedName name="__xlfn.SUMIFS" hidden="1">#NAME?</definedName>
    <definedName name="_Fill" localSheetId="33" hidden="1">#REF!</definedName>
    <definedName name="_Fill" localSheetId="31" hidden="1">#REF!</definedName>
    <definedName name="_Fill" localSheetId="32" hidden="1">#REF!</definedName>
    <definedName name="_Fill" localSheetId="34" hidden="1">#REF!</definedName>
    <definedName name="_Fill" hidden="1">#REF!</definedName>
    <definedName name="_xlnm._FilterDatabase" localSheetId="18"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Key1" localSheetId="33" hidden="1">#REF!</definedName>
    <definedName name="_Key1" localSheetId="31" hidden="1">#REF!</definedName>
    <definedName name="_Key1" localSheetId="32" hidden="1">#REF!</definedName>
    <definedName name="_Key1" localSheetId="34" hidden="1">#REF!</definedName>
    <definedName name="_Key1" hidden="1">#REF!</definedName>
    <definedName name="_Order1" hidden="1">255</definedName>
    <definedName name="_Sort" localSheetId="33" hidden="1">#REF!</definedName>
    <definedName name="_Sort" localSheetId="31" hidden="1">#REF!</definedName>
    <definedName name="_Sort" localSheetId="32" hidden="1">#REF!</definedName>
    <definedName name="_Sort" localSheetId="34" hidden="1">#REF!</definedName>
    <definedName name="_Sort" hidden="1">#REF!</definedName>
    <definedName name="Code" localSheetId="33" hidden="1">#REF!</definedName>
    <definedName name="Code" localSheetId="31" hidden="1">#REF!</definedName>
    <definedName name="Code" localSheetId="32" hidden="1">#REF!</definedName>
    <definedName name="Code" localSheetId="34" hidden="1">#REF!</definedName>
    <definedName name="Code" hidden="1">#REF!</definedName>
    <definedName name="data1" localSheetId="33" hidden="1">#REF!</definedName>
    <definedName name="data1" localSheetId="31" hidden="1">#REF!</definedName>
    <definedName name="data1" localSheetId="32" hidden="1">#REF!</definedName>
    <definedName name="data1" localSheetId="34" hidden="1">#REF!</definedName>
    <definedName name="data1" hidden="1">#REF!</definedName>
    <definedName name="data2" localSheetId="33" hidden="1">#REF!</definedName>
    <definedName name="data2" localSheetId="31" hidden="1">#REF!</definedName>
    <definedName name="data2" localSheetId="32" hidden="1">#REF!</definedName>
    <definedName name="data2" localSheetId="34" hidden="1">#REF!</definedName>
    <definedName name="data2" hidden="1">#REF!</definedName>
    <definedName name="data3" localSheetId="33" hidden="1">#REF!</definedName>
    <definedName name="data3" localSheetId="31" hidden="1">#REF!</definedName>
    <definedName name="data3" localSheetId="32" hidden="1">#REF!</definedName>
    <definedName name="data3" localSheetId="34" hidden="1">#REF!</definedName>
    <definedName name="data3" hidden="1">#REF!</definedName>
    <definedName name="Discount" localSheetId="33" hidden="1">#REF!</definedName>
    <definedName name="Discount" localSheetId="31" hidden="1">#REF!</definedName>
    <definedName name="Discount" localSheetId="32" hidden="1">#REF!</definedName>
    <definedName name="Discount" localSheetId="34" hidden="1">#REF!</definedName>
    <definedName name="Discount" hidden="1">#REF!</definedName>
    <definedName name="display_area_2" localSheetId="33" hidden="1">#REF!</definedName>
    <definedName name="display_area_2" localSheetId="31" hidden="1">#REF!</definedName>
    <definedName name="display_area_2" localSheetId="32" hidden="1">#REF!</definedName>
    <definedName name="display_area_2" localSheetId="34" hidden="1">#REF!</definedName>
    <definedName name="display_area_2" hidden="1">#REF!</definedName>
    <definedName name="FCode" localSheetId="33" hidden="1">#REF!</definedName>
    <definedName name="FCode" localSheetId="31" hidden="1">#REF!</definedName>
    <definedName name="FCode" localSheetId="32" hidden="1">#REF!</definedName>
    <definedName name="FCode" localSheetId="34" hidden="1">#REF!</definedName>
    <definedName name="FCode" hidden="1">#REF!</definedName>
    <definedName name="HiddenRows" localSheetId="33" hidden="1">#REF!</definedName>
    <definedName name="HiddenRows" localSheetId="31" hidden="1">#REF!</definedName>
    <definedName name="HiddenRows" localSheetId="32" hidden="1">#REF!</definedName>
    <definedName name="HiddenRows" localSheetId="34" hidden="1">#REF!</definedName>
    <definedName name="HiddenRows" hidden="1">#REF!</definedName>
    <definedName name="OrderTable" localSheetId="33" hidden="1">#REF!</definedName>
    <definedName name="OrderTable" localSheetId="31" hidden="1">#REF!</definedName>
    <definedName name="OrderTable" localSheetId="32" hidden="1">#REF!</definedName>
    <definedName name="OrderTable" localSheetId="34" hidden="1">#REF!</definedName>
    <definedName name="OrderTable" hidden="1">#REF!</definedName>
    <definedName name="_xlnm.Print_Area" localSheetId="18">'比较法-工业'!$A$1:$K$63,'比较法-工业'!$A$66:$N$123</definedName>
    <definedName name="_xlnm.Print_Area" localSheetId="17">'比较法-住宅、综合'!$A$1:$K$67,'比较法-住宅、综合'!$A$71:$N$134</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3">'不动产收益法-办公'!$A$1:$F$43,'不动产收益法-办公'!$H$3:$M$29,'不动产收益法-办公'!$A$46:$F$70,'不动产收益法-办公'!$I$46:$M$60</definedName>
    <definedName name="_xlnm.Print_Area" localSheetId="31">'不动产收益法-底商'!$A$1:$F$43,'不动产收益法-底商'!$H$3:$M$29,'不动产收益法-底商'!$A$46:$F$70,'不动产收益法-底商'!$I$46:$M$60</definedName>
    <definedName name="_xlnm.Print_Area" localSheetId="32">'不动产收益法-独商'!$A$1:$F$43,'不动产收益法-独商'!$H$3:$M$29,'不动产收益法-独商'!$A$46:$F$70,'不动产收益法-独商'!$I$46:$M$60</definedName>
    <definedName name="_xlnm.Print_Area" localSheetId="34">'不动产收益法-公寓'!$A$1:$F$43,'不动产收益法-公寓'!$H$3:$M$29,'不动产收益法-公寓'!$A$46:$F$70,'不动产收益法-公寓'!$I$46:$M$60</definedName>
    <definedName name="_xlnm.Print_Area" localSheetId="30">'不动产收益法-住宅'!$A$1:$F$43,'不动产收益法-住宅'!$H$3:$M$29,'不动产收益法-住宅'!$A$46:$F$70,'不动产收益法-住宅'!$I$46:$M$60</definedName>
    <definedName name="_xlnm.Print_Area" localSheetId="28">成本逼近法!$A$1:$G$23</definedName>
    <definedName name="_xlnm.Print_Area" localSheetId="15">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5">'基准地价（汇总）'!$A$1:$F$14</definedName>
    <definedName name="_xlnm.Print_Area" localSheetId="48">结果表!$A$1:$I$46,结果表!$K$25:$O$44,结果表!$A$62:$I$115,结果表!$K$64:$P$81</definedName>
    <definedName name="_xlnm.Print_Area" localSheetId="29">'剩余法-待开发'!$A$1:$K$36</definedName>
    <definedName name="_xlnm.Print_Area" localSheetId="16">'剩余法-现房'!$A$1:$K$32</definedName>
    <definedName name="_xlnm.Print_Area" localSheetId="26">收益还原法!$A$1:$F$46,收益还原法!$H$3:$M$31,收益还原法!$I$47:$M$61</definedName>
    <definedName name="_xlnm.Print_Area" localSheetId="12">'数据-汇总表'!$A$1:$P$32</definedName>
    <definedName name="_xlnm.Print_Area" localSheetId="47">系统读取表!$A$1:$J$26</definedName>
    <definedName name="_xlnm.Print_Area" localSheetId="9">项目基本情况!$A$1:$J$44</definedName>
    <definedName name="ProdForm" localSheetId="33" hidden="1">#REF!</definedName>
    <definedName name="ProdForm" localSheetId="31" hidden="1">#REF!</definedName>
    <definedName name="ProdForm" localSheetId="32" hidden="1">#REF!</definedName>
    <definedName name="ProdForm" localSheetId="34" hidden="1">#REF!</definedName>
    <definedName name="ProdForm" hidden="1">#REF!</definedName>
    <definedName name="Product" localSheetId="33" hidden="1">#REF!</definedName>
    <definedName name="Product" localSheetId="31" hidden="1">#REF!</definedName>
    <definedName name="Product" localSheetId="32" hidden="1">#REF!</definedName>
    <definedName name="Product" localSheetId="34" hidden="1">#REF!</definedName>
    <definedName name="Product" hidden="1">#REF!</definedName>
    <definedName name="RCArea" localSheetId="33" hidden="1">#REF!</definedName>
    <definedName name="RCArea" localSheetId="31" hidden="1">#REF!</definedName>
    <definedName name="RCArea" localSheetId="32" hidden="1">#REF!</definedName>
    <definedName name="RCArea" localSheetId="34" hidden="1">#REF!</definedName>
    <definedName name="RCArea" hidden="1">#REF!</definedName>
    <definedName name="SpecialPrice" localSheetId="33" hidden="1">#REF!</definedName>
    <definedName name="SpecialPrice" localSheetId="31" hidden="1">#REF!</definedName>
    <definedName name="SpecialPrice" localSheetId="32" hidden="1">#REF!</definedName>
    <definedName name="SpecialPrice" localSheetId="34" hidden="1">#REF!</definedName>
    <definedName name="SpecialPrice" hidden="1">#REF!</definedName>
    <definedName name="tbl_ProdInfo" localSheetId="33" hidden="1">#REF!</definedName>
    <definedName name="tbl_ProdInfo" localSheetId="31" hidden="1">#REF!</definedName>
    <definedName name="tbl_ProdInfo" localSheetId="32" hidden="1">#REF!</definedName>
    <definedName name="tbl_ProdInfo" localSheetId="34" hidden="1">#REF!</definedName>
    <definedName name="tbl_ProdInfo" hidden="1">#REF!</definedName>
    <definedName name="啊发生的" localSheetId="33" hidden="1">#REF!</definedName>
    <definedName name="啊发生的" localSheetId="31" hidden="1">#REF!</definedName>
    <definedName name="啊发生的" localSheetId="32" hidden="1">#REF!</definedName>
    <definedName name="啊发生的" localSheetId="34" hidden="1">#REF!</definedName>
    <definedName name="啊发生的" hidden="1">#REF!</definedName>
    <definedName name="八级">区片价!$P$1:$P$40</definedName>
    <definedName name="办公层高" localSheetId="45">'[1]不动产比较法--商务办公'!$B$119:$M$119</definedName>
    <definedName name="办公层高" localSheetId="37">'[1]不动产比较法--商务办公'!$B$119:$M$119</definedName>
    <definedName name="办公层高">'不动产比较法-办公'!$B$119:$M$119</definedName>
    <definedName name="办公朝向" localSheetId="45">'[1]不动产比较法--商务办公'!$B$91:$M$91</definedName>
    <definedName name="办公朝向" localSheetId="37">'[1]不动产比较法--商务办公'!$B$91:$M$91</definedName>
    <definedName name="办公朝向">'不动产比较法-办公'!$B$91:$M$91</definedName>
    <definedName name="办公道路级别" localSheetId="45">'[1]不动产比较法--商务办公'!$B$87:$M$87</definedName>
    <definedName name="办公道路级别" localSheetId="37">'[1]不动产比较法--商务办公'!$B$87:$M$87</definedName>
    <definedName name="办公道路级别">'不动产比较法-办公'!$B$87:$M$87</definedName>
    <definedName name="办公公共部分装修" localSheetId="45">'[1]不动产比较法--商务办公'!$B$108:$M$108</definedName>
    <definedName name="办公公共部分装修" localSheetId="37">'[1]不动产比较法--商务办公'!$B$108:$M$108</definedName>
    <definedName name="办公公共部分装修">'不动产比较法-办公'!$B$108:$M$108</definedName>
    <definedName name="办公基础设施水平" localSheetId="45">'[1]不动产比较法--商务办公'!$B$117:$M$117</definedName>
    <definedName name="办公基础设施水平" localSheetId="37">'[1]不动产比较法--商务办公'!$B$117:$M$117</definedName>
    <definedName name="办公基础设施水平">'不动产比较法-办公'!$B$117:$M$117</definedName>
    <definedName name="办公集聚程度" localSheetId="45">[1]定义!$M$1:$M$6</definedName>
    <definedName name="办公集聚程度" localSheetId="37">[1]定义!$M$1:$M$6</definedName>
    <definedName name="办公集聚程度">定义!$M$1:$M$6</definedName>
    <definedName name="办公建筑结构" localSheetId="45">'[1]不动产比较法--商务办公'!$B$106:$M$106</definedName>
    <definedName name="办公建筑结构" localSheetId="37">'[1]不动产比较法--商务办公'!$B$106:$M$106</definedName>
    <definedName name="办公建筑结构">'不动产比较法-办公'!$B$106:$M$106</definedName>
    <definedName name="办公建筑类型" localSheetId="45">'[1]不动产比较法--商务办公'!$B$101:$M$101</definedName>
    <definedName name="办公建筑类型" localSheetId="37">'[1]不动产比较法--商务办公'!$B$101:$M$101</definedName>
    <definedName name="办公建筑类型">'不动产比较法-办公'!$B$101:$M$101</definedName>
    <definedName name="办公交易情况" localSheetId="45">'[1]不动产比较法--商务办公'!$A$62:$M$62</definedName>
    <definedName name="办公交易情况" localSheetId="37">'[1]不动产比较法--商务办公'!$A$62:$M$62</definedName>
    <definedName name="办公交易情况">'不动产比较法-办公'!$A$62:$M$62</definedName>
    <definedName name="办公楼层" localSheetId="45">'[1]不动产比较法--商务办公'!$B$89:$M$89</definedName>
    <definedName name="办公楼层" localSheetId="37">'[1]不动产比较法--商务办公'!$B$89:$M$89</definedName>
    <definedName name="办公楼层">'不动产比较法-办公'!$B$89:$M$89</definedName>
    <definedName name="办公内部装修" localSheetId="45">'[1]不动产比较法--商务办公'!$B$123:$M$123</definedName>
    <definedName name="办公内部装修" localSheetId="37">'[1]不动产比较法--商务办公'!$B$123:$M$123</definedName>
    <definedName name="办公内部装修">'不动产比较法-办公'!$B$123:$M$123</definedName>
    <definedName name="办公物业管理" localSheetId="45">'[1]不动产比较法--商务办公'!$B$115:$M$115</definedName>
    <definedName name="办公物业管理" localSheetId="37">'[1]不动产比较法--商务办公'!$B$115:$M$115</definedName>
    <definedName name="办公物业管理">'不动产比较法-办公'!$B$115:$M$115</definedName>
    <definedName name="办公用途" localSheetId="45">'[1]不动产比较法--商务办公'!$B$64:$M$64</definedName>
    <definedName name="办公用途" localSheetId="37">'[1]不动产比较法--商务办公'!$B$64:$M$64</definedName>
    <definedName name="办公用途">'不动产比较法-办公'!$B$64:$M$64</definedName>
    <definedName name="仓储公共部分装修" localSheetId="45">'[1]不动产比较法-仓储'!$B$77:$M$77</definedName>
    <definedName name="仓储公共部分装修" localSheetId="37">'[1]不动产比较法-仓储'!$B$77:$M$77</definedName>
    <definedName name="仓储公共部分装修">'不动产比较法-仓储'!$B$77:$M$77</definedName>
    <definedName name="仓储交易情况" localSheetId="45">'[1]不动产比较法-仓储'!$A$49:$M$49</definedName>
    <definedName name="仓储交易情况" localSheetId="37">'[1]不动产比较法-仓储'!$A$49:$M$49</definedName>
    <definedName name="仓储交易情况">'不动产比较法-仓储'!$A$49:$M$49</definedName>
    <definedName name="仓储楼层" localSheetId="45">'[1]不动产比较法-仓储'!$B$69:$M$69</definedName>
    <definedName name="仓储楼层" localSheetId="37">'[1]不动产比较法-仓储'!$B$69:$M$69</definedName>
    <definedName name="仓储楼层">'不动产比较法-仓储'!$B$69:$M$69</definedName>
    <definedName name="仓储物业等级" localSheetId="45">'[1]不动产比较法-仓储'!$B$82:$M$82</definedName>
    <definedName name="仓储物业等级" localSheetId="37">'[1]不动产比较法-仓储'!$B$82:$M$82</definedName>
    <definedName name="仓储物业等级">'不动产比较法-仓储'!$B$82:$M$82</definedName>
    <definedName name="仓储用途" localSheetId="45">'[1]不动产比较法-仓储'!$B$51:$M$51</definedName>
    <definedName name="仓储用途" localSheetId="37">'[1]不动产比较法-仓储'!$B$51:$M$51</definedName>
    <definedName name="仓储用途">'不动产比较法-仓储'!$B$51:$M$51</definedName>
    <definedName name="产业集聚程度" localSheetId="45">[1]定义!$N$1:$N$6</definedName>
    <definedName name="产业集聚程度" localSheetId="37">[1]定义!$N$1:$N$6</definedName>
    <definedName name="产业集聚程度">定义!$N$1:$N$6</definedName>
    <definedName name="车位公共部分装修" localSheetId="45">'[1]不动产比较法-车位'!$B$83:$M$83</definedName>
    <definedName name="车位公共部分装修" localSheetId="37">'[1]不动产比较法-车位'!$B$83:$M$83</definedName>
    <definedName name="车位公共部分装修">'不动产比较法-车位'!$B$83:$M$83</definedName>
    <definedName name="车位交易情况" localSheetId="45">'[1]不动产比较法-车位'!$A$51:$M$51</definedName>
    <definedName name="车位交易情况" localSheetId="37">'[1]不动产比较法-车位'!$A$51:$M$51</definedName>
    <definedName name="车位交易情况">'不动产比较法-车位'!$A$51:$M$51</definedName>
    <definedName name="车位类型" localSheetId="45">'[1]不动产比较法-车位'!$B$93:$M$93</definedName>
    <definedName name="车位类型" localSheetId="37">'[1]不动产比较法-车位'!$B$93:$M$93</definedName>
    <definedName name="车位类型">'不动产比较法-车位'!$B$93:$M$93</definedName>
    <definedName name="车位楼层" localSheetId="45">'[1]不动产比较法-车位'!$B$71:$M$71</definedName>
    <definedName name="车位楼层" localSheetId="37">'[1]不动产比较法-车位'!$B$71:$M$71</definedName>
    <definedName name="车位楼层">'不动产比较法-车位'!$B$71:$M$71</definedName>
    <definedName name="车位配套类型" localSheetId="45">'[1]不动产比较法-车位'!$B$79:$M$79</definedName>
    <definedName name="车位配套类型" localSheetId="37">'[1]不动产比较法-车位'!$B$79:$M$79</definedName>
    <definedName name="车位配套类型">'不动产比较法-车位'!$B$79:$M$79</definedName>
    <definedName name="车位物业等级" localSheetId="45">'[1]不动产比较法-车位'!$B$88:$M$88</definedName>
    <definedName name="车位物业等级" localSheetId="37">'[1]不动产比较法-车位'!$B$88:$M$88</definedName>
    <definedName name="车位物业等级">'不动产比较法-车位'!$B$88:$M$88</definedName>
    <definedName name="车位用途" localSheetId="45">'[1]不动产比较法-车位'!$B$53:$M$53</definedName>
    <definedName name="车位用途" localSheetId="37">'[1]不动产比较法-车位'!$B$53:$M$53</definedName>
    <definedName name="车位用途">'不动产比较法-车位'!$B$53:$M$53</definedName>
    <definedName name="城镇土地纳税等级分级范围" localSheetId="45">'[1]数据-取费表'!$A$53:$A$63</definedName>
    <definedName name="城镇土地纳税等级分级范围" localSheetId="37">'[1]数据-取费表'!$A$53:$A$63</definedName>
    <definedName name="城镇土地纳税等级分级范围">'数据-取费表'!$A$53:$A$63</definedName>
    <definedName name="初评" localSheetId="33" hidden="1">#REF!</definedName>
    <definedName name="初评" localSheetId="31" hidden="1">#REF!</definedName>
    <definedName name="初评" localSheetId="32" hidden="1">#REF!</definedName>
    <definedName name="初评" localSheetId="34" hidden="1">#REF!</definedName>
    <definedName name="初评" hidden="1">#REF!</definedName>
    <definedName name="单价内涵" localSheetId="45">[1]定义!$V$1:$V$3</definedName>
    <definedName name="单价内涵" localSheetId="37">[1]定义!$V$1:$V$3</definedName>
    <definedName name="单价内涵">定义!$V$1:$V$3</definedName>
    <definedName name="地方" localSheetId="33" hidden="1">#REF!</definedName>
    <definedName name="地方" localSheetId="31" hidden="1">#REF!</definedName>
    <definedName name="地方" localSheetId="32" hidden="1">#REF!</definedName>
    <definedName name="地方" localSheetId="34" hidden="1">#REF!</definedName>
    <definedName name="地方" hidden="1">#REF!</definedName>
    <definedName name="地块一" localSheetId="33" hidden="1">#REF!</definedName>
    <definedName name="地块一" localSheetId="31" hidden="1">#REF!</definedName>
    <definedName name="地块一" localSheetId="32" hidden="1">#REF!</definedName>
    <definedName name="地块一" localSheetId="34" hidden="1">#REF!</definedName>
    <definedName name="地块一" hidden="1">#REF!</definedName>
    <definedName name="地类判定" localSheetId="45">[1]定义!$H$1:$H$9</definedName>
    <definedName name="地类判定" localSheetId="37">[1]定义!$H$1:$H$9</definedName>
    <definedName name="地类判定">定义!$H$1:$H$9</definedName>
    <definedName name="二层商铺比较法" localSheetId="33" hidden="1">#REF!</definedName>
    <definedName name="二层商铺比较法" localSheetId="31" hidden="1">#REF!</definedName>
    <definedName name="二层商铺比较法" localSheetId="32" hidden="1">#REF!</definedName>
    <definedName name="二层商铺比较法" localSheetId="34" hidden="1">#REF!</definedName>
    <definedName name="二层商铺比较法" hidden="1">#REF!</definedName>
    <definedName name="二级">区片价!$J$1:$J$20</definedName>
    <definedName name="二级分类" localSheetId="45">[1]修正!$C$17:$C$39</definedName>
    <definedName name="二级分类" localSheetId="37">[1]修正!$C$17:$C$39</definedName>
    <definedName name="二级分类">修正!$C$17:$C$39</definedName>
    <definedName name="法定最高年限" localSheetId="45">[1]定义!$G$2:$G$4</definedName>
    <definedName name="法定最高年限" localSheetId="37">[1]定义!$G$2:$G$4</definedName>
    <definedName name="法定最高年限">定义!$G$2:$G$4</definedName>
    <definedName name="工业公共部分装修" localSheetId="45">'[1]不动产比较法-工业'!$B$95:$M$95</definedName>
    <definedName name="工业公共部分装修" localSheetId="37">'[1]不动产比较法-工业'!$B$95:$M$95</definedName>
    <definedName name="工业公共部分装修">'不动产比较法-工业'!$B$95:$M$95</definedName>
    <definedName name="工业基础设施水平" localSheetId="45">'[1]不动产比较法-工业'!$B$102:$M$102</definedName>
    <definedName name="工业基础设施水平" localSheetId="37">'[1]不动产比较法-工业'!$B$102:$M$102</definedName>
    <definedName name="工业基础设施水平">'不动产比较法-工业'!$B$102:$M$102</definedName>
    <definedName name="工业建筑结构" localSheetId="45">'[1]不动产比较法-工业'!$B$93:$M$93</definedName>
    <definedName name="工业建筑结构" localSheetId="37">'[1]不动产比较法-工业'!$B$93:$M$93</definedName>
    <definedName name="工业建筑结构">'不动产比较法-工业'!$B$93:$M$93</definedName>
    <definedName name="工业建筑类型" localSheetId="45">'[1]不动产比较法-工业'!$B$88:$M$88</definedName>
    <definedName name="工业建筑类型" localSheetId="37">'[1]不动产比较法-工业'!$B$88:$M$88</definedName>
    <definedName name="工业建筑类型">'不动产比较法-工业'!$B$88:$M$88</definedName>
    <definedName name="工业交易情况" localSheetId="45">'[1]不动产比较法-工业'!$A$55:$M$55</definedName>
    <definedName name="工业交易情况" localSheetId="37">'[1]不动产比较法-工业'!$A$55:$M$55</definedName>
    <definedName name="工业交易情况">'不动产比较法-工业'!$A$55:$M$55</definedName>
    <definedName name="工业内部装修" localSheetId="45">'[1]不动产比较法-工业'!$B$104:$M$104</definedName>
    <definedName name="工业内部装修" localSheetId="37">'[1]不动产比较法-工业'!$B$104:$M$104</definedName>
    <definedName name="工业内部装修">'不动产比较法-工业'!$B$104:$M$104</definedName>
    <definedName name="工业物业管理" localSheetId="45">'[1]不动产比较法-工业'!$B$100:$M$100</definedName>
    <definedName name="工业物业管理" localSheetId="37">'[1]不动产比较法-工业'!$B$100:$M$100</definedName>
    <definedName name="工业物业管理">'不动产比较法-工业'!$B$100:$M$100</definedName>
    <definedName name="工业用途" localSheetId="45">'[1]不动产比较法-工业'!$B$57:$M$57</definedName>
    <definedName name="工业用途" localSheetId="37">'[1]不动产比较法-工业'!$B$57:$M$57</definedName>
    <definedName name="工业用途">'不动产比较法-工业'!$B$57:$M$57</definedName>
    <definedName name="公共配套设施" localSheetId="45">[1]定义!$Q$1:$Q$6</definedName>
    <definedName name="公共配套设施" localSheetId="37">[1]定义!$Q$1:$Q$6</definedName>
    <definedName name="公共配套设施">定义!$Q$1:$Q$6</definedName>
    <definedName name="估价方法" localSheetId="45">[1]定义!$B$1:$B$50</definedName>
    <definedName name="估价方法" localSheetId="37">[1]定义!$B$1:$B$50</definedName>
    <definedName name="估价方法">定义!$B$1:$B$50</definedName>
    <definedName name="环境" localSheetId="45">[1]定义!$S$1:$S$6</definedName>
    <definedName name="环境" localSheetId="37">[1]定义!$S$1:$S$6</definedName>
    <definedName name="环境">定义!$S$1:$S$6</definedName>
    <definedName name="基础设施水平" localSheetId="45">[1]定义!$R$1:$R$6</definedName>
    <definedName name="基础设施水平" localSheetId="37">[1]定义!$R$1:$R$6</definedName>
    <definedName name="基础设施水平">定义!$R$1:$R$6</definedName>
    <definedName name="季度">基准地价!$N$19:$AB$19</definedName>
    <definedName name="季度2014">地价!$A$2:$A$32</definedName>
    <definedName name="价值类型2" localSheetId="45">[1]定义!$B$54:$B$56</definedName>
    <definedName name="价值类型2" localSheetId="37">[1]定义!$B$54:$B$56</definedName>
    <definedName name="价值类型2">定义!$B$54:$B$56</definedName>
    <definedName name="交通便捷度" localSheetId="45">[1]定义!$O$1:$O$6</definedName>
    <definedName name="交通便捷度" localSheetId="37">[1]定义!$O$1:$O$6</definedName>
    <definedName name="交通便捷度">定义!$O$1:$O$6</definedName>
    <definedName name="净值表" localSheetId="33" hidden="1">#REF!</definedName>
    <definedName name="净值表" localSheetId="31" hidden="1">#REF!</definedName>
    <definedName name="净值表" localSheetId="32" hidden="1">#REF!</definedName>
    <definedName name="净值表" localSheetId="34" hidden="1">#REF!</definedName>
    <definedName name="净值表" hidden="1">#REF!</definedName>
    <definedName name="九级">区片价!$Q$1:$Q$46</definedName>
    <definedName name="居住社区成熟度" localSheetId="45">[1]定义!$K$1:$K$6</definedName>
    <definedName name="居住社区成熟度" localSheetId="37">[1]定义!$K$1:$K$6</definedName>
    <definedName name="居住社区成熟度">定义!$K$1:$K$6</definedName>
    <definedName name="类别" localSheetId="45">[1]定义!$J$1:$J$3</definedName>
    <definedName name="类别" localSheetId="37">[1]定义!$J$1:$J$3</definedName>
    <definedName name="类别">定义!$J$1:$J$3</definedName>
    <definedName name="临街状况" localSheetId="45">[1]定义!$T$1:$T$5</definedName>
    <definedName name="临街状况" localSheetId="37">[1]定义!$T$1:$T$5</definedName>
    <definedName name="临街状况">定义!$T$1:$T$5</definedName>
    <definedName name="六级">区片价!$N$1:$N$49</definedName>
    <definedName name="内部装修维护情况" localSheetId="45">[1]定义!$U$1:$U$6</definedName>
    <definedName name="内部装修维护情况" localSheetId="37">[1]定义!$U$1:$U$6</definedName>
    <definedName name="内部装修维护情况">定义!$U$1:$U$6</definedName>
    <definedName name="判定" localSheetId="45">[1]定义!$D$1:$D$4</definedName>
    <definedName name="判定" localSheetId="37">[1]定义!$D$1:$D$4</definedName>
    <definedName name="判定">定义!$D$1:$D$4</definedName>
    <definedName name="七级">区片价!$O$1:$O$49</definedName>
    <definedName name="七通一平" localSheetId="45">[1]修正!$A$6:$A$14</definedName>
    <definedName name="七通一平" localSheetId="37">[1]修正!$A$6:$A$14</definedName>
    <definedName name="七通一平">修正!$A$6:$A$14</definedName>
    <definedName name="区域土地利用方向" localSheetId="45">[1]定义!$P$1:$P$6</definedName>
    <definedName name="区域土地利用方向" localSheetId="37">[1]定义!$P$1:$P$6</definedName>
    <definedName name="区域土地利用方向">定义!$P$1:$P$6</definedName>
    <definedName name="三级">区片价!$K$1:$K$21</definedName>
    <definedName name="商业层高" localSheetId="45">'[1]不动产比较法-商业'!$B$116:$M$116</definedName>
    <definedName name="商业层高" localSheetId="37">'[1]不动产比较法-商业'!$B$116:$M$116</definedName>
    <definedName name="商业层高">'不动产比较法-商业'!$B$116:$M$116</definedName>
    <definedName name="商业成新度">'不动产比较法-商业'!$B$109:$M$109</definedName>
    <definedName name="商业繁华度" localSheetId="45">[1]定义!$L$1:$L$6</definedName>
    <definedName name="商业繁华度" localSheetId="37">[1]定义!$L$1:$L$6</definedName>
    <definedName name="商业繁华度">定义!$L$1:$L$6</definedName>
    <definedName name="商业公共部分装修" localSheetId="45">'[1]不动产比较法-商业'!$B$107:$M$107</definedName>
    <definedName name="商业公共部分装修" localSheetId="37">'[1]不动产比较法-商业'!$B$107:$M$107</definedName>
    <definedName name="商业公共部分装修">'不动产比较法-商业'!$B$107:$M$107</definedName>
    <definedName name="商业基础设施水平" localSheetId="45">'[1]不动产比较法-商业'!$B$112:$M$112</definedName>
    <definedName name="商业基础设施水平" localSheetId="37">'[1]不动产比较法-商业'!$B$112:$M$112</definedName>
    <definedName name="商业基础设施水平">'不动产比较法-商业'!$B$112:$M$112</definedName>
    <definedName name="商业建筑结构" localSheetId="45">'[1]不动产比较法-商业'!$B$105:$M$105</definedName>
    <definedName name="商业建筑结构" localSheetId="37">'[1]不动产比较法-商业'!$B$105:$M$105</definedName>
    <definedName name="商业建筑结构">'不动产比较法-商业'!$B$105:$M$105</definedName>
    <definedName name="商业交易情况" localSheetId="45">'[1]不动产比较法-商业'!$A$61:$M$61</definedName>
    <definedName name="商业交易情况" localSheetId="37">'[1]不动产比较法-商业'!$A$61:$M$61</definedName>
    <definedName name="商业交易情况">'不动产比较法-商业'!$A$61:$M$61</definedName>
    <definedName name="商业街名称" localSheetId="45">[1]修正!$C$59:$C$119</definedName>
    <definedName name="商业街名称" localSheetId="37">[1]修正!$C$59:$C$119</definedName>
    <definedName name="商业街名称">修正!$C$59:$C$119</definedName>
    <definedName name="商业进深比" localSheetId="45">'[1]不动产比较法-商业'!$B$120:$M$120</definedName>
    <definedName name="商业进深比" localSheetId="37">'[1]不动产比较法-商业'!$B$120:$M$120</definedName>
    <definedName name="商业进深比">'不动产比较法-商业'!$B$120:$M$120</definedName>
    <definedName name="商业类型" localSheetId="45">'[1]不动产比较法-商业'!$B$100:$M$100</definedName>
    <definedName name="商业类型" localSheetId="37">'[1]不动产比较法-商业'!$B$100:$M$100</definedName>
    <definedName name="商业类型">'不动产比较法-商业'!$B$100:$M$100</definedName>
    <definedName name="商业临街状况" localSheetId="45">'[1]不动产比较法-商业'!$B$86:$M$86</definedName>
    <definedName name="商业临街状况" localSheetId="37">'[1]不动产比较法-商业'!$B$86:$M$86</definedName>
    <definedName name="商业临街状况">'不动产比较法-商业'!$B$86:$M$86</definedName>
    <definedName name="商业楼层" localSheetId="45">'[1]不动产比较法-商业'!$B$92:$M$92</definedName>
    <definedName name="商业楼层" localSheetId="37">'[1]不动产比较法-商业'!$B$92:$M$92</definedName>
    <definedName name="商业楼层">'不动产比较法-商业'!$B$92:$M$92</definedName>
    <definedName name="商业内部装修" localSheetId="45">'[1]不动产比较法-商业'!$B$122:$M$122</definedName>
    <definedName name="商业内部装修" localSheetId="37">'[1]不动产比较法-商业'!$B$122:$M$122</definedName>
    <definedName name="商业内部装修">'不动产比较法-商业'!$B$122:$M$122</definedName>
    <definedName name="商业人流量" localSheetId="45">'[1]不动产比较法-商业'!$B$90:$M$90</definedName>
    <definedName name="商业人流量" localSheetId="37">'[1]不动产比较法-商业'!$B$90:$M$90</definedName>
    <definedName name="商业人流量">'不动产比较法-商业'!$B$90:$M$90</definedName>
    <definedName name="商业业态" localSheetId="45">'[1]不动产比较法-商业'!$B$114:$M$114</definedName>
    <definedName name="商业业态" localSheetId="37">'[1]不动产比较法-商业'!$B$114:$M$114</definedName>
    <definedName name="商业业态">'不动产比较法-商业'!$B$114:$M$114</definedName>
    <definedName name="商业用途" localSheetId="45">'[1]不动产比较法-商业'!$B$63:$M$63</definedName>
    <definedName name="商业用途" localSheetId="37">'[1]不动产比较法-商业'!$B$63:$M$63</definedName>
    <definedName name="商业用途">'不动产比较法-商业'!$B$63:$M$63</definedName>
    <definedName name="十二级">区片价!$T$1:$T$8</definedName>
    <definedName name="十级">区片价!$R$1:$R$27</definedName>
    <definedName name="十一级">区片价!$S$1:$S$22</definedName>
    <definedName name="市场比较动漫" hidden="1">'[2]#REF!'!$A$2:$D$39</definedName>
    <definedName name="是否封闭" localSheetId="45">'[1]不动产比较法-仓储'!$B$89:$M$89</definedName>
    <definedName name="是否封闭" localSheetId="37">'[1]不动产比较法-仓储'!$B$89:$M$89</definedName>
    <definedName name="是否封闭">'不动产比较法-仓储'!$B$89:$M$89</definedName>
    <definedName name="是否直接入户" localSheetId="45">'[1]不动产比较法-车位'!$B$95:$M$95</definedName>
    <definedName name="是否直接入户" localSheetId="37">'[1]不动产比较法-车位'!$B$95:$M$95</definedName>
    <definedName name="是否直接入户">'不动产比较法-车位'!$B$95:$M$95</definedName>
    <definedName name="四级">区片价!$L$1:$L$28</definedName>
    <definedName name="套工工程地质条件" localSheetId="45">'[1]比较法-工业'!$B$116:$M$116</definedName>
    <definedName name="套工工程地质条件" localSheetId="37">'[1]比较法-工业'!$B$116:$M$116</definedName>
    <definedName name="套工工程地质条件">'比较法-工业'!$B$116:$M$116</definedName>
    <definedName name="套工交易情况" localSheetId="45">'[1]比较法-住宅、综合'!$A$75:$M$75</definedName>
    <definedName name="套工交易情况" localSheetId="37">'[1]比较法-住宅、综合'!$A$75:$M$75</definedName>
    <definedName name="套工交易情况">'比较法-住宅、综合'!$A$75:$M$75</definedName>
    <definedName name="套工开发程度" localSheetId="45">'[1]比较法-工业'!$B$114:$M$114</definedName>
    <definedName name="套工开发程度" localSheetId="37">'[1]比较法-工业'!$B$114:$M$114</definedName>
    <definedName name="套工开发程度">'比较法-工业'!$B$114:$M$114</definedName>
    <definedName name="套工临街等级" localSheetId="45">'[1]比较法-工业'!$B$99:$M$99</definedName>
    <definedName name="套工临街等级" localSheetId="37">'[1]比较法-工业'!$B$99:$M$99</definedName>
    <definedName name="套工临街等级">'比较法-工业'!$B$99:$M$99</definedName>
    <definedName name="套工土地级别" localSheetId="45">'[1]比较法-工业'!$B$101:$M$101</definedName>
    <definedName name="套工土地级别" localSheetId="37">'[1]比较法-工业'!$B$101:$M$101</definedName>
    <definedName name="套工土地级别">'比较法-工业'!$B$101:$M$101</definedName>
    <definedName name="套工用途" localSheetId="45">'[1]比较法-工业'!$B$72:$M$72</definedName>
    <definedName name="套工用途" localSheetId="37">'[1]比较法-工业'!$B$72:$M$72</definedName>
    <definedName name="套工用途">'比较法-工业'!$B$72:$M$72</definedName>
    <definedName name="套工宗地形状" localSheetId="45">'[1]比较法-工业'!$B$112:$M$112</definedName>
    <definedName name="套工宗地形状" localSheetId="37">'[1]比较法-工业'!$B$112:$M$112</definedName>
    <definedName name="套工宗地形状">'比较法-工业'!$B$112:$M$112</definedName>
    <definedName name="套综道路等级" localSheetId="45">'[1]比较法-住宅、综合'!$B$108:$M$108</definedName>
    <definedName name="套综道路等级" localSheetId="37">'[1]比较法-住宅、综合'!$B$108:$M$108</definedName>
    <definedName name="套综道路等级">'比较法-住宅、综合'!$B$108:$M$108</definedName>
    <definedName name="套综工程地质条件" localSheetId="45">'[1]比较法-住宅、综合'!$B$127:$M$127</definedName>
    <definedName name="套综工程地质条件" localSheetId="37">'[1]比较法-住宅、综合'!$B$127:$M$127</definedName>
    <definedName name="套综工程地质条件">'比较法-住宅、综合'!$B$127:$M$127</definedName>
    <definedName name="套综交易情况" localSheetId="45">'[1]比较法-住宅、综合'!$A$75:$M$75</definedName>
    <definedName name="套综交易情况" localSheetId="37">'[1]比较法-住宅、综合'!$A$75:$M$75</definedName>
    <definedName name="套综交易情况">'比较法-住宅、综合'!$A$75:$M$75</definedName>
    <definedName name="套综临街宽度及深度" localSheetId="45">'[1]比较法-住宅、综合'!$B$123:$M$123</definedName>
    <definedName name="套综临街宽度及深度" localSheetId="37">'[1]比较法-住宅、综合'!$B$123:$M$123</definedName>
    <definedName name="套综临街宽度及深度">'比较法-住宅、综合'!$B$123:$M$123</definedName>
    <definedName name="套综土地级别" localSheetId="45">'[1]比较法-住宅、综合'!$B$110:$M$110</definedName>
    <definedName name="套综土地级别" localSheetId="37">'[1]比较法-住宅、综合'!$B$110:$M$110</definedName>
    <definedName name="套综土地级别">'比较法-住宅、综合'!$B$110:$M$110</definedName>
    <definedName name="套综用途" localSheetId="45">'[1]比较法-住宅、综合'!$B$77:$M$77</definedName>
    <definedName name="套综用途" localSheetId="37">'[1]比较法-住宅、综合'!$B$77:$M$77</definedName>
    <definedName name="套综用途">'比较法-住宅、综合'!$B$77:$M$77</definedName>
    <definedName name="套综宗地内开发程度" localSheetId="45">'[1]比较法-住宅、综合'!$B$125:$M$125</definedName>
    <definedName name="套综宗地内开发程度" localSheetId="37">'[1]比较法-住宅、综合'!$B$125:$M$125</definedName>
    <definedName name="套综宗地内开发程度">'比较法-住宅、综合'!$B$125:$M$125</definedName>
    <definedName name="套综宗地形状" localSheetId="45">'[1]比较法-住宅、综合'!$B$121:$M$121</definedName>
    <definedName name="套综宗地形状" localSheetId="37">'[1]比较法-住宅、综合'!$B$121:$M$121</definedName>
    <definedName name="套综宗地形状">'比较法-住宅、综合'!$B$121:$M$121</definedName>
    <definedName name="土地估价师" localSheetId="45">[1]估价师及机构信息!$D$3:$D$24</definedName>
    <definedName name="土地估价师" localSheetId="37">[1]估价师及机构信息!$D$3:$D$24</definedName>
    <definedName name="土地估价师">估价师及机构信息!$D$3:$D$16</definedName>
    <definedName name="土地级别" localSheetId="45">[1]定义!$C$1:$C$14</definedName>
    <definedName name="土地级别" localSheetId="37">[1]定义!$C$1:$C$14</definedName>
    <definedName name="土地级别">定义!$C$1:$C$14</definedName>
    <definedName name="土地利用方向">定义!$P$1:$P$6</definedName>
    <definedName name="土地年限区间" localSheetId="45">[1]定义!$I$1:$I$8</definedName>
    <definedName name="土地年限区间" localSheetId="37">[1]定义!$I$1:$I$8</definedName>
    <definedName name="土地年限区间">定义!$I$1:$I$8</definedName>
    <definedName name="位置" localSheetId="45">[1]定义!$E$2:$E$4</definedName>
    <definedName name="位置" localSheetId="37">[1]定义!$E$2:$E$4</definedName>
    <definedName name="位置">定义!$E$2:$E$4</definedName>
    <definedName name="五等判定" localSheetId="45">[1]定义!$W$1:$W$6</definedName>
    <definedName name="五等判定" localSheetId="37">[1]定义!$W$1:$W$6</definedName>
    <definedName name="五等判定">定义!$W$1:$W$6</definedName>
    <definedName name="五级">区片价!$M$1:$M$35</definedName>
    <definedName name="项目类型" localSheetId="45">'[1]数据-汇总表'!$C$17:$C$26</definedName>
    <definedName name="项目类型" localSheetId="37">'[1]数据-汇总表'!$C$17:$C$26</definedName>
    <definedName name="项目类型">'数据-汇总表'!$C$17:$C$26</definedName>
    <definedName name="写字楼等级" localSheetId="45">'[1]不动产比较法--商务办公'!$B$113:$M$113</definedName>
    <definedName name="写字楼等级" localSheetId="37">'[1]不动产比较法--商务办公'!$B$113:$M$113</definedName>
    <definedName name="写字楼等级">'不动产比较法-办公'!$B$113:$M$113</definedName>
    <definedName name="一级">区片价!$I$1:$I$6</definedName>
    <definedName name="一修多修正项2" localSheetId="45">[1]典型户型修正!$5:$5</definedName>
    <definedName name="一修多修正项2" localSheetId="37">[1]典型户型修正!$5:$5</definedName>
    <definedName name="一修多修正项2">典型户型修正!$5:$5</definedName>
    <definedName name="一修多修正项3" localSheetId="45">[1]典型户型修正!$7:$7</definedName>
    <definedName name="一修多修正项3" localSheetId="37">[1]典型户型修正!$7:$7</definedName>
    <definedName name="一修多修正项3">典型户型修正!$7:$7</definedName>
    <definedName name="一修多修正项4" localSheetId="45">[1]典型户型修正!$9:$9</definedName>
    <definedName name="一修多修正项4" localSheetId="37">[1]典型户型修正!$9:$9</definedName>
    <definedName name="一修多修正项4">典型户型修正!$9:$9</definedName>
    <definedName name="一修多修正项5" localSheetId="45">[1]典型户型修正!$11:$11</definedName>
    <definedName name="一修多修正项5" localSheetId="37">[1]典型户型修正!$11:$11</definedName>
    <definedName name="一修多修正项5">典型户型修正!$11:$11</definedName>
    <definedName name="一修多修正项6" localSheetId="45">[1]典型户型修正!$13:$13</definedName>
    <definedName name="一修多修正项6" localSheetId="37">[1]典型户型修正!$13:$13</definedName>
    <definedName name="一修多修正项6">典型户型修正!$13:$13</definedName>
    <definedName name="一修多修正项7" localSheetId="45">[1]典型户型修正!$15:$15</definedName>
    <definedName name="一修多修正项7" localSheetId="37">[1]典型户型修正!$15:$15</definedName>
    <definedName name="一修多修正项7">典型户型修正!$15:$15</definedName>
    <definedName name="一修多修正项8" localSheetId="45">[1]典型户型修正!$17:$17</definedName>
    <definedName name="一修多修正项8" localSheetId="37">[1]典型户型修正!$17:$17</definedName>
    <definedName name="一修多修正项8">典型户型修正!$17:$17</definedName>
    <definedName name="用途类型" localSheetId="45">[1]定义!$A$1:$A$50</definedName>
    <definedName name="用途类型" localSheetId="37">[1]定义!$A$1:$A$50</definedName>
    <definedName name="用途类型">定义!$A$1:$A$50</definedName>
    <definedName name="有无电梯" localSheetId="45">'[1]不动产比较法-仓储'!$B$84:$M$84</definedName>
    <definedName name="有无电梯" localSheetId="37">'[1]不动产比较法-仓储'!$B$84:$M$84</definedName>
    <definedName name="有无电梯">'不动产比较法-仓储'!$B$84:$M$84</definedName>
    <definedName name="主用途" localSheetId="45">[1]定义!$F$1:$F$10</definedName>
    <definedName name="主用途" localSheetId="37">[1]定义!$F$1:$F$10</definedName>
    <definedName name="主用途">定义!$F$1:$F$10</definedName>
    <definedName name="住宅朝向" localSheetId="45">'[1]不动产比较法-住宅-天津'!$B$88:$M$88</definedName>
    <definedName name="住宅朝向" localSheetId="37">'[1]不动产比较法-住宅-天津'!$B$88:$M$88</definedName>
    <definedName name="住宅朝向">'不动产比较法-住宅'!$B$88:$M$88</definedName>
    <definedName name="住宅房型" localSheetId="45">'[1]不动产比较法-住宅-天津'!$B$118:$M$118</definedName>
    <definedName name="住宅房型" localSheetId="37">'[1]不动产比较法-住宅-天津'!$B$118:$M$118</definedName>
    <definedName name="住宅房型">'不动产比较法-住宅'!$B$118:$M$118</definedName>
    <definedName name="住宅公共部分装修" localSheetId="45">'[1]不动产比较法-住宅-天津'!$B$109:$M$109</definedName>
    <definedName name="住宅公共部分装修" localSheetId="37">'[1]不动产比较法-住宅-天津'!$B$109:$M$109</definedName>
    <definedName name="住宅公共部分装修">'不动产比较法-住宅'!$B$109:$M$109</definedName>
    <definedName name="住宅基础设施水平" localSheetId="45">'[1]不动产比较法-住宅-天津'!$B$116:$M$116</definedName>
    <definedName name="住宅基础设施水平" localSheetId="37">'[1]不动产比较法-住宅-天津'!$B$116:$M$116</definedName>
    <definedName name="住宅基础设施水平">'不动产比较法-住宅'!$B$116:$M$116</definedName>
    <definedName name="住宅建筑结构" localSheetId="45">'[1]不动产比较法-住宅-天津'!$B$105:$M$105</definedName>
    <definedName name="住宅建筑结构" localSheetId="37">'[1]不动产比较法-住宅-天津'!$B$105:$M$105</definedName>
    <definedName name="住宅建筑结构">'不动产比较法-住宅'!$B$105:$M$105</definedName>
    <definedName name="住宅建筑类型" localSheetId="45">'[1]不动产比较法-住宅-天津'!$B$100:$M$100</definedName>
    <definedName name="住宅建筑类型" localSheetId="37">'[1]不动产比较法-住宅-天津'!$B$100:$M$100</definedName>
    <definedName name="住宅建筑类型">'不动产比较法-住宅'!$B$100:$M$100</definedName>
    <definedName name="住宅建筑品质" localSheetId="45">'[1]不动产比较法-住宅-天津'!$B$107:$M$107</definedName>
    <definedName name="住宅建筑品质" localSheetId="37">'[1]不动产比较法-住宅-天津'!$B$107:$M$107</definedName>
    <definedName name="住宅建筑品质">'不动产比较法-住宅'!$B$107:$M$107</definedName>
    <definedName name="住宅交易情况" localSheetId="45">'[1]不动产比较法-住宅-天津'!$A$61:$M$61</definedName>
    <definedName name="住宅交易情况" localSheetId="37">'[1]不动产比较法-住宅-天津'!$A$61:$M$61</definedName>
    <definedName name="住宅交易情况">'不动产比较法-住宅'!$A$61:$M$61</definedName>
    <definedName name="住宅楼层" localSheetId="45">'[1]不动产比较法-住宅-天津'!$B$86:$M$86</definedName>
    <definedName name="住宅楼层" localSheetId="37">'[1]不动产比较法-住宅-天津'!$B$86:$M$86</definedName>
    <definedName name="住宅楼层">'不动产比较法-住宅'!$B$86:$M$86</definedName>
    <definedName name="住宅内部装修" localSheetId="45">'[1]不动产比较法-住宅-天津'!$B$122:$M$122</definedName>
    <definedName name="住宅内部装修" localSheetId="37">'[1]不动产比较法-住宅-天津'!$B$122:$M$122</definedName>
    <definedName name="住宅内部装修">'不动产比较法-住宅'!$B$122:$M$122</definedName>
    <definedName name="住宅物业管理" localSheetId="45">'[1]不动产比较法-住宅-天津'!$B$114:$M$114</definedName>
    <definedName name="住宅物业管理" localSheetId="37">'[1]不动产比较法-住宅-天津'!$B$114:$M$114</definedName>
    <definedName name="住宅物业管理">'不动产比较法-住宅'!$B$114:$M$114</definedName>
    <definedName name="住宅用途" localSheetId="45">'[1]不动产比较法-住宅-天津'!$B$63:$M$63</definedName>
    <definedName name="住宅用途" localSheetId="37">'[1]不动产比较法-住宅-天津'!$B$63:$M$63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 i="68" l="1"/>
  <c r="C28" i="68"/>
  <c r="F24" i="68"/>
  <c r="L14" i="1" l="1"/>
  <c r="D33" i="68"/>
  <c r="E14" i="11" l="1"/>
  <c r="Q73" i="76"/>
  <c r="Q60" i="76"/>
  <c r="F60" i="76"/>
  <c r="D60" i="76"/>
  <c r="Q59" i="76"/>
  <c r="K59" i="76"/>
  <c r="P75" i="76" s="1"/>
  <c r="F58" i="76"/>
  <c r="Q52" i="76"/>
  <c r="J51" i="76"/>
  <c r="J50" i="76"/>
  <c r="M47" i="76"/>
  <c r="F33" i="76"/>
  <c r="F31" i="76"/>
  <c r="F23" i="76"/>
  <c r="D23" i="76" s="1"/>
  <c r="F21" i="76"/>
  <c r="F20" i="76"/>
  <c r="M19" i="76"/>
  <c r="F18" i="76"/>
  <c r="M17" i="76"/>
  <c r="F17" i="76"/>
  <c r="F15" i="76"/>
  <c r="Q73" i="75"/>
  <c r="Q60" i="75"/>
  <c r="D60" i="75"/>
  <c r="Q59" i="75"/>
  <c r="K59" i="75"/>
  <c r="P75" i="75" s="1"/>
  <c r="F58" i="75"/>
  <c r="Q52" i="75"/>
  <c r="J50" i="75"/>
  <c r="J51" i="75" s="1"/>
  <c r="M47" i="75"/>
  <c r="F33" i="75"/>
  <c r="F60" i="75" s="1"/>
  <c r="F31" i="75"/>
  <c r="F23" i="75"/>
  <c r="D24" i="75" s="1"/>
  <c r="D23" i="75"/>
  <c r="D22" i="75"/>
  <c r="F21" i="75"/>
  <c r="F20" i="75"/>
  <c r="M19" i="75"/>
  <c r="F18" i="75"/>
  <c r="M17" i="75"/>
  <c r="F17" i="75"/>
  <c r="F15" i="75"/>
  <c r="Q73" i="74"/>
  <c r="Q60" i="74"/>
  <c r="D60" i="74"/>
  <c r="Q59" i="74"/>
  <c r="K59" i="74"/>
  <c r="P75" i="74" s="1"/>
  <c r="F58" i="74"/>
  <c r="Q52" i="74"/>
  <c r="J50" i="74"/>
  <c r="J51" i="74" s="1"/>
  <c r="M47" i="74"/>
  <c r="F33" i="74"/>
  <c r="F60" i="74" s="1"/>
  <c r="F31" i="74"/>
  <c r="F23" i="74"/>
  <c r="D24" i="74" s="1"/>
  <c r="D22" i="74"/>
  <c r="F21" i="74"/>
  <c r="F20" i="74"/>
  <c r="M19" i="74"/>
  <c r="F18" i="74"/>
  <c r="M17" i="74"/>
  <c r="F17" i="74"/>
  <c r="F15" i="74"/>
  <c r="Q73" i="73"/>
  <c r="Q60" i="73"/>
  <c r="D60" i="73"/>
  <c r="Q59" i="73"/>
  <c r="K59" i="73"/>
  <c r="P75" i="73" s="1"/>
  <c r="F58" i="73"/>
  <c r="Q52" i="73"/>
  <c r="J50" i="73"/>
  <c r="J51" i="73" s="1"/>
  <c r="M47" i="73"/>
  <c r="F33" i="73"/>
  <c r="F60" i="73" s="1"/>
  <c r="F31" i="73"/>
  <c r="F23" i="73"/>
  <c r="D24" i="73" s="1"/>
  <c r="D23" i="73"/>
  <c r="D22" i="73"/>
  <c r="F21" i="73"/>
  <c r="F20" i="73"/>
  <c r="M19" i="73"/>
  <c r="F18" i="73"/>
  <c r="M17" i="73"/>
  <c r="F17" i="73"/>
  <c r="F15" i="73"/>
  <c r="AM10" i="1"/>
  <c r="AM9" i="1"/>
  <c r="AM8" i="1"/>
  <c r="AL10" i="1"/>
  <c r="AL9" i="1"/>
  <c r="AL8" i="1"/>
  <c r="AK10" i="1"/>
  <c r="AK9" i="1"/>
  <c r="AK8" i="1"/>
  <c r="Y10" i="1"/>
  <c r="Y9" i="1"/>
  <c r="Y8" i="1"/>
  <c r="Y7" i="1"/>
  <c r="W8" i="1"/>
  <c r="I37" i="34"/>
  <c r="G37" i="34"/>
  <c r="I46" i="34"/>
  <c r="G46" i="34"/>
  <c r="Q10" i="1"/>
  <c r="Q9" i="1"/>
  <c r="Q8" i="1"/>
  <c r="Q7" i="1"/>
  <c r="J10" i="1"/>
  <c r="I10" i="1"/>
  <c r="H10" i="1"/>
  <c r="J8" i="1"/>
  <c r="I8" i="1"/>
  <c r="H8" i="1"/>
  <c r="N10" i="1"/>
  <c r="N9" i="1"/>
  <c r="N8" i="1"/>
  <c r="N7" i="1"/>
  <c r="L10" i="1"/>
  <c r="L9" i="1"/>
  <c r="L8" i="1"/>
  <c r="L7" i="1"/>
  <c r="L6" i="1"/>
  <c r="E18" i="68"/>
  <c r="A3" i="3" s="1"/>
  <c r="D23" i="74" l="1"/>
  <c r="D24" i="76"/>
  <c r="D22" i="76"/>
  <c r="P62" i="76"/>
  <c r="P62" i="75"/>
  <c r="P62" i="74"/>
  <c r="P62" i="73"/>
  <c r="P22" i="68" l="1"/>
  <c r="F22" i="68" s="1"/>
  <c r="M23" i="68" s="1"/>
  <c r="K22" i="68"/>
  <c r="H22" i="68"/>
  <c r="G22" i="68"/>
  <c r="C22" i="68"/>
  <c r="F17" i="4"/>
  <c r="I45" i="33"/>
  <c r="G45" i="33"/>
  <c r="I46" i="33"/>
  <c r="G46" i="33"/>
  <c r="C45" i="33"/>
  <c r="I44" i="33"/>
  <c r="E44" i="33"/>
  <c r="G44" i="33" s="1"/>
  <c r="C126" i="33"/>
  <c r="C44" i="33" s="1"/>
  <c r="I36" i="33"/>
  <c r="G36" i="33"/>
  <c r="B44" i="33"/>
  <c r="E33" i="33"/>
  <c r="I33" i="33"/>
  <c r="G33" i="33"/>
  <c r="I11" i="33"/>
  <c r="G11" i="33"/>
  <c r="E11" i="33"/>
  <c r="I45" i="34"/>
  <c r="E45" i="34"/>
  <c r="G45" i="34" s="1"/>
  <c r="C45" i="34"/>
  <c r="C37" i="34"/>
  <c r="I34" i="34"/>
  <c r="G34" i="34"/>
  <c r="E34" i="34"/>
  <c r="B45" i="34"/>
  <c r="I11" i="34"/>
  <c r="G11" i="34"/>
  <c r="E11" i="34"/>
  <c r="I6" i="34"/>
  <c r="G6" i="34"/>
  <c r="D3" i="70"/>
  <c r="E47" i="21" s="1"/>
  <c r="D4" i="70"/>
  <c r="G47" i="21" s="1"/>
  <c r="D5" i="70"/>
  <c r="I47" i="21" s="1"/>
  <c r="D14" i="70"/>
  <c r="D15" i="70"/>
  <c r="D16" i="70"/>
  <c r="D17" i="70"/>
  <c r="E44" i="21"/>
  <c r="I44" i="21" s="1"/>
  <c r="C44" i="21"/>
  <c r="C7" i="20"/>
  <c r="E18" i="70"/>
  <c r="D18" i="70" s="1"/>
  <c r="E17" i="70"/>
  <c r="E16" i="70"/>
  <c r="E15" i="70"/>
  <c r="E14" i="70"/>
  <c r="E13" i="70"/>
  <c r="D13" i="70" s="1"/>
  <c r="E12" i="70"/>
  <c r="D12" i="70" s="1"/>
  <c r="E11" i="70"/>
  <c r="D11" i="70" s="1"/>
  <c r="E10" i="70"/>
  <c r="D10" i="70" s="1"/>
  <c r="E9" i="70"/>
  <c r="D9" i="70" s="1"/>
  <c r="E8" i="70"/>
  <c r="D8" i="70" s="1"/>
  <c r="E7" i="70"/>
  <c r="D7" i="70" s="1"/>
  <c r="E6" i="70"/>
  <c r="D6" i="70" s="1"/>
  <c r="E5" i="70"/>
  <c r="E4" i="70"/>
  <c r="E3" i="70"/>
  <c r="G44" i="21" l="1"/>
  <c r="I23" i="68"/>
  <c r="V23" i="68"/>
  <c r="T23" i="68"/>
  <c r="R23" i="68"/>
  <c r="N23" i="68"/>
  <c r="Z23" i="68"/>
  <c r="U23" i="68"/>
  <c r="S23" i="68"/>
  <c r="Q23" i="68"/>
  <c r="Q8" i="69" l="1"/>
  <c r="L8" i="69"/>
  <c r="I8" i="69"/>
  <c r="H8" i="69"/>
  <c r="G8" i="69"/>
  <c r="D8" i="69"/>
  <c r="Q7" i="69"/>
  <c r="L7" i="69"/>
  <c r="G7" i="69" s="1"/>
  <c r="I7" i="69"/>
  <c r="H7" i="69"/>
  <c r="D7" i="69"/>
  <c r="Q6" i="69"/>
  <c r="L6" i="69"/>
  <c r="I6" i="69"/>
  <c r="H6" i="69"/>
  <c r="G6" i="69"/>
  <c r="D6" i="69"/>
  <c r="Q5" i="69"/>
  <c r="L5" i="69"/>
  <c r="G5" i="69" s="1"/>
  <c r="I5" i="69"/>
  <c r="H5" i="69"/>
  <c r="D5" i="69"/>
  <c r="I4" i="69"/>
  <c r="H4" i="69"/>
  <c r="G4" i="69"/>
  <c r="D4" i="69"/>
  <c r="Q3" i="69"/>
  <c r="L3" i="69"/>
  <c r="I3" i="69"/>
  <c r="H3" i="69"/>
  <c r="G3" i="69"/>
  <c r="D3" i="69"/>
  <c r="J17" i="68"/>
  <c r="J16" i="68"/>
  <c r="J15" i="68"/>
  <c r="J14" i="68"/>
  <c r="J13" i="68"/>
  <c r="J11" i="68"/>
  <c r="J10" i="68"/>
  <c r="J9" i="68"/>
  <c r="J8" i="68"/>
  <c r="J7" i="68"/>
  <c r="J6" i="68"/>
  <c r="J5" i="68"/>
  <c r="J4" i="68"/>
  <c r="J3" i="68"/>
  <c r="J2" i="68"/>
  <c r="J18" i="68" l="1"/>
  <c r="M24" i="68" s="1"/>
  <c r="C32" i="68" s="1"/>
  <c r="AH5" i="59"/>
  <c r="AG5" i="59"/>
  <c r="AE5" i="59"/>
  <c r="AF5" i="59" s="1"/>
  <c r="AD5" i="59"/>
  <c r="Q5" i="59"/>
  <c r="P5" i="59"/>
  <c r="O5" i="59"/>
  <c r="N5" i="59"/>
  <c r="I24" i="68" l="1"/>
  <c r="C27" i="68" s="1"/>
  <c r="I13" i="3" s="1"/>
  <c r="N24" i="68"/>
  <c r="C33" i="68" s="1"/>
  <c r="AL13" i="3" s="1"/>
  <c r="Z24" i="68"/>
  <c r="C29" i="68" s="1"/>
  <c r="M13" i="3" s="1"/>
  <c r="U24" i="68"/>
  <c r="T24" i="68"/>
  <c r="C31" i="68" s="1"/>
  <c r="Q13" i="3" s="1"/>
  <c r="R24" i="68"/>
  <c r="S24" i="68"/>
  <c r="V24" i="68"/>
  <c r="Q24" i="68"/>
  <c r="K13" i="3" s="1"/>
  <c r="O13" i="3" l="1"/>
  <c r="F25" i="12"/>
  <c r="C25" i="12" s="1"/>
  <c r="C16" i="11" l="1"/>
  <c r="C15" i="11"/>
  <c r="C9" i="11"/>
  <c r="K36" i="36" l="1"/>
  <c r="K38" i="35"/>
  <c r="K42" i="37"/>
  <c r="K49" i="34"/>
  <c r="K48" i="33" l="1"/>
  <c r="K48" i="21"/>
  <c r="K44" i="40" l="1"/>
  <c r="K49" i="39"/>
  <c r="E77" i="9"/>
  <c r="F77" i="9"/>
  <c r="AH6" i="59" l="1"/>
  <c r="AG6" i="59"/>
  <c r="AE6" i="59"/>
  <c r="AF6" i="59" s="1"/>
  <c r="AD6" i="59"/>
  <c r="Q6" i="59"/>
  <c r="P6" i="59"/>
  <c r="O6" i="59"/>
  <c r="N6" i="59"/>
  <c r="A21" i="31" l="1"/>
  <c r="C109" i="9" l="1"/>
  <c r="AH7" i="59" l="1"/>
  <c r="AG7" i="59"/>
  <c r="AE7" i="59"/>
  <c r="AF7" i="59" s="1"/>
  <c r="AD7" i="59"/>
  <c r="Q7" i="59"/>
  <c r="P7" i="59"/>
  <c r="O7" i="59"/>
  <c r="N7" i="59"/>
  <c r="Q9" i="59" l="1"/>
  <c r="P9" i="59"/>
  <c r="O9" i="59"/>
  <c r="N9" i="59"/>
  <c r="X6" i="59" s="1"/>
  <c r="AH8" i="59"/>
  <c r="AG8" i="59"/>
  <c r="AE8" i="59"/>
  <c r="AF8" i="59" s="1"/>
  <c r="AD8" i="59"/>
  <c r="Q8" i="59"/>
  <c r="P8" i="59"/>
  <c r="O8" i="59"/>
  <c r="N8" i="59"/>
  <c r="AH9" i="59"/>
  <c r="AG9" i="59"/>
  <c r="AE9" i="59"/>
  <c r="AF9" i="59"/>
  <c r="AD9" i="59"/>
  <c r="Q10" i="59"/>
  <c r="Q11" i="59"/>
  <c r="P10" i="59"/>
  <c r="P11" i="59"/>
  <c r="O10" i="59"/>
  <c r="O11" i="59"/>
  <c r="N10" i="59"/>
  <c r="N11" i="59"/>
  <c r="AH10" i="59"/>
  <c r="AG10" i="59"/>
  <c r="AE10" i="59"/>
  <c r="AF10" i="59"/>
  <c r="AD10" i="59"/>
  <c r="AH11" i="59"/>
  <c r="AG11" i="59"/>
  <c r="AE11" i="59"/>
  <c r="AF11" i="59" s="1"/>
  <c r="AD11" i="59"/>
  <c r="M15" i="49"/>
  <c r="L15" i="49"/>
  <c r="K15" i="49"/>
  <c r="J15" i="49"/>
  <c r="I15" i="49"/>
  <c r="H15" i="49"/>
  <c r="G15" i="49"/>
  <c r="F15" i="49"/>
  <c r="E15" i="49"/>
  <c r="D15" i="49"/>
  <c r="C15" i="49"/>
  <c r="B15" i="49"/>
  <c r="AH12" i="59"/>
  <c r="AG12" i="59"/>
  <c r="AF12" i="59"/>
  <c r="AE12" i="59"/>
  <c r="AD12" i="59"/>
  <c r="Q12" i="59"/>
  <c r="AB5" i="59" s="1"/>
  <c r="P12" i="59"/>
  <c r="O12" i="59"/>
  <c r="N12" i="59"/>
  <c r="L3" i="59"/>
  <c r="AH3" i="59" s="1"/>
  <c r="K3" i="59"/>
  <c r="AG3" i="59" s="1"/>
  <c r="J3" i="59"/>
  <c r="AE3" i="59" s="1"/>
  <c r="AF3" i="59" s="1"/>
  <c r="I3" i="59"/>
  <c r="AD3" i="59" s="1"/>
  <c r="AH13" i="59"/>
  <c r="AG13" i="59"/>
  <c r="AE13" i="59"/>
  <c r="AF13" i="59"/>
  <c r="AD13" i="59"/>
  <c r="Q13" i="59"/>
  <c r="AB7" i="59" s="1"/>
  <c r="Q14" i="59"/>
  <c r="P13" i="59"/>
  <c r="P14" i="59"/>
  <c r="O13" i="59"/>
  <c r="O14" i="59"/>
  <c r="N13" i="59"/>
  <c r="N14" i="59"/>
  <c r="AH14" i="59"/>
  <c r="AG14" i="59"/>
  <c r="AE14" i="59"/>
  <c r="AF14" i="59"/>
  <c r="AD14" i="59"/>
  <c r="Q15" i="59"/>
  <c r="P15" i="59"/>
  <c r="O15" i="59"/>
  <c r="N15" i="59"/>
  <c r="M19" i="46"/>
  <c r="J50" i="15"/>
  <c r="J51" i="15" s="1"/>
  <c r="D17" i="59"/>
  <c r="AH15" i="59"/>
  <c r="AG15" i="59"/>
  <c r="AE15" i="59"/>
  <c r="AF15" i="59"/>
  <c r="AD15" i="59"/>
  <c r="AE16" i="59"/>
  <c r="AF16" i="59" s="1"/>
  <c r="AG16" i="59"/>
  <c r="AH16" i="59"/>
  <c r="AD16" i="59"/>
  <c r="Q16" i="59"/>
  <c r="P16" i="59"/>
  <c r="O16" i="59"/>
  <c r="N16" i="59"/>
  <c r="N17" i="59"/>
  <c r="Q17" i="59"/>
  <c r="P17" i="59"/>
  <c r="O17" i="59"/>
  <c r="K59" i="15"/>
  <c r="P62" i="15"/>
  <c r="P75" i="15"/>
  <c r="Q74" i="44"/>
  <c r="Q61" i="44"/>
  <c r="Q60" i="44"/>
  <c r="Q53" i="44"/>
  <c r="J51" i="44"/>
  <c r="J52" i="44"/>
  <c r="M48" i="44"/>
  <c r="A16" i="55"/>
  <c r="B67" i="63" s="1"/>
  <c r="A15" i="55"/>
  <c r="B66" i="63" s="1"/>
  <c r="A14" i="55"/>
  <c r="A11" i="55"/>
  <c r="A10" i="55"/>
  <c r="B61" i="63" s="1"/>
  <c r="A9" i="55"/>
  <c r="B60" i="63" s="1"/>
  <c r="A8" i="55"/>
  <c r="A6" i="54"/>
  <c r="A8" i="54"/>
  <c r="A7" i="54"/>
  <c r="A28" i="51"/>
  <c r="A27" i="51"/>
  <c r="B20" i="63" s="1"/>
  <c r="Q18" i="59"/>
  <c r="O18" i="59"/>
  <c r="N19" i="59"/>
  <c r="O19" i="59"/>
  <c r="P19" i="59"/>
  <c r="Q19" i="59"/>
  <c r="N18" i="59"/>
  <c r="P18" i="59"/>
  <c r="K75" i="9"/>
  <c r="K6" i="4"/>
  <c r="L76" i="9" s="1"/>
  <c r="O76" i="9"/>
  <c r="B22" i="31"/>
  <c r="E15" i="66"/>
  <c r="F15" i="66"/>
  <c r="E16" i="66"/>
  <c r="F16" i="66"/>
  <c r="E17" i="66"/>
  <c r="F17" i="66"/>
  <c r="E18" i="66"/>
  <c r="F18" i="66"/>
  <c r="E19" i="66"/>
  <c r="F19" i="66"/>
  <c r="E20" i="66"/>
  <c r="F20" i="66"/>
  <c r="E21" i="66"/>
  <c r="F21" i="66"/>
  <c r="E22" i="66"/>
  <c r="F22" i="66"/>
  <c r="E23" i="66"/>
  <c r="F23" i="66"/>
  <c r="B3" i="66"/>
  <c r="B16" i="59"/>
  <c r="B15" i="59"/>
  <c r="B14" i="59"/>
  <c r="E16" i="59"/>
  <c r="E15" i="59"/>
  <c r="E14" i="59"/>
  <c r="E13" i="59" s="1"/>
  <c r="E12" i="59" s="1"/>
  <c r="E11" i="59" s="1"/>
  <c r="E10" i="59" s="1"/>
  <c r="E9" i="59" s="1"/>
  <c r="F16" i="59"/>
  <c r="V16" i="59"/>
  <c r="U16" i="59"/>
  <c r="S16" i="59"/>
  <c r="AD17" i="59"/>
  <c r="AE17" i="59"/>
  <c r="AF17" i="59" s="1"/>
  <c r="AG17" i="59"/>
  <c r="AH17" i="59"/>
  <c r="AD18" i="59"/>
  <c r="AE18" i="59"/>
  <c r="AF18" i="59"/>
  <c r="AG18" i="59"/>
  <c r="AH18" i="59"/>
  <c r="AD19" i="59"/>
  <c r="AE19" i="59"/>
  <c r="AF19" i="59"/>
  <c r="AG19" i="59"/>
  <c r="AH19" i="59"/>
  <c r="AD20" i="59"/>
  <c r="AE20" i="59"/>
  <c r="AF20" i="59" s="1"/>
  <c r="AG20" i="59"/>
  <c r="AH20" i="59"/>
  <c r="AD21" i="59"/>
  <c r="AE21" i="59"/>
  <c r="AF21" i="59" s="1"/>
  <c r="AG21" i="59"/>
  <c r="AH21" i="59"/>
  <c r="AD22" i="59"/>
  <c r="AE22" i="59"/>
  <c r="AF22" i="59"/>
  <c r="AG22" i="59"/>
  <c r="AH22" i="59"/>
  <c r="AD23" i="59"/>
  <c r="AE23" i="59"/>
  <c r="AF23" i="59"/>
  <c r="AG23" i="59"/>
  <c r="AH23" i="59"/>
  <c r="AD24" i="59"/>
  <c r="AE24" i="59"/>
  <c r="AF24" i="59" s="1"/>
  <c r="AG24" i="59"/>
  <c r="AH24" i="59"/>
  <c r="AD25" i="59"/>
  <c r="AE25" i="59"/>
  <c r="AF25" i="59"/>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H31" i="59"/>
  <c r="AG31" i="59"/>
  <c r="AE31" i="59"/>
  <c r="AF31" i="59" s="1"/>
  <c r="AD31" i="59"/>
  <c r="AD32" i="59"/>
  <c r="AE32" i="59"/>
  <c r="AF32" i="59" s="1"/>
  <c r="AG32" i="59"/>
  <c r="AH32" i="59"/>
  <c r="S2" i="31"/>
  <c r="M2" i="31"/>
  <c r="N2" i="31"/>
  <c r="O2" i="31"/>
  <c r="P2" i="31"/>
  <c r="Q2" i="31"/>
  <c r="R2" i="31"/>
  <c r="C16" i="59"/>
  <c r="C15" i="59" s="1"/>
  <c r="C3" i="65"/>
  <c r="C1" i="65"/>
  <c r="N1" i="65" s="1"/>
  <c r="T16" i="59"/>
  <c r="D16" i="59"/>
  <c r="B76" i="63"/>
  <c r="M5" i="54"/>
  <c r="B41" i="63" s="1"/>
  <c r="A23" i="51"/>
  <c r="B17" i="63" s="1"/>
  <c r="Y12" i="46"/>
  <c r="AA9" i="46"/>
  <c r="AB9" i="46"/>
  <c r="AB10" i="46" s="1"/>
  <c r="AC9" i="46"/>
  <c r="AD9" i="46"/>
  <c r="AD10" i="46"/>
  <c r="AE9" i="46"/>
  <c r="AE12" i="46" s="1"/>
  <c r="AF9" i="46"/>
  <c r="AF10" i="46" s="1"/>
  <c r="AG9" i="46"/>
  <c r="AG12" i="46" s="1"/>
  <c r="AH9" i="46"/>
  <c r="AH10" i="46" s="1"/>
  <c r="AI9" i="46"/>
  <c r="AJ9" i="46"/>
  <c r="AJ10" i="46" s="1"/>
  <c r="Z9" i="46"/>
  <c r="Z10" i="46"/>
  <c r="AI10" i="46"/>
  <c r="AE10" i="46"/>
  <c r="AC10" i="46"/>
  <c r="AA10" i="46"/>
  <c r="Y10" i="46"/>
  <c r="Z12" i="46"/>
  <c r="AI12" i="46"/>
  <c r="AC12" i="46"/>
  <c r="AA12" i="46"/>
  <c r="B73" i="63"/>
  <c r="A21" i="64"/>
  <c r="B75" i="63" s="1"/>
  <c r="A27" i="64"/>
  <c r="A15" i="64"/>
  <c r="A14" i="64"/>
  <c r="A11" i="64"/>
  <c r="A3" i="64"/>
  <c r="A45" i="9"/>
  <c r="A44" i="9"/>
  <c r="C57" i="10"/>
  <c r="A28" i="64" s="1"/>
  <c r="C56" i="10"/>
  <c r="A26" i="64" s="1"/>
  <c r="C55" i="10"/>
  <c r="C54" i="10"/>
  <c r="B49" i="63"/>
  <c r="B44" i="63"/>
  <c r="B40" i="63"/>
  <c r="B30" i="63"/>
  <c r="B27" i="63"/>
  <c r="B25" i="63"/>
  <c r="A11" i="51"/>
  <c r="B10" i="63" s="1"/>
  <c r="A26" i="51"/>
  <c r="B19" i="63" s="1"/>
  <c r="K39" i="9"/>
  <c r="K40" i="9"/>
  <c r="B58" i="63"/>
  <c r="B53" i="63"/>
  <c r="B51" i="63"/>
  <c r="A46" i="9"/>
  <c r="K41" i="9" s="1"/>
  <c r="B8" i="63"/>
  <c r="A21" i="55"/>
  <c r="B71" i="63"/>
  <c r="A20" i="55"/>
  <c r="B69" i="63"/>
  <c r="B26" i="63"/>
  <c r="B28" i="63"/>
  <c r="B29" i="63"/>
  <c r="B31" i="63"/>
  <c r="B33" i="63"/>
  <c r="B35" i="63"/>
  <c r="B36" i="63"/>
  <c r="B37" i="63"/>
  <c r="B63" i="63"/>
  <c r="B64" i="63"/>
  <c r="B68" i="63"/>
  <c r="D51" i="10"/>
  <c r="B59" i="63"/>
  <c r="B51" i="10"/>
  <c r="A15" i="51"/>
  <c r="B12" i="63"/>
  <c r="A14" i="51"/>
  <c r="B11" i="63"/>
  <c r="A4" i="55"/>
  <c r="B57" i="63"/>
  <c r="G5" i="54"/>
  <c r="B34" i="63"/>
  <c r="E5" i="54"/>
  <c r="B32" i="63" s="1"/>
  <c r="R2" i="54"/>
  <c r="B24" i="63" s="1"/>
  <c r="B49" i="50"/>
  <c r="B5" i="63"/>
  <c r="B40" i="50"/>
  <c r="B3" i="63"/>
  <c r="N4" i="63"/>
  <c r="B21" i="63"/>
  <c r="I19" i="46"/>
  <c r="Q20" i="59"/>
  <c r="F20" i="59" s="1"/>
  <c r="P20" i="59"/>
  <c r="O20" i="59"/>
  <c r="N20" i="59"/>
  <c r="B20" i="59" s="1"/>
  <c r="D81" i="59"/>
  <c r="F80" i="59"/>
  <c r="F79" i="59" s="1"/>
  <c r="F78" i="59" s="1"/>
  <c r="E80" i="59"/>
  <c r="E79" i="59"/>
  <c r="E78" i="59" s="1"/>
  <c r="C80" i="59"/>
  <c r="D80" i="59" s="1"/>
  <c r="B80" i="59"/>
  <c r="B79" i="59"/>
  <c r="B78" i="59" s="1"/>
  <c r="D77" i="59"/>
  <c r="F76" i="59"/>
  <c r="F75" i="59" s="1"/>
  <c r="F74" i="59" s="1"/>
  <c r="E76" i="59"/>
  <c r="E75" i="59"/>
  <c r="E74" i="59" s="1"/>
  <c r="C76" i="59"/>
  <c r="D76" i="59" s="1"/>
  <c r="B76" i="59"/>
  <c r="B75" i="59"/>
  <c r="B74" i="59" s="1"/>
  <c r="D73" i="59"/>
  <c r="Q72" i="59"/>
  <c r="P72" i="59"/>
  <c r="O72" i="59"/>
  <c r="N72" i="59"/>
  <c r="F72" i="59"/>
  <c r="V72" i="59" s="1"/>
  <c r="E72" i="59"/>
  <c r="U72" i="59"/>
  <c r="C72" i="59"/>
  <c r="D72" i="59" s="1"/>
  <c r="T72" i="59"/>
  <c r="B72" i="59"/>
  <c r="S72" i="59"/>
  <c r="Q71" i="59"/>
  <c r="P71" i="59"/>
  <c r="O71" i="59"/>
  <c r="N71" i="59"/>
  <c r="F71" i="59"/>
  <c r="F70" i="59" s="1"/>
  <c r="B71" i="59"/>
  <c r="B70" i="59"/>
  <c r="Q70" i="59"/>
  <c r="P70" i="59"/>
  <c r="O70" i="59"/>
  <c r="N70" i="59"/>
  <c r="Q69" i="59"/>
  <c r="P69" i="59"/>
  <c r="O69" i="59"/>
  <c r="N69" i="59"/>
  <c r="D69" i="59"/>
  <c r="Q68" i="59"/>
  <c r="P68" i="59"/>
  <c r="O68" i="59"/>
  <c r="N68" i="59"/>
  <c r="F68" i="59"/>
  <c r="V68" i="59" s="1"/>
  <c r="E68" i="59"/>
  <c r="U68" i="59"/>
  <c r="C68" i="59"/>
  <c r="T68" i="59"/>
  <c r="B68" i="59"/>
  <c r="S68" i="59"/>
  <c r="Q67" i="59"/>
  <c r="P67" i="59"/>
  <c r="O67" i="59"/>
  <c r="N67" i="59"/>
  <c r="F67" i="59"/>
  <c r="F66" i="59" s="1"/>
  <c r="B67" i="59"/>
  <c r="B66" i="59"/>
  <c r="Q66" i="59"/>
  <c r="P66" i="59"/>
  <c r="O66" i="59"/>
  <c r="N66" i="59"/>
  <c r="Q65" i="59"/>
  <c r="P65" i="59"/>
  <c r="O65" i="59"/>
  <c r="N65" i="59"/>
  <c r="D65" i="59"/>
  <c r="Q64" i="59"/>
  <c r="P64" i="59"/>
  <c r="O64" i="59"/>
  <c r="N64" i="59"/>
  <c r="F64" i="59"/>
  <c r="V64" i="59" s="1"/>
  <c r="E64" i="59"/>
  <c r="U64" i="59" s="1"/>
  <c r="C64" i="59"/>
  <c r="T64" i="59"/>
  <c r="B64" i="59"/>
  <c r="S64" i="59" s="1"/>
  <c r="Q63" i="59"/>
  <c r="P63" i="59"/>
  <c r="O63" i="59"/>
  <c r="N63" i="59"/>
  <c r="F63" i="59"/>
  <c r="F62" i="59" s="1"/>
  <c r="B63" i="59"/>
  <c r="B62" i="59" s="1"/>
  <c r="Q62" i="59"/>
  <c r="P62" i="59"/>
  <c r="O62" i="59"/>
  <c r="N62" i="59"/>
  <c r="Q61" i="59"/>
  <c r="P61" i="59"/>
  <c r="O61" i="59"/>
  <c r="N61" i="59"/>
  <c r="D61" i="59"/>
  <c r="F60" i="59"/>
  <c r="Q60" i="59" s="1"/>
  <c r="V60" i="59"/>
  <c r="E60" i="59"/>
  <c r="E59" i="59"/>
  <c r="P59" i="59"/>
  <c r="C60" i="59"/>
  <c r="O60" i="59" s="1"/>
  <c r="B60" i="59"/>
  <c r="N60" i="59" s="1"/>
  <c r="F59" i="59"/>
  <c r="F58" i="59"/>
  <c r="Q58" i="59" s="1"/>
  <c r="B59" i="59"/>
  <c r="D57" i="59"/>
  <c r="Q56" i="59"/>
  <c r="P56" i="59"/>
  <c r="O56" i="59"/>
  <c r="N56" i="59"/>
  <c r="Q55" i="59"/>
  <c r="P55" i="59"/>
  <c r="O55" i="59"/>
  <c r="N55" i="59"/>
  <c r="Q54" i="59"/>
  <c r="P54" i="59"/>
  <c r="O54" i="59"/>
  <c r="N54" i="59"/>
  <c r="Q53" i="59"/>
  <c r="F54" i="59"/>
  <c r="P53" i="59"/>
  <c r="E54" i="59"/>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c r="E51" i="59"/>
  <c r="E52" i="59" s="1"/>
  <c r="U52" i="59" s="1"/>
  <c r="O49" i="59"/>
  <c r="C50" i="59"/>
  <c r="C51" i="59" s="1"/>
  <c r="N49" i="59"/>
  <c r="B50" i="59"/>
  <c r="B51" i="59"/>
  <c r="B52" i="59"/>
  <c r="S52" i="59" s="1"/>
  <c r="D49" i="59"/>
  <c r="Q48" i="59"/>
  <c r="P48" i="59"/>
  <c r="O48" i="59"/>
  <c r="N48" i="59"/>
  <c r="Q47" i="59"/>
  <c r="P47" i="59"/>
  <c r="O47" i="59"/>
  <c r="N47" i="59"/>
  <c r="Q46" i="59"/>
  <c r="P46" i="59"/>
  <c r="O46" i="59"/>
  <c r="N46" i="59"/>
  <c r="Q45" i="59"/>
  <c r="F46" i="59"/>
  <c r="F47" i="59" s="1"/>
  <c r="F48" i="59" s="1"/>
  <c r="V48" i="59" s="1"/>
  <c r="P45" i="59"/>
  <c r="E46" i="59"/>
  <c r="E47" i="59" s="1"/>
  <c r="E48" i="59" s="1"/>
  <c r="U48" i="59" s="1"/>
  <c r="O45" i="59"/>
  <c r="C46" i="59"/>
  <c r="D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c r="O41" i="59"/>
  <c r="C42" i="59" s="1"/>
  <c r="N41" i="59"/>
  <c r="B42" i="59"/>
  <c r="B43" i="59" s="1"/>
  <c r="B44" i="59" s="1"/>
  <c r="S44" i="59" s="1"/>
  <c r="D41" i="59"/>
  <c r="T40" i="59"/>
  <c r="Q40" i="59"/>
  <c r="P40" i="59"/>
  <c r="O40" i="59"/>
  <c r="N40" i="59"/>
  <c r="D40" i="59"/>
  <c r="Q39" i="59"/>
  <c r="P39" i="59"/>
  <c r="O39" i="59"/>
  <c r="N39" i="59"/>
  <c r="Q38" i="59"/>
  <c r="P38" i="59"/>
  <c r="O38" i="59"/>
  <c r="N38" i="59"/>
  <c r="Q37" i="59"/>
  <c r="F38" i="59" s="1"/>
  <c r="F39" i="59" s="1"/>
  <c r="F40" i="59" s="1"/>
  <c r="V40" i="59" s="1"/>
  <c r="P37" i="59"/>
  <c r="E38" i="59"/>
  <c r="E39" i="59"/>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P33" i="59"/>
  <c r="E34" i="59" s="1"/>
  <c r="E35" i="59" s="1"/>
  <c r="E36" i="59" s="1"/>
  <c r="U36" i="59" s="1"/>
  <c r="O33" i="59"/>
  <c r="C34" i="59" s="1"/>
  <c r="N33" i="59"/>
  <c r="B34" i="59" s="1"/>
  <c r="B35" i="59" s="1"/>
  <c r="B36" i="59" s="1"/>
  <c r="S36" i="59" s="1"/>
  <c r="D33" i="59"/>
  <c r="Q32" i="59"/>
  <c r="P32" i="59"/>
  <c r="O32" i="59"/>
  <c r="N32" i="59"/>
  <c r="Q31" i="59"/>
  <c r="AB31" i="59" s="1"/>
  <c r="P31" i="59"/>
  <c r="O31" i="59"/>
  <c r="N31" i="59"/>
  <c r="Q30" i="59"/>
  <c r="P30" i="59"/>
  <c r="O30" i="59"/>
  <c r="N30" i="59"/>
  <c r="X30" i="59" s="1"/>
  <c r="Q29" i="59"/>
  <c r="F30" i="59"/>
  <c r="P29" i="59"/>
  <c r="AA29" i="59" s="1"/>
  <c r="O29" i="59"/>
  <c r="C30" i="59"/>
  <c r="N29" i="59"/>
  <c r="B30" i="59"/>
  <c r="B31" i="59"/>
  <c r="B32" i="59" s="1"/>
  <c r="S32" i="59" s="1"/>
  <c r="D29" i="59"/>
  <c r="Q28" i="59"/>
  <c r="P28" i="59"/>
  <c r="O28" i="59"/>
  <c r="N28" i="59"/>
  <c r="X28" i="59" s="1"/>
  <c r="Q27" i="59"/>
  <c r="P27" i="59"/>
  <c r="O27" i="59"/>
  <c r="N27" i="59"/>
  <c r="Q26" i="59"/>
  <c r="P26" i="59"/>
  <c r="O26" i="59"/>
  <c r="N26" i="59"/>
  <c r="X26" i="59" s="1"/>
  <c r="Q25" i="59"/>
  <c r="F26" i="59"/>
  <c r="F27" i="59" s="1"/>
  <c r="F28" i="59" s="1"/>
  <c r="V28" i="59" s="1"/>
  <c r="P25" i="59"/>
  <c r="E26" i="59"/>
  <c r="E27" i="59" s="1"/>
  <c r="E28" i="59" s="1"/>
  <c r="U28" i="59" s="1"/>
  <c r="O25" i="59"/>
  <c r="C26" i="59"/>
  <c r="C27" i="59" s="1"/>
  <c r="N25" i="59"/>
  <c r="B26" i="59"/>
  <c r="B27" i="59"/>
  <c r="B28" i="59" s="1"/>
  <c r="S28" i="59" s="1"/>
  <c r="D25" i="59"/>
  <c r="Q24" i="59"/>
  <c r="AB24" i="59" s="1"/>
  <c r="P24" i="59"/>
  <c r="O24" i="59"/>
  <c r="N24" i="59"/>
  <c r="Q23" i="59"/>
  <c r="P23" i="59"/>
  <c r="O23" i="59"/>
  <c r="N23" i="59"/>
  <c r="Q22" i="59"/>
  <c r="AB22" i="59" s="1"/>
  <c r="P22" i="59"/>
  <c r="O22" i="59"/>
  <c r="N22" i="59"/>
  <c r="Q21" i="59"/>
  <c r="F22" i="59" s="1"/>
  <c r="F23" i="59" s="1"/>
  <c r="F24" i="59" s="1"/>
  <c r="V24" i="59" s="1"/>
  <c r="P21" i="59"/>
  <c r="O21" i="59"/>
  <c r="C22" i="59"/>
  <c r="C23" i="59" s="1"/>
  <c r="N21" i="59"/>
  <c r="D21" i="59"/>
  <c r="X3" i="59"/>
  <c r="E22" i="59"/>
  <c r="E23" i="59"/>
  <c r="E24" i="59"/>
  <c r="U24" i="59"/>
  <c r="E43" i="59"/>
  <c r="E44" i="59"/>
  <c r="U44" i="59" s="1"/>
  <c r="S60" i="59"/>
  <c r="F31" i="59"/>
  <c r="F32" i="59"/>
  <c r="V32" i="59" s="1"/>
  <c r="F35" i="59"/>
  <c r="F36" i="59" s="1"/>
  <c r="V36" i="59" s="1"/>
  <c r="F55" i="59"/>
  <c r="F56" i="59" s="1"/>
  <c r="V56" i="59" s="1"/>
  <c r="C31" i="59"/>
  <c r="D30" i="59"/>
  <c r="C47" i="59"/>
  <c r="C48" i="59" s="1"/>
  <c r="D50" i="59"/>
  <c r="D26" i="59"/>
  <c r="E58" i="59"/>
  <c r="P57" i="59" s="1"/>
  <c r="N59" i="59"/>
  <c r="B58" i="59"/>
  <c r="N57" i="59" s="1"/>
  <c r="Q59" i="59"/>
  <c r="T60" i="59"/>
  <c r="D60" i="59"/>
  <c r="C59" i="59"/>
  <c r="P60" i="59"/>
  <c r="U60" i="59"/>
  <c r="C63" i="59"/>
  <c r="D63" i="59" s="1"/>
  <c r="E63" i="59"/>
  <c r="E62" i="59" s="1"/>
  <c r="D64" i="59"/>
  <c r="C67" i="59"/>
  <c r="C66" i="59" s="1"/>
  <c r="D66" i="59" s="1"/>
  <c r="E67" i="59"/>
  <c r="E66" i="59" s="1"/>
  <c r="D68" i="59"/>
  <c r="C71" i="59"/>
  <c r="C70" i="59" s="1"/>
  <c r="D70" i="59" s="1"/>
  <c r="E71" i="59"/>
  <c r="E70" i="59" s="1"/>
  <c r="C75" i="59"/>
  <c r="C74" i="59" s="1"/>
  <c r="D74" i="59" s="1"/>
  <c r="C79" i="59"/>
  <c r="C78" i="59" s="1"/>
  <c r="D78" i="59" s="1"/>
  <c r="U16" i="4"/>
  <c r="S16" i="4"/>
  <c r="Q16" i="4"/>
  <c r="O16" i="4"/>
  <c r="M16" i="4"/>
  <c r="K16" i="4"/>
  <c r="D71" i="59"/>
  <c r="C62" i="59"/>
  <c r="D62" i="59" s="1"/>
  <c r="C58" i="59"/>
  <c r="O58" i="59" s="1"/>
  <c r="O59" i="59"/>
  <c r="D59" i="59"/>
  <c r="D75" i="59"/>
  <c r="D67" i="59"/>
  <c r="N58" i="59"/>
  <c r="D47" i="59"/>
  <c r="C32" i="59"/>
  <c r="T32" i="59" s="1"/>
  <c r="D31" i="59"/>
  <c r="D32" i="59"/>
  <c r="O27" i="6"/>
  <c r="N27" i="6"/>
  <c r="P26" i="6"/>
  <c r="L26" i="6"/>
  <c r="P25" i="6"/>
  <c r="L25" i="6"/>
  <c r="P24" i="6"/>
  <c r="L24" i="6"/>
  <c r="P23" i="6"/>
  <c r="L23" i="6"/>
  <c r="P22" i="6"/>
  <c r="L22" i="6"/>
  <c r="P21" i="6"/>
  <c r="L21" i="6"/>
  <c r="P20" i="6"/>
  <c r="P19" i="6"/>
  <c r="P27" i="6" s="1"/>
  <c r="Z18" i="36"/>
  <c r="Q18" i="36"/>
  <c r="C18" i="36"/>
  <c r="D66" i="36"/>
  <c r="F18" i="36"/>
  <c r="AA18" i="36" s="1"/>
  <c r="Q18" i="35"/>
  <c r="Z18" i="35" s="1"/>
  <c r="F18" i="35"/>
  <c r="AA18" i="35" s="1"/>
  <c r="C18" i="35"/>
  <c r="D68" i="35"/>
  <c r="E68" i="35"/>
  <c r="F68" i="35" s="1"/>
  <c r="G68" i="35" s="1"/>
  <c r="Q21" i="37"/>
  <c r="Z21" i="37" s="1"/>
  <c r="F21" i="37"/>
  <c r="AA21" i="37" s="1"/>
  <c r="C21" i="37"/>
  <c r="E77" i="37"/>
  <c r="F77" i="37" s="1"/>
  <c r="G77" i="37" s="1"/>
  <c r="D77" i="37"/>
  <c r="Z21" i="34"/>
  <c r="Q21" i="34"/>
  <c r="C21" i="34"/>
  <c r="D84" i="34"/>
  <c r="F21" i="34"/>
  <c r="AA21" i="34" s="1"/>
  <c r="Z21" i="33"/>
  <c r="Q21" i="33"/>
  <c r="C21" i="33"/>
  <c r="D83" i="33"/>
  <c r="E83" i="33" s="1"/>
  <c r="F83" i="33" s="1"/>
  <c r="G83" i="33" s="1"/>
  <c r="Z21" i="21"/>
  <c r="Q21" i="21"/>
  <c r="D83" i="21"/>
  <c r="E83" i="21"/>
  <c r="F21" i="21"/>
  <c r="AA21" i="21" s="1"/>
  <c r="C21" i="21"/>
  <c r="Q27" i="40"/>
  <c r="Z27" i="40" s="1"/>
  <c r="D96" i="40"/>
  <c r="E96" i="40" s="1"/>
  <c r="F96" i="40" s="1"/>
  <c r="F27" i="40"/>
  <c r="AA27" i="40" s="1"/>
  <c r="Z31" i="39"/>
  <c r="Q31" i="39"/>
  <c r="D105" i="39"/>
  <c r="E105" i="39"/>
  <c r="F105" i="39" s="1"/>
  <c r="F31" i="39"/>
  <c r="S31" i="39" s="1"/>
  <c r="G20" i="20"/>
  <c r="B85" i="46"/>
  <c r="C22" i="20"/>
  <c r="B65" i="46" s="1"/>
  <c r="S18" i="35"/>
  <c r="C27" i="40"/>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10" i="57" s="1"/>
  <c r="I3" i="57"/>
  <c r="C30" i="57"/>
  <c r="E26" i="57"/>
  <c r="C112" i="9"/>
  <c r="F80" i="46"/>
  <c r="H81" i="46" s="1"/>
  <c r="D1" i="46"/>
  <c r="F113" i="46"/>
  <c r="D99" i="46"/>
  <c r="D108" i="46" s="1"/>
  <c r="E99" i="46"/>
  <c r="E108" i="46" s="1"/>
  <c r="F99" i="46"/>
  <c r="F100" i="46" s="1"/>
  <c r="G99" i="46"/>
  <c r="G108" i="46" s="1"/>
  <c r="H99" i="46"/>
  <c r="H108" i="46"/>
  <c r="I99" i="46"/>
  <c r="I108" i="46" s="1"/>
  <c r="J99" i="46"/>
  <c r="J108" i="46"/>
  <c r="K99" i="46"/>
  <c r="K108" i="46"/>
  <c r="L99" i="46"/>
  <c r="L100" i="46" s="1"/>
  <c r="M99" i="46"/>
  <c r="M108" i="46" s="1"/>
  <c r="N99" i="46"/>
  <c r="N108" i="46"/>
  <c r="C99" i="46"/>
  <c r="C108" i="46" s="1"/>
  <c r="L108" i="46"/>
  <c r="K58" i="46"/>
  <c r="J58" i="46" s="1"/>
  <c r="D58" i="46"/>
  <c r="K50" i="46"/>
  <c r="D83" i="46"/>
  <c r="D77" i="46"/>
  <c r="B83" i="46"/>
  <c r="B82" i="46"/>
  <c r="B71" i="46"/>
  <c r="B60" i="46"/>
  <c r="B49" i="46"/>
  <c r="M87" i="46"/>
  <c r="N87" i="46"/>
  <c r="K87" i="46"/>
  <c r="J87" i="46"/>
  <c r="D87" i="46"/>
  <c r="M86" i="46"/>
  <c r="N86" i="46"/>
  <c r="D86" i="46"/>
  <c r="K86" i="46"/>
  <c r="J86" i="46"/>
  <c r="M85" i="46"/>
  <c r="N85" i="46" s="1"/>
  <c r="D85" i="46"/>
  <c r="K85" i="46"/>
  <c r="J85" i="46" s="1"/>
  <c r="M84" i="46"/>
  <c r="N84" i="46"/>
  <c r="K84" i="46"/>
  <c r="J84" i="46"/>
  <c r="M83" i="46"/>
  <c r="N83" i="46" s="1"/>
  <c r="K83" i="46"/>
  <c r="J83" i="46" s="1"/>
  <c r="M82" i="46"/>
  <c r="N82" i="46"/>
  <c r="K82" i="46"/>
  <c r="J82" i="46" s="1"/>
  <c r="D82" i="46"/>
  <c r="M81" i="46"/>
  <c r="N81" i="46" s="1"/>
  <c r="K81" i="46"/>
  <c r="J81" i="46" s="1"/>
  <c r="M80" i="46"/>
  <c r="N80" i="46"/>
  <c r="K80" i="46"/>
  <c r="J80" i="46" s="1"/>
  <c r="M77" i="46"/>
  <c r="N77" i="46" s="1"/>
  <c r="K77" i="46"/>
  <c r="J77" i="46"/>
  <c r="M76" i="46"/>
  <c r="N76" i="46" s="1"/>
  <c r="D76" i="46"/>
  <c r="K76" i="46"/>
  <c r="J76" i="46" s="1"/>
  <c r="M75" i="46"/>
  <c r="N75" i="46" s="1"/>
  <c r="K75" i="46"/>
  <c r="J75" i="46"/>
  <c r="M74" i="46"/>
  <c r="N74" i="46" s="1"/>
  <c r="K74" i="46"/>
  <c r="J74" i="46"/>
  <c r="D74" i="46"/>
  <c r="M73" i="46"/>
  <c r="D73" i="46"/>
  <c r="K73" i="46"/>
  <c r="J73" i="46"/>
  <c r="M72" i="46"/>
  <c r="N72" i="46" s="1"/>
  <c r="K72" i="46"/>
  <c r="J72" i="46" s="1"/>
  <c r="D72" i="46"/>
  <c r="M71" i="46"/>
  <c r="N71" i="46"/>
  <c r="K71" i="46"/>
  <c r="J71" i="46"/>
  <c r="M70" i="46"/>
  <c r="N70" i="46" s="1"/>
  <c r="K70" i="46"/>
  <c r="J70" i="46" s="1"/>
  <c r="D70" i="46"/>
  <c r="M69" i="46"/>
  <c r="N69" i="46" s="1"/>
  <c r="K69" i="46"/>
  <c r="J69" i="46"/>
  <c r="M66" i="46"/>
  <c r="N66" i="46" s="1"/>
  <c r="K66" i="46"/>
  <c r="M65" i="46"/>
  <c r="N65" i="46" s="1"/>
  <c r="K65" i="46"/>
  <c r="J65" i="46" s="1"/>
  <c r="D65" i="46"/>
  <c r="M64" i="46"/>
  <c r="N64" i="46" s="1"/>
  <c r="K64" i="46"/>
  <c r="J64" i="46"/>
  <c r="D64" i="46"/>
  <c r="M63" i="46"/>
  <c r="N63" i="46"/>
  <c r="K63" i="46"/>
  <c r="J63" i="46" s="1"/>
  <c r="D63" i="46"/>
  <c r="M62" i="46"/>
  <c r="N62" i="46"/>
  <c r="K62" i="46"/>
  <c r="J62" i="46" s="1"/>
  <c r="D62" i="46"/>
  <c r="M61" i="46"/>
  <c r="N61" i="46"/>
  <c r="K61" i="46"/>
  <c r="J61" i="46"/>
  <c r="D61" i="46"/>
  <c r="M60" i="46"/>
  <c r="N60" i="46"/>
  <c r="K60" i="46"/>
  <c r="J60" i="46"/>
  <c r="D60" i="46"/>
  <c r="M59" i="46"/>
  <c r="N59" i="46"/>
  <c r="K59" i="46"/>
  <c r="J59" i="46"/>
  <c r="D59" i="46"/>
  <c r="M58" i="46"/>
  <c r="N58" i="46" s="1"/>
  <c r="M55" i="46"/>
  <c r="N55" i="46"/>
  <c r="K55" i="46"/>
  <c r="J55" i="46"/>
  <c r="M54" i="46"/>
  <c r="N54" i="46" s="1"/>
  <c r="K54" i="46"/>
  <c r="J54" i="46" s="1"/>
  <c r="M53" i="46"/>
  <c r="N53" i="46"/>
  <c r="K53" i="46"/>
  <c r="J53" i="46"/>
  <c r="D53" i="46"/>
  <c r="M52" i="46"/>
  <c r="N52" i="46"/>
  <c r="K52" i="46"/>
  <c r="J52" i="46"/>
  <c r="D52" i="46"/>
  <c r="M51" i="46"/>
  <c r="N51" i="46"/>
  <c r="K51" i="46"/>
  <c r="J51" i="46"/>
  <c r="M50" i="46"/>
  <c r="N50" i="46"/>
  <c r="M49" i="46"/>
  <c r="N49" i="46" s="1"/>
  <c r="K49" i="46"/>
  <c r="J49" i="46" s="1"/>
  <c r="D49" i="46"/>
  <c r="M48" i="46"/>
  <c r="N48" i="46" s="1"/>
  <c r="K48" i="46"/>
  <c r="J48" i="46" s="1"/>
  <c r="D48" i="46"/>
  <c r="M47" i="46"/>
  <c r="N47" i="46"/>
  <c r="K47" i="46"/>
  <c r="J47" i="46" s="1"/>
  <c r="D47" i="46"/>
  <c r="D51" i="46"/>
  <c r="D55" i="46"/>
  <c r="D80" i="46"/>
  <c r="D81" i="46"/>
  <c r="N73" i="46"/>
  <c r="D75" i="46"/>
  <c r="J66" i="46"/>
  <c r="D66" i="46"/>
  <c r="J50" i="46"/>
  <c r="D50" i="46"/>
  <c r="D54" i="46"/>
  <c r="Q73" i="15"/>
  <c r="Q60" i="15"/>
  <c r="Q59" i="15"/>
  <c r="Q52" i="15"/>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K12" i="1" s="1"/>
  <c r="M12" i="1" s="1"/>
  <c r="O12" i="1" s="1"/>
  <c r="A13" i="1"/>
  <c r="K13" i="1" s="1"/>
  <c r="M13" i="1" s="1"/>
  <c r="O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A107" i="3" s="1"/>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c r="BK93" i="3"/>
  <c r="BJ93" i="3"/>
  <c r="BA93" i="3" s="1"/>
  <c r="AZ93" i="3" s="1"/>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G83" i="3" s="1"/>
  <c r="H83" i="3"/>
  <c r="BT82" i="3"/>
  <c r="BS82" i="3"/>
  <c r="BR82" i="3"/>
  <c r="BQ82" i="3"/>
  <c r="BP82" i="3"/>
  <c r="BO82" i="3"/>
  <c r="BN82" i="3"/>
  <c r="BM82" i="3"/>
  <c r="BK82" i="3"/>
  <c r="BJ82" i="3"/>
  <c r="BI82" i="3"/>
  <c r="BH82" i="3"/>
  <c r="BG82" i="3"/>
  <c r="BF82" i="3"/>
  <c r="BE82" i="3"/>
  <c r="BD82" i="3"/>
  <c r="BC82" i="3"/>
  <c r="BA82" i="3" s="1"/>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G81" i="3" s="1"/>
  <c r="H81" i="3"/>
  <c r="BT80" i="3"/>
  <c r="BS80" i="3"/>
  <c r="BR80" i="3"/>
  <c r="BQ80" i="3"/>
  <c r="BP80" i="3"/>
  <c r="BO80" i="3"/>
  <c r="BN80" i="3"/>
  <c r="BM80" i="3"/>
  <c r="BL80" i="3" s="1"/>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G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K71" i="3"/>
  <c r="BJ71" i="3"/>
  <c r="BI71" i="3"/>
  <c r="BH71" i="3"/>
  <c r="BG71" i="3"/>
  <c r="BF71" i="3"/>
  <c r="BE71" i="3"/>
  <c r="BD71" i="3"/>
  <c r="BA71" i="3" s="1"/>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L69" i="3" s="1"/>
  <c r="BM69" i="3"/>
  <c r="BK69" i="3"/>
  <c r="BJ69" i="3"/>
  <c r="BI69" i="3"/>
  <c r="BH69" i="3"/>
  <c r="BG69" i="3"/>
  <c r="BF69" i="3"/>
  <c r="BE69" i="3"/>
  <c r="BD69" i="3"/>
  <c r="BC69" i="3"/>
  <c r="BB69" i="3"/>
  <c r="BA69" i="3" s="1"/>
  <c r="AZ69" i="3" s="1"/>
  <c r="AX69" i="3"/>
  <c r="AW69" i="3"/>
  <c r="AV69" i="3"/>
  <c r="AC69" i="3"/>
  <c r="G69" i="3" s="1"/>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L66" i="3" s="1"/>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L65" i="3" s="1"/>
  <c r="BK65" i="3"/>
  <c r="BJ65" i="3"/>
  <c r="BI65" i="3"/>
  <c r="BH65" i="3"/>
  <c r="BG65" i="3"/>
  <c r="BA65" i="3" s="1"/>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A63" i="3" s="1"/>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A61" i="3" s="1"/>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A60" i="3" s="1"/>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H59" i="3"/>
  <c r="G59" i="3"/>
  <c r="BT58" i="3"/>
  <c r="BS58" i="3"/>
  <c r="BR58" i="3"/>
  <c r="BQ58" i="3"/>
  <c r="BP58" i="3"/>
  <c r="BO58" i="3"/>
  <c r="BN58" i="3"/>
  <c r="BL58" i="3" s="1"/>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L52" i="3" s="1"/>
  <c r="BQ52" i="3"/>
  <c r="BP52" i="3"/>
  <c r="BO52" i="3"/>
  <c r="BN52" i="3"/>
  <c r="BM52" i="3"/>
  <c r="BK52" i="3"/>
  <c r="BJ52" i="3"/>
  <c r="BI52" i="3"/>
  <c r="BH52" i="3"/>
  <c r="BG52" i="3"/>
  <c r="BF52" i="3"/>
  <c r="BA52" i="3" s="1"/>
  <c r="AZ52" i="3" s="1"/>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L50" i="3" s="1"/>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L43" i="3" s="1"/>
  <c r="BQ43" i="3"/>
  <c r="BP43" i="3"/>
  <c r="BO43" i="3"/>
  <c r="BN43" i="3"/>
  <c r="BM43" i="3"/>
  <c r="BK43" i="3"/>
  <c r="BJ43" i="3"/>
  <c r="BI43" i="3"/>
  <c r="BH43" i="3"/>
  <c r="BG43" i="3"/>
  <c r="BF43" i="3"/>
  <c r="BA43" i="3" s="1"/>
  <c r="BE43" i="3"/>
  <c r="BD43" i="3"/>
  <c r="BC43" i="3"/>
  <c r="BB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L41" i="3"/>
  <c r="BK41" i="3"/>
  <c r="BA41" i="3" s="1"/>
  <c r="AZ41" i="3" s="1"/>
  <c r="BJ41" i="3"/>
  <c r="BI41" i="3"/>
  <c r="BH41" i="3"/>
  <c r="BG41" i="3"/>
  <c r="BF41" i="3"/>
  <c r="BE41" i="3"/>
  <c r="BD41" i="3"/>
  <c r="BC41" i="3"/>
  <c r="BB41" i="3"/>
  <c r="AX41" i="3"/>
  <c r="AW41" i="3"/>
  <c r="AV41" i="3"/>
  <c r="AC41" i="3"/>
  <c r="H41" i="3"/>
  <c r="G41" i="3"/>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A36" i="3" s="1"/>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A33" i="3" s="1"/>
  <c r="AZ33" i="3" s="1"/>
  <c r="BB33" i="3"/>
  <c r="AX33" i="3"/>
  <c r="AW33" i="3"/>
  <c r="AV33" i="3"/>
  <c r="AC33" i="3"/>
  <c r="G33" i="3" s="1"/>
  <c r="H33" i="3"/>
  <c r="BT32" i="3"/>
  <c r="BS32" i="3"/>
  <c r="BR32" i="3"/>
  <c r="BQ32" i="3"/>
  <c r="BP32" i="3"/>
  <c r="BO32" i="3"/>
  <c r="BN32" i="3"/>
  <c r="BM32" i="3"/>
  <c r="BL32" i="3"/>
  <c r="BK32" i="3"/>
  <c r="BA32" i="3" s="1"/>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G25" i="3" s="1"/>
  <c r="BT24" i="3"/>
  <c r="BS24" i="3"/>
  <c r="BR24" i="3"/>
  <c r="BL24" i="3" s="1"/>
  <c r="BQ24" i="3"/>
  <c r="BP24" i="3"/>
  <c r="BO24" i="3"/>
  <c r="BN24" i="3"/>
  <c r="BM24" i="3"/>
  <c r="BK24" i="3"/>
  <c r="BJ24" i="3"/>
  <c r="BI24" i="3"/>
  <c r="BH24" i="3"/>
  <c r="BG24" i="3"/>
  <c r="BF24" i="3"/>
  <c r="BE24" i="3"/>
  <c r="BD24" i="3"/>
  <c r="BC24" i="3"/>
  <c r="BA24" i="3" s="1"/>
  <c r="BB24" i="3"/>
  <c r="AX24" i="3"/>
  <c r="AW24" i="3"/>
  <c r="AV24" i="3"/>
  <c r="AC24" i="3"/>
  <c r="H24" i="3"/>
  <c r="BT23" i="3"/>
  <c r="BS23" i="3"/>
  <c r="BL23" i="3" s="1"/>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A21" i="3" s="1"/>
  <c r="BB21" i="3"/>
  <c r="AX21" i="3"/>
  <c r="AW21" i="3"/>
  <c r="AV21" i="3"/>
  <c r="AC21" i="3"/>
  <c r="H21" i="3"/>
  <c r="BT204" i="3"/>
  <c r="BS204" i="3"/>
  <c r="BR204" i="3"/>
  <c r="BQ204" i="3"/>
  <c r="BP204" i="3"/>
  <c r="BO204" i="3"/>
  <c r="BN204" i="3"/>
  <c r="BM204" i="3"/>
  <c r="BL204" i="3" s="1"/>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G203" i="3" s="1"/>
  <c r="H203" i="3"/>
  <c r="BT202" i="3"/>
  <c r="BS202" i="3"/>
  <c r="BR202" i="3"/>
  <c r="BQ202" i="3"/>
  <c r="BL202" i="3" s="1"/>
  <c r="BP202" i="3"/>
  <c r="BO202" i="3"/>
  <c r="BN202" i="3"/>
  <c r="BM202" i="3"/>
  <c r="BK202" i="3"/>
  <c r="BJ202" i="3"/>
  <c r="BI202" i="3"/>
  <c r="BH202" i="3"/>
  <c r="BG202" i="3"/>
  <c r="BF202" i="3"/>
  <c r="BE202" i="3"/>
  <c r="BD202" i="3"/>
  <c r="BC202" i="3"/>
  <c r="BA202" i="3" s="1"/>
  <c r="AZ202" i="3" s="1"/>
  <c r="BB202" i="3"/>
  <c r="AX202" i="3"/>
  <c r="AW202" i="3"/>
  <c r="AV202" i="3"/>
  <c r="AC202" i="3"/>
  <c r="G202" i="3" s="1"/>
  <c r="H202" i="3"/>
  <c r="BT201" i="3"/>
  <c r="BS201" i="3"/>
  <c r="BR201" i="3"/>
  <c r="BQ201" i="3"/>
  <c r="BP201" i="3"/>
  <c r="BO201" i="3"/>
  <c r="BN201" i="3"/>
  <c r="BM201" i="3"/>
  <c r="BK201" i="3"/>
  <c r="BJ201" i="3"/>
  <c r="BA201" i="3" s="1"/>
  <c r="BI201" i="3"/>
  <c r="BH201" i="3"/>
  <c r="BG201" i="3"/>
  <c r="BF201" i="3"/>
  <c r="BE201" i="3"/>
  <c r="BD201" i="3"/>
  <c r="BC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A199" i="3" s="1"/>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A195" i="3" s="1"/>
  <c r="BB195" i="3"/>
  <c r="AX195" i="3"/>
  <c r="AW195" i="3"/>
  <c r="AV195" i="3"/>
  <c r="AC195" i="3"/>
  <c r="H195" i="3"/>
  <c r="G195" i="3"/>
  <c r="BT194" i="3"/>
  <c r="BS194" i="3"/>
  <c r="BR194" i="3"/>
  <c r="BQ194" i="3"/>
  <c r="BP194" i="3"/>
  <c r="BO194" i="3"/>
  <c r="BN194" i="3"/>
  <c r="BL194" i="3" s="1"/>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G193" i="3"/>
  <c r="BT192" i="3"/>
  <c r="BS192" i="3"/>
  <c r="BR192" i="3"/>
  <c r="BQ192" i="3"/>
  <c r="BP192" i="3"/>
  <c r="BO192" i="3"/>
  <c r="BL192" i="3" s="1"/>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A190" i="3" s="1"/>
  <c r="AZ190" i="3" s="1"/>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L186" i="3" s="1"/>
  <c r="BN186" i="3"/>
  <c r="BM186" i="3"/>
  <c r="BK186" i="3"/>
  <c r="BJ186" i="3"/>
  <c r="BI186" i="3"/>
  <c r="BH186" i="3"/>
  <c r="BG186" i="3"/>
  <c r="BF186" i="3"/>
  <c r="BE186" i="3"/>
  <c r="BD186" i="3"/>
  <c r="BC186" i="3"/>
  <c r="BA186" i="3" s="1"/>
  <c r="BB186" i="3"/>
  <c r="AX186" i="3"/>
  <c r="AW186" i="3"/>
  <c r="AV186" i="3"/>
  <c r="AC186" i="3"/>
  <c r="H186" i="3"/>
  <c r="BT185" i="3"/>
  <c r="BS185" i="3"/>
  <c r="BR185" i="3"/>
  <c r="BQ185" i="3"/>
  <c r="BP185" i="3"/>
  <c r="BO185" i="3"/>
  <c r="BN185" i="3"/>
  <c r="BM185" i="3"/>
  <c r="BK185" i="3"/>
  <c r="BJ185" i="3"/>
  <c r="BI185" i="3"/>
  <c r="BH185" i="3"/>
  <c r="BG185" i="3"/>
  <c r="BF185" i="3"/>
  <c r="BE185" i="3"/>
  <c r="BD185" i="3"/>
  <c r="BA185" i="3" s="1"/>
  <c r="BC185" i="3"/>
  <c r="BB185" i="3"/>
  <c r="AX185" i="3"/>
  <c r="AW185" i="3"/>
  <c r="AV185" i="3"/>
  <c r="AC185" i="3"/>
  <c r="H185" i="3"/>
  <c r="G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A183" i="3" s="1"/>
  <c r="BC183" i="3"/>
  <c r="BB183" i="3"/>
  <c r="AX183" i="3"/>
  <c r="AW183" i="3"/>
  <c r="AV183" i="3"/>
  <c r="AC183" i="3"/>
  <c r="G183" i="3" s="1"/>
  <c r="H183" i="3"/>
  <c r="BT182" i="3"/>
  <c r="BS182" i="3"/>
  <c r="BR182" i="3"/>
  <c r="BL182" i="3" s="1"/>
  <c r="BQ182" i="3"/>
  <c r="BP182" i="3"/>
  <c r="BO182" i="3"/>
  <c r="BN182" i="3"/>
  <c r="BM182" i="3"/>
  <c r="BK182" i="3"/>
  <c r="BJ182" i="3"/>
  <c r="BI182" i="3"/>
  <c r="BH182" i="3"/>
  <c r="BG182" i="3"/>
  <c r="BF182" i="3"/>
  <c r="BE182" i="3"/>
  <c r="BD182" i="3"/>
  <c r="BC182" i="3"/>
  <c r="BA182" i="3" s="1"/>
  <c r="AZ182" i="3" s="1"/>
  <c r="BB182" i="3"/>
  <c r="AX182" i="3"/>
  <c r="AW182" i="3"/>
  <c r="AV182" i="3"/>
  <c r="AC182" i="3"/>
  <c r="H182" i="3"/>
  <c r="BT181" i="3"/>
  <c r="BS181" i="3"/>
  <c r="BR181" i="3"/>
  <c r="BQ181" i="3"/>
  <c r="BP181" i="3"/>
  <c r="BO181" i="3"/>
  <c r="BN181" i="3"/>
  <c r="BM181" i="3"/>
  <c r="BK181" i="3"/>
  <c r="BJ181" i="3"/>
  <c r="BI181" i="3"/>
  <c r="BH181" i="3"/>
  <c r="BG181" i="3"/>
  <c r="BA181" i="3" s="1"/>
  <c r="BF181" i="3"/>
  <c r="BE181" i="3"/>
  <c r="BD181" i="3"/>
  <c r="BC181" i="3"/>
  <c r="BB181" i="3"/>
  <c r="AX181" i="3"/>
  <c r="AW181" i="3"/>
  <c r="AV181" i="3"/>
  <c r="AC181" i="3"/>
  <c r="G181" i="3" s="1"/>
  <c r="H181" i="3"/>
  <c r="BT180" i="3"/>
  <c r="BS180" i="3"/>
  <c r="BR180" i="3"/>
  <c r="BQ180" i="3"/>
  <c r="BP180" i="3"/>
  <c r="BO180" i="3"/>
  <c r="BN180" i="3"/>
  <c r="BL180" i="3" s="1"/>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L177" i="3" s="1"/>
  <c r="BM177" i="3"/>
  <c r="BK177" i="3"/>
  <c r="BJ177" i="3"/>
  <c r="BI177" i="3"/>
  <c r="BH177" i="3"/>
  <c r="BG177" i="3"/>
  <c r="BF177" i="3"/>
  <c r="BE177" i="3"/>
  <c r="BD177" i="3"/>
  <c r="BC177" i="3"/>
  <c r="BB177" i="3"/>
  <c r="BA177" i="3" s="1"/>
  <c r="AX177" i="3"/>
  <c r="AW177" i="3"/>
  <c r="AV177" i="3"/>
  <c r="AC177" i="3"/>
  <c r="G177" i="3" s="1"/>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G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G174" i="3" s="1"/>
  <c r="H174" i="3"/>
  <c r="BT173" i="3"/>
  <c r="BS173" i="3"/>
  <c r="BR173" i="3"/>
  <c r="BQ173" i="3"/>
  <c r="BL173" i="3" s="1"/>
  <c r="BP173" i="3"/>
  <c r="BO173" i="3"/>
  <c r="BN173" i="3"/>
  <c r="BM173" i="3"/>
  <c r="BK173" i="3"/>
  <c r="BJ173" i="3"/>
  <c r="BI173" i="3"/>
  <c r="BH173" i="3"/>
  <c r="BG173" i="3"/>
  <c r="BF173" i="3"/>
  <c r="BE173" i="3"/>
  <c r="BD173" i="3"/>
  <c r="BC173" i="3"/>
  <c r="BB173" i="3"/>
  <c r="AX173" i="3"/>
  <c r="AW173" i="3"/>
  <c r="AV173" i="3"/>
  <c r="AC173" i="3"/>
  <c r="H173" i="3"/>
  <c r="G173" i="3"/>
  <c r="BT172" i="3"/>
  <c r="BS172" i="3"/>
  <c r="BR172" i="3"/>
  <c r="BL172" i="3" s="1"/>
  <c r="BQ172" i="3"/>
  <c r="BP172" i="3"/>
  <c r="BO172" i="3"/>
  <c r="BN172" i="3"/>
  <c r="BM172" i="3"/>
  <c r="BK172" i="3"/>
  <c r="BJ172" i="3"/>
  <c r="BI172" i="3"/>
  <c r="BH172" i="3"/>
  <c r="BG172" i="3"/>
  <c r="BF172" i="3"/>
  <c r="BA172" i="3" s="1"/>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A171" i="3" s="1"/>
  <c r="AZ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L167" i="3" s="1"/>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A164" i="3" s="1"/>
  <c r="BC164" i="3"/>
  <c r="BB164" i="3"/>
  <c r="AX164" i="3"/>
  <c r="AW164" i="3"/>
  <c r="AV164" i="3"/>
  <c r="AC164" i="3"/>
  <c r="H164" i="3"/>
  <c r="G164" i="3"/>
  <c r="BT163" i="3"/>
  <c r="BS163" i="3"/>
  <c r="BL163" i="3" s="1"/>
  <c r="BR163" i="3"/>
  <c r="BQ163" i="3"/>
  <c r="BP163" i="3"/>
  <c r="BO163" i="3"/>
  <c r="BN163" i="3"/>
  <c r="BM163" i="3"/>
  <c r="BK163" i="3"/>
  <c r="BJ163" i="3"/>
  <c r="BI163" i="3"/>
  <c r="BH163" i="3"/>
  <c r="BG163" i="3"/>
  <c r="BF163" i="3"/>
  <c r="BE163" i="3"/>
  <c r="BD163" i="3"/>
  <c r="BC163" i="3"/>
  <c r="BA163" i="3" s="1"/>
  <c r="AZ163" i="3" s="1"/>
  <c r="BB163" i="3"/>
  <c r="AX163" i="3"/>
  <c r="AW163" i="3"/>
  <c r="AV163" i="3"/>
  <c r="AC163" i="3"/>
  <c r="H163" i="3"/>
  <c r="BT162" i="3"/>
  <c r="BS162" i="3"/>
  <c r="BR162" i="3"/>
  <c r="BQ162" i="3"/>
  <c r="BP162" i="3"/>
  <c r="BO162" i="3"/>
  <c r="BN162" i="3"/>
  <c r="BM162" i="3"/>
  <c r="BK162" i="3"/>
  <c r="BJ162" i="3"/>
  <c r="BI162" i="3"/>
  <c r="BH162" i="3"/>
  <c r="BA162" i="3" s="1"/>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A160" i="3" s="1"/>
  <c r="AZ160" i="3" s="1"/>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L156" i="3" s="1"/>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A149" i="3" s="1"/>
  <c r="AZ149" i="3" s="1"/>
  <c r="BC149" i="3"/>
  <c r="BB149" i="3"/>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L145" i="3" s="1"/>
  <c r="BP145" i="3"/>
  <c r="BO145" i="3"/>
  <c r="BN145" i="3"/>
  <c r="BM145" i="3"/>
  <c r="BK145" i="3"/>
  <c r="BJ145" i="3"/>
  <c r="BI145" i="3"/>
  <c r="BH145" i="3"/>
  <c r="BG145" i="3"/>
  <c r="BF145" i="3"/>
  <c r="BE145" i="3"/>
  <c r="BD145" i="3"/>
  <c r="BC145" i="3"/>
  <c r="BB145" i="3"/>
  <c r="BA145" i="3" s="1"/>
  <c r="AZ145" i="3" s="1"/>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L142" i="3" s="1"/>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AZ141" i="3" s="1"/>
  <c r="BK141" i="3"/>
  <c r="BJ141" i="3"/>
  <c r="BI141" i="3"/>
  <c r="BH141" i="3"/>
  <c r="BG141" i="3"/>
  <c r="BF141" i="3"/>
  <c r="BE141" i="3"/>
  <c r="BD141" i="3"/>
  <c r="BC141" i="3"/>
  <c r="BA141" i="3" s="1"/>
  <c r="BB141" i="3"/>
  <c r="AX141" i="3"/>
  <c r="AW141" i="3"/>
  <c r="AV141" i="3"/>
  <c r="AC141" i="3"/>
  <c r="H141" i="3"/>
  <c r="G141" i="3" s="1"/>
  <c r="BT140" i="3"/>
  <c r="BS140" i="3"/>
  <c r="BR140" i="3"/>
  <c r="BQ140" i="3"/>
  <c r="BP140" i="3"/>
  <c r="BO140" i="3"/>
  <c r="BL140" i="3" s="1"/>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G139" i="3" s="1"/>
  <c r="H139" i="3"/>
  <c r="BT138" i="3"/>
  <c r="BS138" i="3"/>
  <c r="BR138" i="3"/>
  <c r="BQ138" i="3"/>
  <c r="BL138" i="3" s="1"/>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A137" i="3" s="1"/>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A133" i="3" s="1"/>
  <c r="AZ133" i="3" s="1"/>
  <c r="BB133" i="3"/>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A131" i="3" s="1"/>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L125" i="3" s="1"/>
  <c r="BM125" i="3"/>
  <c r="BK125" i="3"/>
  <c r="BJ125" i="3"/>
  <c r="BI125" i="3"/>
  <c r="BH125" i="3"/>
  <c r="BG125" i="3"/>
  <c r="BF125" i="3"/>
  <c r="BE125" i="3"/>
  <c r="BD125" i="3"/>
  <c r="BC125" i="3"/>
  <c r="BB125" i="3"/>
  <c r="BA125" i="3" s="1"/>
  <c r="AX125" i="3"/>
  <c r="AW125" i="3"/>
  <c r="AV125" i="3"/>
  <c r="AC125" i="3"/>
  <c r="G125" i="3" s="1"/>
  <c r="H125" i="3"/>
  <c r="BT124" i="3"/>
  <c r="BS124" i="3"/>
  <c r="BR124" i="3"/>
  <c r="BQ124" i="3"/>
  <c r="BP124" i="3"/>
  <c r="BO124" i="3"/>
  <c r="BN124" i="3"/>
  <c r="BL124" i="3" s="1"/>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L117" i="3" s="1"/>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A115" i="3" s="1"/>
  <c r="BE115" i="3"/>
  <c r="BD115" i="3"/>
  <c r="BC115" i="3"/>
  <c r="BB115" i="3"/>
  <c r="AX115" i="3"/>
  <c r="AW115" i="3"/>
  <c r="AV115" i="3"/>
  <c r="AC115" i="3"/>
  <c r="G115" i="3" s="1"/>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A295" i="3" s="1"/>
  <c r="BB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A291" i="3" s="1"/>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A290" i="3" s="1"/>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L288" i="3" s="1"/>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A285" i="3" s="1"/>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A284" i="3" s="1"/>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A282" i="3" s="1"/>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A280" i="3" s="1"/>
  <c r="AZ280" i="3" s="1"/>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L277" i="3" s="1"/>
  <c r="AZ277" i="3" s="1"/>
  <c r="BN277" i="3"/>
  <c r="BM277" i="3"/>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L276" i="3" s="1"/>
  <c r="BN276" i="3"/>
  <c r="BM276" i="3"/>
  <c r="BK276" i="3"/>
  <c r="BJ276" i="3"/>
  <c r="BI276" i="3"/>
  <c r="BH276" i="3"/>
  <c r="BG276" i="3"/>
  <c r="BF276" i="3"/>
  <c r="BE276" i="3"/>
  <c r="BD276" i="3"/>
  <c r="BC276" i="3"/>
  <c r="BA276" i="3" s="1"/>
  <c r="BB276" i="3"/>
  <c r="AX276" i="3"/>
  <c r="AW276" i="3"/>
  <c r="AV276" i="3"/>
  <c r="AC276" i="3"/>
  <c r="G276" i="3" s="1"/>
  <c r="H276" i="3"/>
  <c r="BT275" i="3"/>
  <c r="BS275" i="3"/>
  <c r="BR275" i="3"/>
  <c r="BQ275" i="3"/>
  <c r="BL275" i="3" s="1"/>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A273" i="3" s="1"/>
  <c r="BC273" i="3"/>
  <c r="BB273" i="3"/>
  <c r="AX273" i="3"/>
  <c r="AW273" i="3"/>
  <c r="AV273" i="3"/>
  <c r="AC273" i="3"/>
  <c r="H273" i="3"/>
  <c r="G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A266" i="3" s="1"/>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A265" i="3" s="1"/>
  <c r="BF265" i="3"/>
  <c r="BE265" i="3"/>
  <c r="BD265" i="3"/>
  <c r="BC265" i="3"/>
  <c r="BB265" i="3"/>
  <c r="AX265" i="3"/>
  <c r="AW265" i="3"/>
  <c r="AV265" i="3"/>
  <c r="AC265" i="3"/>
  <c r="H265" i="3"/>
  <c r="G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L259" i="3" s="1"/>
  <c r="AZ259" i="3" s="1"/>
  <c r="BN259" i="3"/>
  <c r="BM259" i="3"/>
  <c r="BK259" i="3"/>
  <c r="BJ259" i="3"/>
  <c r="BI259" i="3"/>
  <c r="BH259" i="3"/>
  <c r="BG259" i="3"/>
  <c r="BF259" i="3"/>
  <c r="BE259" i="3"/>
  <c r="BD259" i="3"/>
  <c r="BC259" i="3"/>
  <c r="BA259" i="3" s="1"/>
  <c r="BB259" i="3"/>
  <c r="AX259" i="3"/>
  <c r="AW259" i="3"/>
  <c r="AV259" i="3"/>
  <c r="AC259" i="3"/>
  <c r="H259" i="3"/>
  <c r="G259" i="3" s="1"/>
  <c r="BT258" i="3"/>
  <c r="BS258" i="3"/>
  <c r="BR258" i="3"/>
  <c r="BQ258" i="3"/>
  <c r="BP258" i="3"/>
  <c r="BO258" i="3"/>
  <c r="BL258" i="3" s="1"/>
  <c r="BN258" i="3"/>
  <c r="BM258" i="3"/>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G257" i="3" s="1"/>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L252" i="3" s="1"/>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L250" i="3" s="1"/>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s="1"/>
  <c r="BK248" i="3"/>
  <c r="BA248" i="3" s="1"/>
  <c r="AZ248" i="3" s="1"/>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A247" i="3" s="1"/>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L244" i="3" s="1"/>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A241" i="3" s="1"/>
  <c r="BC241" i="3"/>
  <c r="BB241" i="3"/>
  <c r="AX241" i="3"/>
  <c r="AW241" i="3"/>
  <c r="AV241" i="3"/>
  <c r="AC241" i="3"/>
  <c r="H241" i="3"/>
  <c r="G241" i="3" s="1"/>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A239" i="3" s="1"/>
  <c r="BI239" i="3"/>
  <c r="BH239" i="3"/>
  <c r="BG239" i="3"/>
  <c r="BF239" i="3"/>
  <c r="BE239" i="3"/>
  <c r="BD239" i="3"/>
  <c r="BC239" i="3"/>
  <c r="BB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G238" i="3" s="1"/>
  <c r="H238" i="3"/>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G235" i="3"/>
  <c r="BT234" i="3"/>
  <c r="BS234" i="3"/>
  <c r="BR234" i="3"/>
  <c r="BL234" i="3" s="1"/>
  <c r="BQ234" i="3"/>
  <c r="BP234" i="3"/>
  <c r="BO234" i="3"/>
  <c r="BN234" i="3"/>
  <c r="BM234" i="3"/>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L233" i="3" s="1"/>
  <c r="BN233" i="3"/>
  <c r="BM233" i="3"/>
  <c r="BK233" i="3"/>
  <c r="BJ233" i="3"/>
  <c r="BI233" i="3"/>
  <c r="BH233" i="3"/>
  <c r="BG233" i="3"/>
  <c r="BF233" i="3"/>
  <c r="BE233" i="3"/>
  <c r="BD233" i="3"/>
  <c r="BC233" i="3"/>
  <c r="BA233" i="3" s="1"/>
  <c r="BB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A232" i="3" s="1"/>
  <c r="AZ232" i="3" s="1"/>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L229" i="3" s="1"/>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AZ224" i="3" s="1"/>
  <c r="BC224" i="3"/>
  <c r="BB224" i="3"/>
  <c r="AX224" i="3"/>
  <c r="AW224" i="3"/>
  <c r="AV224" i="3"/>
  <c r="AC224" i="3"/>
  <c r="H224" i="3"/>
  <c r="G224" i="3" s="1"/>
  <c r="BT223" i="3"/>
  <c r="BS223" i="3"/>
  <c r="BR223" i="3"/>
  <c r="BQ223" i="3"/>
  <c r="BP223" i="3"/>
  <c r="BO223" i="3"/>
  <c r="BN223" i="3"/>
  <c r="BM223" i="3"/>
  <c r="BL223" i="3" s="1"/>
  <c r="BK223" i="3"/>
  <c r="BA223" i="3" s="1"/>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L220" i="3" s="1"/>
  <c r="BM220" i="3"/>
  <c r="BK220" i="3"/>
  <c r="BJ220" i="3"/>
  <c r="BI220" i="3"/>
  <c r="BH220" i="3"/>
  <c r="BG220" i="3"/>
  <c r="BF220" i="3"/>
  <c r="BE220" i="3"/>
  <c r="BD220" i="3"/>
  <c r="BC220" i="3"/>
  <c r="BB220" i="3"/>
  <c r="AX220" i="3"/>
  <c r="AW220" i="3"/>
  <c r="AV220" i="3"/>
  <c r="AC220" i="3"/>
  <c r="H220" i="3"/>
  <c r="G220" i="3"/>
  <c r="BT219" i="3"/>
  <c r="BS219" i="3"/>
  <c r="BR219" i="3"/>
  <c r="BQ219" i="3"/>
  <c r="BP219" i="3"/>
  <c r="BL219" i="3" s="1"/>
  <c r="BO219" i="3"/>
  <c r="BN219" i="3"/>
  <c r="BM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AZ214" i="3" s="1"/>
  <c r="BB214" i="3"/>
  <c r="AX214" i="3"/>
  <c r="AW214" i="3"/>
  <c r="AV214" i="3"/>
  <c r="AC214" i="3"/>
  <c r="G214" i="3" s="1"/>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c r="BT210" i="3"/>
  <c r="BS210" i="3"/>
  <c r="BL210" i="3" s="1"/>
  <c r="BR210" i="3"/>
  <c r="BQ210" i="3"/>
  <c r="BP210" i="3"/>
  <c r="BO210" i="3"/>
  <c r="BN210" i="3"/>
  <c r="BM210" i="3"/>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A206" i="3" s="1"/>
  <c r="AZ206" i="3" s="1"/>
  <c r="BC206" i="3"/>
  <c r="BB206" i="3"/>
  <c r="AX206" i="3"/>
  <c r="AW206" i="3"/>
  <c r="AV206" i="3"/>
  <c r="AC206" i="3"/>
  <c r="H206" i="3"/>
  <c r="G206" i="3"/>
  <c r="BT205" i="3"/>
  <c r="BS205" i="3"/>
  <c r="BR205" i="3"/>
  <c r="BQ205" i="3"/>
  <c r="BP205" i="3"/>
  <c r="BO205" i="3"/>
  <c r="BN205" i="3"/>
  <c r="BM205" i="3"/>
  <c r="BL205" i="3" s="1"/>
  <c r="BK205" i="3"/>
  <c r="BJ205" i="3"/>
  <c r="BI205" i="3"/>
  <c r="BH205" i="3"/>
  <c r="BG205" i="3"/>
  <c r="BA205" i="3" s="1"/>
  <c r="BF205" i="3"/>
  <c r="BE205" i="3"/>
  <c r="BD205" i="3"/>
  <c r="BC205" i="3"/>
  <c r="BB205" i="3"/>
  <c r="AX205" i="3"/>
  <c r="AW205" i="3"/>
  <c r="AV205" i="3"/>
  <c r="AC205" i="3"/>
  <c r="G205" i="3" s="1"/>
  <c r="H205" i="3"/>
  <c r="BT388" i="3"/>
  <c r="BS388" i="3"/>
  <c r="BR388" i="3"/>
  <c r="BQ388" i="3"/>
  <c r="BP388" i="3"/>
  <c r="BO388" i="3"/>
  <c r="BN388" i="3"/>
  <c r="BM388" i="3"/>
  <c r="BL388" i="3"/>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A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A371" i="3" s="1"/>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A369" i="3" s="1"/>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L364" i="3" s="1"/>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L360" i="3" s="1"/>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A357" i="3" s="1"/>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G349" i="3" s="1"/>
  <c r="H349" i="3"/>
  <c r="BT348" i="3"/>
  <c r="BL348" i="3" s="1"/>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L346" i="3" s="1"/>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L342" i="3" s="1"/>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L334" i="3" s="1"/>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L326" i="3" s="1"/>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A321" i="3" s="1"/>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L318" i="3" s="1"/>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A317" i="3" s="1"/>
  <c r="BF317" i="3"/>
  <c r="BE317" i="3"/>
  <c r="BD317" i="3"/>
  <c r="BC317" i="3"/>
  <c r="BB317" i="3"/>
  <c r="AX317" i="3"/>
  <c r="AW317" i="3"/>
  <c r="AV317" i="3"/>
  <c r="AC317" i="3"/>
  <c r="H317" i="3"/>
  <c r="G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A311" i="3" s="1"/>
  <c r="BC311" i="3"/>
  <c r="BB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A297" i="3" s="1"/>
  <c r="BE297" i="3"/>
  <c r="BD297" i="3"/>
  <c r="BC297" i="3"/>
  <c r="BB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A476" i="3" s="1"/>
  <c r="BB476" i="3"/>
  <c r="AX476" i="3"/>
  <c r="AW476" i="3"/>
  <c r="AV476" i="3"/>
  <c r="AC476" i="3"/>
  <c r="H476" i="3"/>
  <c r="G476" i="3" s="1"/>
  <c r="BT475" i="3"/>
  <c r="BS475" i="3"/>
  <c r="BR475" i="3"/>
  <c r="BQ475" i="3"/>
  <c r="BP475" i="3"/>
  <c r="BO475" i="3"/>
  <c r="BN475" i="3"/>
  <c r="BM475" i="3"/>
  <c r="BL475" i="3" s="1"/>
  <c r="BK475" i="3"/>
  <c r="BJ475" i="3"/>
  <c r="BI475" i="3"/>
  <c r="BH475" i="3"/>
  <c r="BG475" i="3"/>
  <c r="BF475" i="3"/>
  <c r="BA475" i="3" s="1"/>
  <c r="BE475" i="3"/>
  <c r="BD475" i="3"/>
  <c r="BC475" i="3"/>
  <c r="BB475" i="3"/>
  <c r="AX475" i="3"/>
  <c r="AW475" i="3"/>
  <c r="AV475" i="3"/>
  <c r="AC475" i="3"/>
  <c r="H475" i="3"/>
  <c r="G475" i="3"/>
  <c r="BT474" i="3"/>
  <c r="BS474" i="3"/>
  <c r="BR474" i="3"/>
  <c r="BQ474" i="3"/>
  <c r="BP474" i="3"/>
  <c r="BO474" i="3"/>
  <c r="BL474" i="3" s="1"/>
  <c r="BN474" i="3"/>
  <c r="BM474" i="3"/>
  <c r="BK474" i="3"/>
  <c r="BJ474" i="3"/>
  <c r="BI474" i="3"/>
  <c r="BH474" i="3"/>
  <c r="BG474" i="3"/>
  <c r="BF474" i="3"/>
  <c r="BE474" i="3"/>
  <c r="BD474" i="3"/>
  <c r="BC474" i="3"/>
  <c r="BA474" i="3" s="1"/>
  <c r="BB474" i="3"/>
  <c r="AX474" i="3"/>
  <c r="AW474" i="3"/>
  <c r="AV474" i="3"/>
  <c r="AC474" i="3"/>
  <c r="H474" i="3"/>
  <c r="BT473" i="3"/>
  <c r="BS473" i="3"/>
  <c r="BR473" i="3"/>
  <c r="BQ473" i="3"/>
  <c r="BP473" i="3"/>
  <c r="BL473" i="3" s="1"/>
  <c r="BO473" i="3"/>
  <c r="BN473" i="3"/>
  <c r="BM473" i="3"/>
  <c r="BK473" i="3"/>
  <c r="BJ473" i="3"/>
  <c r="BI473" i="3"/>
  <c r="BH473" i="3"/>
  <c r="BG473" i="3"/>
  <c r="BF473" i="3"/>
  <c r="BE473" i="3"/>
  <c r="BD473" i="3"/>
  <c r="BA473" i="3" s="1"/>
  <c r="AZ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A471" i="3" s="1"/>
  <c r="BB471" i="3"/>
  <c r="AX471" i="3"/>
  <c r="AW471" i="3"/>
  <c r="AV471" i="3"/>
  <c r="AC471" i="3"/>
  <c r="H471" i="3"/>
  <c r="G471" i="3"/>
  <c r="BT470" i="3"/>
  <c r="BS470" i="3"/>
  <c r="BR470" i="3"/>
  <c r="BQ470" i="3"/>
  <c r="BL470" i="3" s="1"/>
  <c r="BP470" i="3"/>
  <c r="BO470" i="3"/>
  <c r="BN470" i="3"/>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A468" i="3" s="1"/>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L465" i="3" s="1"/>
  <c r="BN465" i="3"/>
  <c r="BM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A460" i="3" s="1"/>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A459" i="3" s="1"/>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A455" i="3" s="1"/>
  <c r="BE455" i="3"/>
  <c r="BD455" i="3"/>
  <c r="BC455" i="3"/>
  <c r="BB455" i="3"/>
  <c r="AX455" i="3"/>
  <c r="AW455" i="3"/>
  <c r="AV455" i="3"/>
  <c r="AC455" i="3"/>
  <c r="H455" i="3"/>
  <c r="G455" i="3"/>
  <c r="BT454" i="3"/>
  <c r="BS454" i="3"/>
  <c r="BR454" i="3"/>
  <c r="BQ454" i="3"/>
  <c r="BP454" i="3"/>
  <c r="BO454" i="3"/>
  <c r="BL454" i="3" s="1"/>
  <c r="BN454" i="3"/>
  <c r="BM454" i="3"/>
  <c r="BK454" i="3"/>
  <c r="BJ454" i="3"/>
  <c r="BI454" i="3"/>
  <c r="BH454" i="3"/>
  <c r="BG454" i="3"/>
  <c r="BF454" i="3"/>
  <c r="BE454" i="3"/>
  <c r="BD454" i="3"/>
  <c r="BC454" i="3"/>
  <c r="BA454" i="3" s="1"/>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A450" i="3" s="1"/>
  <c r="BE450" i="3"/>
  <c r="BD450" i="3"/>
  <c r="BC450" i="3"/>
  <c r="BB450" i="3"/>
  <c r="AX450" i="3"/>
  <c r="AW450" i="3"/>
  <c r="AV450" i="3"/>
  <c r="AC450" i="3"/>
  <c r="H450" i="3"/>
  <c r="G450" i="3"/>
  <c r="BT449" i="3"/>
  <c r="BS449" i="3"/>
  <c r="BR449" i="3"/>
  <c r="BQ449" i="3"/>
  <c r="BP449" i="3"/>
  <c r="BO449" i="3"/>
  <c r="BL449" i="3" s="1"/>
  <c r="BN449" i="3"/>
  <c r="BM449" i="3"/>
  <c r="BK449" i="3"/>
  <c r="BJ449" i="3"/>
  <c r="BI449" i="3"/>
  <c r="BH449" i="3"/>
  <c r="BG449" i="3"/>
  <c r="BF449" i="3"/>
  <c r="BE449" i="3"/>
  <c r="BD449" i="3"/>
  <c r="BC449" i="3"/>
  <c r="BA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s="1"/>
  <c r="BK445" i="3"/>
  <c r="BJ445" i="3"/>
  <c r="BI445" i="3"/>
  <c r="BH445" i="3"/>
  <c r="BG445" i="3"/>
  <c r="BF445" i="3"/>
  <c r="BA445" i="3" s="1"/>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BC444" i="3"/>
  <c r="BB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BA442" i="3" s="1"/>
  <c r="AX442" i="3"/>
  <c r="AW442" i="3"/>
  <c r="AV442" i="3"/>
  <c r="AC442" i="3"/>
  <c r="G442" i="3" s="1"/>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A440" i="3" s="1"/>
  <c r="AZ440" i="3" s="1"/>
  <c r="BE440" i="3"/>
  <c r="BD440" i="3"/>
  <c r="BC440" i="3"/>
  <c r="BB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A439" i="3" s="1"/>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A435" i="3" s="1"/>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A434" i="3" s="1"/>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A433" i="3" s="1"/>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A430" i="3" s="1"/>
  <c r="BE430" i="3"/>
  <c r="BD430" i="3"/>
  <c r="BC430" i="3"/>
  <c r="BB430" i="3"/>
  <c r="AX430" i="3"/>
  <c r="AW430" i="3"/>
  <c r="AV430" i="3"/>
  <c r="AC430" i="3"/>
  <c r="H430" i="3"/>
  <c r="G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A428" i="3" s="1"/>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A426" i="3" s="1"/>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A425" i="3" s="1"/>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G422" i="3" s="1"/>
  <c r="H422" i="3"/>
  <c r="BT421" i="3"/>
  <c r="BS421" i="3"/>
  <c r="BR421" i="3"/>
  <c r="BQ421" i="3"/>
  <c r="BP421" i="3"/>
  <c r="BO421" i="3"/>
  <c r="BN421" i="3"/>
  <c r="BM421" i="3"/>
  <c r="BL421" i="3" s="1"/>
  <c r="BK421" i="3"/>
  <c r="BJ421" i="3"/>
  <c r="BI421" i="3"/>
  <c r="BH421" i="3"/>
  <c r="BG421" i="3"/>
  <c r="BF421" i="3"/>
  <c r="BE421" i="3"/>
  <c r="BD421" i="3"/>
  <c r="BA421" i="3" s="1"/>
  <c r="BC421" i="3"/>
  <c r="BB421" i="3"/>
  <c r="AX421" i="3"/>
  <c r="AW421" i="3"/>
  <c r="AV421" i="3"/>
  <c r="AC421" i="3"/>
  <c r="H421" i="3"/>
  <c r="G421" i="3"/>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H417" i="3"/>
  <c r="G417" i="3" s="1"/>
  <c r="BT416" i="3"/>
  <c r="BS416" i="3"/>
  <c r="BR416" i="3"/>
  <c r="BQ416" i="3"/>
  <c r="BP416" i="3"/>
  <c r="BO416" i="3"/>
  <c r="BN416" i="3"/>
  <c r="BM416" i="3"/>
  <c r="BL416" i="3" s="1"/>
  <c r="BK416" i="3"/>
  <c r="BJ416" i="3"/>
  <c r="BI416" i="3"/>
  <c r="BH416" i="3"/>
  <c r="BG416" i="3"/>
  <c r="BF416" i="3"/>
  <c r="BA416" i="3" s="1"/>
  <c r="AZ416" i="3" s="1"/>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G415" i="3" s="1"/>
  <c r="H415" i="3"/>
  <c r="BT414" i="3"/>
  <c r="BS414" i="3"/>
  <c r="BR414" i="3"/>
  <c r="BQ414" i="3"/>
  <c r="BP414" i="3"/>
  <c r="BO414" i="3"/>
  <c r="BN414" i="3"/>
  <c r="BM414" i="3"/>
  <c r="BL414" i="3"/>
  <c r="BK414" i="3"/>
  <c r="BJ414" i="3"/>
  <c r="BI414" i="3"/>
  <c r="BH414" i="3"/>
  <c r="BG414" i="3"/>
  <c r="BF414" i="3"/>
  <c r="BA414" i="3" s="1"/>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A412" i="3" s="1"/>
  <c r="AZ412" i="3" s="1"/>
  <c r="BC412" i="3"/>
  <c r="BB412" i="3"/>
  <c r="AX412" i="3"/>
  <c r="AW412" i="3"/>
  <c r="AV412" i="3"/>
  <c r="AC412" i="3"/>
  <c r="H412" i="3"/>
  <c r="G412" i="3"/>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s="1"/>
  <c r="BT410" i="3"/>
  <c r="BS410" i="3"/>
  <c r="BR410" i="3"/>
  <c r="BQ410" i="3"/>
  <c r="BL410" i="3" s="1"/>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s="1"/>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s="1"/>
  <c r="BK407" i="3"/>
  <c r="BJ407" i="3"/>
  <c r="BI407" i="3"/>
  <c r="BH407" i="3"/>
  <c r="BG407" i="3"/>
  <c r="BF407" i="3"/>
  <c r="BA407" i="3" s="1"/>
  <c r="BE407" i="3"/>
  <c r="BD407" i="3"/>
  <c r="BC407" i="3"/>
  <c r="BB407" i="3"/>
  <c r="AX407" i="3"/>
  <c r="AW407" i="3"/>
  <c r="AV407" i="3"/>
  <c r="AC407" i="3"/>
  <c r="H407" i="3"/>
  <c r="G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L405" i="3"/>
  <c r="BK405" i="3"/>
  <c r="BJ405" i="3"/>
  <c r="BI405" i="3"/>
  <c r="BH405" i="3"/>
  <c r="BG405" i="3"/>
  <c r="BF405" i="3"/>
  <c r="BA405" i="3" s="1"/>
  <c r="AZ405" i="3" s="1"/>
  <c r="BE405" i="3"/>
  <c r="BD405" i="3"/>
  <c r="BC405" i="3"/>
  <c r="BB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L403" i="3" s="1"/>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L398" i="3" s="1"/>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L396" i="3" s="1"/>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G395" i="3" s="1"/>
  <c r="H395" i="3"/>
  <c r="BT394" i="3"/>
  <c r="BS394" i="3"/>
  <c r="BR394" i="3"/>
  <c r="BQ394" i="3"/>
  <c r="BP394" i="3"/>
  <c r="BO394" i="3"/>
  <c r="BN394" i="3"/>
  <c r="BM394" i="3"/>
  <c r="BL394" i="3" s="1"/>
  <c r="BK394" i="3"/>
  <c r="BJ394" i="3"/>
  <c r="BI394" i="3"/>
  <c r="BH394" i="3"/>
  <c r="BG394" i="3"/>
  <c r="BF394" i="3"/>
  <c r="BE394" i="3"/>
  <c r="BD394" i="3"/>
  <c r="BA394" i="3" s="1"/>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A393" i="3" s="1"/>
  <c r="BE393" i="3"/>
  <c r="BD393" i="3"/>
  <c r="BC393" i="3"/>
  <c r="BB393" i="3"/>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A392" i="3" s="1"/>
  <c r="AZ392" i="3" s="1"/>
  <c r="BC392" i="3"/>
  <c r="BB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A389" i="3" s="1"/>
  <c r="BC389" i="3"/>
  <c r="BB389" i="3"/>
  <c r="AX389" i="3"/>
  <c r="AW389" i="3"/>
  <c r="AV389" i="3"/>
  <c r="AC389" i="3"/>
  <c r="G389" i="3" s="1"/>
  <c r="H389" i="3"/>
  <c r="H62" i="40"/>
  <c r="I62" i="40"/>
  <c r="C62" i="40" s="1"/>
  <c r="H61" i="40"/>
  <c r="I61" i="40"/>
  <c r="C61" i="40" s="1"/>
  <c r="H60" i="40"/>
  <c r="H59" i="40"/>
  <c r="H58" i="40"/>
  <c r="I58" i="40"/>
  <c r="C58" i="40" s="1"/>
  <c r="H57" i="40"/>
  <c r="I57" i="40"/>
  <c r="C57" i="40"/>
  <c r="H56" i="40"/>
  <c r="I56" i="40"/>
  <c r="C56" i="40"/>
  <c r="H55" i="40"/>
  <c r="I55" i="40"/>
  <c r="C55" i="40" s="1"/>
  <c r="H54" i="40"/>
  <c r="I54" i="40"/>
  <c r="C54" i="40" s="1"/>
  <c r="H63" i="39"/>
  <c r="I63" i="39"/>
  <c r="C63" i="39"/>
  <c r="H59" i="39"/>
  <c r="I59" i="39"/>
  <c r="C59" i="39" s="1"/>
  <c r="H67" i="39"/>
  <c r="I67" i="39"/>
  <c r="C67" i="39" s="1"/>
  <c r="H66" i="39"/>
  <c r="I66" i="39"/>
  <c r="C66" i="39" s="1"/>
  <c r="H65" i="39"/>
  <c r="I65" i="39" s="1"/>
  <c r="C65" i="39" s="1"/>
  <c r="H64" i="39"/>
  <c r="I64" i="39"/>
  <c r="C64" i="39" s="1"/>
  <c r="H62" i="39"/>
  <c r="I62" i="39"/>
  <c r="C62" i="39" s="1"/>
  <c r="H61" i="39"/>
  <c r="I61" i="39"/>
  <c r="C61" i="39" s="1"/>
  <c r="H60" i="39"/>
  <c r="I60" i="39"/>
  <c r="C60" i="39" s="1"/>
  <c r="L25" i="4"/>
  <c r="C145" i="21"/>
  <c r="K139" i="21" s="1"/>
  <c r="K145" i="21" s="1"/>
  <c r="J142" i="21"/>
  <c r="J140" i="21"/>
  <c r="M87" i="21"/>
  <c r="L87" i="21"/>
  <c r="K87" i="21"/>
  <c r="J87" i="21"/>
  <c r="I87" i="21"/>
  <c r="H87" i="21"/>
  <c r="G87" i="21"/>
  <c r="F87" i="21"/>
  <c r="E87" i="21"/>
  <c r="D87" i="21"/>
  <c r="G2" i="46"/>
  <c r="H17" i="46" s="1"/>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c r="R505" i="31"/>
  <c r="R506" i="31"/>
  <c r="S506" i="31" s="1"/>
  <c r="R507" i="31"/>
  <c r="R508" i="31"/>
  <c r="S508" i="31" s="1"/>
  <c r="R509" i="31"/>
  <c r="R510" i="31"/>
  <c r="S510" i="31"/>
  <c r="R511" i="31"/>
  <c r="R512" i="31"/>
  <c r="S512" i="31"/>
  <c r="R513" i="31"/>
  <c r="R514" i="31"/>
  <c r="S514" i="31" s="1"/>
  <c r="R515" i="31"/>
  <c r="R516" i="31"/>
  <c r="S516" i="31" s="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c r="F23" i="4"/>
  <c r="D19" i="4"/>
  <c r="I19" i="4"/>
  <c r="H19" i="4"/>
  <c r="G19" i="4"/>
  <c r="F9" i="1"/>
  <c r="AP9" i="1" s="1"/>
  <c r="F19" i="4"/>
  <c r="F10" i="1" s="1"/>
  <c r="AP10" i="1" s="1"/>
  <c r="E19" i="4"/>
  <c r="F8" i="1" s="1"/>
  <c r="AP8"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c r="J36" i="40"/>
  <c r="AC36" i="40"/>
  <c r="F10" i="39"/>
  <c r="AA10" i="39" s="1"/>
  <c r="F11" i="39"/>
  <c r="AA11" i="39"/>
  <c r="C25" i="39"/>
  <c r="F36" i="39"/>
  <c r="AA36" i="39"/>
  <c r="F40" i="39"/>
  <c r="AA40" i="39" s="1"/>
  <c r="F42" i="39"/>
  <c r="AA42" i="39" s="1"/>
  <c r="H10" i="39"/>
  <c r="AB10" i="39"/>
  <c r="H11" i="39"/>
  <c r="AB11" i="39"/>
  <c r="H36" i="39"/>
  <c r="AB36" i="39"/>
  <c r="H40" i="39"/>
  <c r="AB40" i="39"/>
  <c r="H42" i="39"/>
  <c r="AB42" i="39" s="1"/>
  <c r="J10" i="39"/>
  <c r="AC10" i="39" s="1"/>
  <c r="J11" i="39"/>
  <c r="AC11" i="39"/>
  <c r="J36" i="39"/>
  <c r="AC36" i="39"/>
  <c r="J40" i="39"/>
  <c r="AC40" i="39"/>
  <c r="J42" i="39"/>
  <c r="AC42" i="39"/>
  <c r="F35" i="44"/>
  <c r="M21" i="44"/>
  <c r="F20" i="44"/>
  <c r="K9" i="43"/>
  <c r="J9" i="43"/>
  <c r="I9" i="43"/>
  <c r="H9" i="43"/>
  <c r="G9" i="43"/>
  <c r="F9" i="43"/>
  <c r="E9" i="43"/>
  <c r="D9" i="43"/>
  <c r="C9" i="43"/>
  <c r="C6" i="43" s="1"/>
  <c r="BC13" i="3"/>
  <c r="BB13" i="3"/>
  <c r="BR13" i="3"/>
  <c r="B24" i="1"/>
  <c r="O75" i="9"/>
  <c r="L75" i="9"/>
  <c r="P75" i="9"/>
  <c r="O74" i="9"/>
  <c r="O73" i="9"/>
  <c r="E66" i="9"/>
  <c r="O72" i="9" s="1"/>
  <c r="F74" i="9"/>
  <c r="P74" i="9" s="1"/>
  <c r="N67" i="9"/>
  <c r="K44" i="9"/>
  <c r="K43" i="9"/>
  <c r="B31" i="1"/>
  <c r="B22" i="1"/>
  <c r="C2" i="65"/>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s="1"/>
  <c r="G55" i="34"/>
  <c r="H55" i="34" s="1"/>
  <c r="E55" i="34"/>
  <c r="F55" i="34" s="1"/>
  <c r="I50" i="40"/>
  <c r="J50" i="40"/>
  <c r="G50" i="40"/>
  <c r="H50" i="40"/>
  <c r="E50" i="40"/>
  <c r="F50" i="40" s="1"/>
  <c r="I55" i="39"/>
  <c r="J55" i="39"/>
  <c r="G55" i="39"/>
  <c r="H55" i="39"/>
  <c r="E55" i="39"/>
  <c r="F55" i="39"/>
  <c r="I42" i="36"/>
  <c r="J42" i="36"/>
  <c r="G42" i="36"/>
  <c r="H42" i="36"/>
  <c r="E42" i="36"/>
  <c r="F42" i="36" s="1"/>
  <c r="I44" i="35"/>
  <c r="J44" i="35" s="1"/>
  <c r="G44" i="35"/>
  <c r="H44" i="35"/>
  <c r="E44" i="35"/>
  <c r="F44" i="35" s="1"/>
  <c r="I54" i="33"/>
  <c r="J54" i="33" s="1"/>
  <c r="G54" i="33"/>
  <c r="E54" i="33"/>
  <c r="F54" i="33"/>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s="1"/>
  <c r="BB486" i="3"/>
  <c r="BC486" i="3"/>
  <c r="BD486" i="3"/>
  <c r="BE486" i="3"/>
  <c r="BF486" i="3"/>
  <c r="BG486" i="3"/>
  <c r="BH486" i="3"/>
  <c r="BI486" i="3"/>
  <c r="BJ486" i="3"/>
  <c r="BK486" i="3"/>
  <c r="BM486" i="3"/>
  <c r="BN486" i="3"/>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s="1"/>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A498" i="3" s="1"/>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L502" i="3" s="1"/>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A508" i="3" s="1"/>
  <c r="BK508" i="3"/>
  <c r="BM508" i="3"/>
  <c r="BN508" i="3"/>
  <c r="BO508" i="3"/>
  <c r="BP508" i="3"/>
  <c r="BR508" i="3"/>
  <c r="BS508" i="3"/>
  <c r="BT508" i="3"/>
  <c r="H509" i="3"/>
  <c r="G509" i="3" s="1"/>
  <c r="AC509" i="3"/>
  <c r="BB509" i="3"/>
  <c r="BC509" i="3"/>
  <c r="BD509" i="3"/>
  <c r="BE509" i="3"/>
  <c r="BF509" i="3"/>
  <c r="BG509" i="3"/>
  <c r="BH509" i="3"/>
  <c r="BA509" i="3" s="1"/>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E5" i="3" s="1"/>
  <c r="BF515" i="3"/>
  <c r="BG515" i="3"/>
  <c r="BH515" i="3"/>
  <c r="BI515" i="3"/>
  <c r="BJ515" i="3"/>
  <c r="BK515" i="3"/>
  <c r="BM515" i="3"/>
  <c r="BN515" i="3"/>
  <c r="BO515" i="3"/>
  <c r="BP515" i="3"/>
  <c r="BQ515" i="3"/>
  <c r="BR515" i="3"/>
  <c r="BS515" i="3"/>
  <c r="BT515" i="3"/>
  <c r="H516" i="3"/>
  <c r="AC516" i="3"/>
  <c r="G516" i="3" s="1"/>
  <c r="BB516" i="3"/>
  <c r="BC516" i="3"/>
  <c r="BD516" i="3"/>
  <c r="BE516" i="3"/>
  <c r="BF516" i="3"/>
  <c r="BG516" i="3"/>
  <c r="BH516" i="3"/>
  <c r="BI516" i="3"/>
  <c r="BJ516" i="3"/>
  <c r="BK516" i="3"/>
  <c r="BM516" i="3"/>
  <c r="BN516" i="3"/>
  <c r="BL516" i="3" s="1"/>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A520" i="3" s="1"/>
  <c r="BC520" i="3"/>
  <c r="BD520" i="3"/>
  <c r="BE520" i="3"/>
  <c r="BF520" i="3"/>
  <c r="BG520" i="3"/>
  <c r="BH520" i="3"/>
  <c r="BI520" i="3"/>
  <c r="BJ520" i="3"/>
  <c r="BK520" i="3"/>
  <c r="BM520" i="3"/>
  <c r="BN520" i="3"/>
  <c r="BO520" i="3"/>
  <c r="BL520" i="3" s="1"/>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s="1"/>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L525" i="3" s="1"/>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AC528" i="3"/>
  <c r="G528" i="3" s="1"/>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A541" i="3" s="1"/>
  <c r="AZ541" i="3" s="1"/>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G543" i="3" s="1"/>
  <c r="AC543" i="3"/>
  <c r="BB543" i="3"/>
  <c r="BC543" i="3"/>
  <c r="BD543" i="3"/>
  <c r="BE543" i="3"/>
  <c r="BF543" i="3"/>
  <c r="BA543" i="3" s="1"/>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AZ545" i="3" s="1"/>
  <c r="BD545" i="3"/>
  <c r="BE545" i="3"/>
  <c r="BF545" i="3"/>
  <c r="BG545" i="3"/>
  <c r="BH545" i="3"/>
  <c r="BI545" i="3"/>
  <c r="BJ545" i="3"/>
  <c r="BK545" i="3"/>
  <c r="BM545" i="3"/>
  <c r="BN545" i="3"/>
  <c r="BO545" i="3"/>
  <c r="BP545" i="3"/>
  <c r="BQ545" i="3"/>
  <c r="BR545" i="3"/>
  <c r="BS545" i="3"/>
  <c r="BT545" i="3"/>
  <c r="H546" i="3"/>
  <c r="AC546" i="3"/>
  <c r="BB546" i="3"/>
  <c r="BC546" i="3"/>
  <c r="BD546" i="3"/>
  <c r="BE546" i="3"/>
  <c r="BA546" i="3" s="1"/>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L553" i="3" s="1"/>
  <c r="AZ553" i="3" s="1"/>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A555" i="3" s="1"/>
  <c r="BG555" i="3"/>
  <c r="BH555" i="3"/>
  <c r="BI555" i="3"/>
  <c r="BJ555" i="3"/>
  <c r="BK555" i="3"/>
  <c r="BM555" i="3"/>
  <c r="BN555" i="3"/>
  <c r="BL555" i="3" s="1"/>
  <c r="BO555" i="3"/>
  <c r="BP555" i="3"/>
  <c r="BQ555" i="3"/>
  <c r="BR555" i="3"/>
  <c r="BS555" i="3"/>
  <c r="BT555" i="3"/>
  <c r="H556" i="3"/>
  <c r="AC556" i="3"/>
  <c r="BB556" i="3"/>
  <c r="BC556" i="3"/>
  <c r="BD556" i="3"/>
  <c r="BE556" i="3"/>
  <c r="BA556" i="3" s="1"/>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A559" i="3" s="1"/>
  <c r="BC559" i="3"/>
  <c r="BD559" i="3"/>
  <c r="BE559" i="3"/>
  <c r="BF559" i="3"/>
  <c r="BG559" i="3"/>
  <c r="BH559" i="3"/>
  <c r="BI559" i="3"/>
  <c r="BJ559" i="3"/>
  <c r="BK559" i="3"/>
  <c r="BM559" i="3"/>
  <c r="BN559" i="3"/>
  <c r="BO559" i="3"/>
  <c r="BL559" i="3" s="1"/>
  <c r="AZ559" i="3" s="1"/>
  <c r="BP559" i="3"/>
  <c r="BQ559" i="3"/>
  <c r="BR559" i="3"/>
  <c r="BS559" i="3"/>
  <c r="BT559" i="3"/>
  <c r="H560" i="3"/>
  <c r="AC560" i="3"/>
  <c r="BB560" i="3"/>
  <c r="BC560" i="3"/>
  <c r="BD560" i="3"/>
  <c r="BE560" i="3"/>
  <c r="BF560" i="3"/>
  <c r="BA560" i="3" s="1"/>
  <c r="BG560" i="3"/>
  <c r="BH560" i="3"/>
  <c r="BI560" i="3"/>
  <c r="BJ560" i="3"/>
  <c r="BK560" i="3"/>
  <c r="BM560" i="3"/>
  <c r="BN560" i="3"/>
  <c r="BO560" i="3"/>
  <c r="BP560" i="3"/>
  <c r="BR560" i="3"/>
  <c r="BS560" i="3"/>
  <c r="BT560" i="3"/>
  <c r="BL560" i="3" s="1"/>
  <c r="H561" i="3"/>
  <c r="AC561" i="3"/>
  <c r="BB561" i="3"/>
  <c r="BC561" i="3"/>
  <c r="BD561" i="3"/>
  <c r="BE561" i="3"/>
  <c r="BF561" i="3"/>
  <c r="BG561" i="3"/>
  <c r="BH561" i="3"/>
  <c r="BI561" i="3"/>
  <c r="BJ561" i="3"/>
  <c r="BK561" i="3"/>
  <c r="BA561" i="3" s="1"/>
  <c r="AZ561" i="3" s="1"/>
  <c r="BM561" i="3"/>
  <c r="BN561" i="3"/>
  <c r="BO561" i="3"/>
  <c r="BP561" i="3"/>
  <c r="BQ561" i="3"/>
  <c r="BR561" i="3"/>
  <c r="BS561" i="3"/>
  <c r="BT561" i="3"/>
  <c r="H562" i="3"/>
  <c r="AC562" i="3"/>
  <c r="BB562" i="3"/>
  <c r="BC562" i="3"/>
  <c r="BA562" i="3" s="1"/>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L564" i="3" s="1"/>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A569" i="3" s="1"/>
  <c r="AZ569" i="3" s="1"/>
  <c r="BM569" i="3"/>
  <c r="BN569" i="3"/>
  <c r="BO569" i="3"/>
  <c r="BP569" i="3"/>
  <c r="BQ569" i="3"/>
  <c r="BR569" i="3"/>
  <c r="BS569" i="3"/>
  <c r="BT569" i="3"/>
  <c r="H9" i="12"/>
  <c r="I9" i="12"/>
  <c r="J9" i="12"/>
  <c r="K9" i="12"/>
  <c r="G111" i="21"/>
  <c r="H111" i="21"/>
  <c r="B112" i="39"/>
  <c r="B114" i="39"/>
  <c r="F38" i="39" s="1"/>
  <c r="AA38" i="39"/>
  <c r="J30" i="36"/>
  <c r="H30" i="36"/>
  <c r="U30" i="36"/>
  <c r="F30" i="36"/>
  <c r="AA30" i="36"/>
  <c r="C26" i="35"/>
  <c r="C79" i="35" s="1"/>
  <c r="J31" i="35"/>
  <c r="AC31" i="35" s="1"/>
  <c r="H31" i="35"/>
  <c r="F31" i="35"/>
  <c r="AA31" i="35" s="1"/>
  <c r="D87" i="35"/>
  <c r="E87" i="35" s="1"/>
  <c r="F87" i="35" s="1"/>
  <c r="G87" i="35" s="1"/>
  <c r="H87" i="35" s="1"/>
  <c r="I87" i="35" s="1"/>
  <c r="J87" i="35" s="1"/>
  <c r="K87" i="35" s="1"/>
  <c r="L87" i="35" s="1"/>
  <c r="M87" i="35" s="1"/>
  <c r="H34" i="37"/>
  <c r="AB34" i="37"/>
  <c r="D101" i="37"/>
  <c r="F34" i="37"/>
  <c r="AA34" i="37" s="1"/>
  <c r="D99" i="37"/>
  <c r="E99" i="37" s="1"/>
  <c r="H42" i="34"/>
  <c r="AB42" i="34" s="1"/>
  <c r="J42" i="34"/>
  <c r="F42" i="34"/>
  <c r="J38" i="34"/>
  <c r="W38" i="34" s="1"/>
  <c r="D114" i="34"/>
  <c r="F38" i="34"/>
  <c r="S38" i="34" s="1"/>
  <c r="D112" i="34"/>
  <c r="E112" i="34" s="1"/>
  <c r="F112" i="34" s="1"/>
  <c r="F40" i="33"/>
  <c r="J41" i="33"/>
  <c r="AC41" i="33" s="1"/>
  <c r="D113" i="33"/>
  <c r="F37" i="33"/>
  <c r="AA37" i="33" s="1"/>
  <c r="D111" i="33"/>
  <c r="E111" i="33" s="1"/>
  <c r="F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B122" i="40"/>
  <c r="F42" i="40"/>
  <c r="AA42" i="40" s="1"/>
  <c r="B120" i="40"/>
  <c r="B118" i="40"/>
  <c r="F40" i="40" s="1"/>
  <c r="AA40" i="40" s="1"/>
  <c r="D117" i="40"/>
  <c r="E117" i="40"/>
  <c r="F117" i="40" s="1"/>
  <c r="G117" i="40"/>
  <c r="H117" i="40" s="1"/>
  <c r="I117" i="40" s="1"/>
  <c r="J117" i="40" s="1"/>
  <c r="K117" i="40" s="1"/>
  <c r="L117" i="40" s="1"/>
  <c r="M117" i="40" s="1"/>
  <c r="D115" i="40"/>
  <c r="J38" i="40"/>
  <c r="AC38" i="40" s="1"/>
  <c r="E115" i="40"/>
  <c r="F115" i="40"/>
  <c r="G115" i="40" s="1"/>
  <c r="H115" i="40"/>
  <c r="I115" i="40"/>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c r="B103" i="40"/>
  <c r="D102" i="40"/>
  <c r="E102" i="40"/>
  <c r="F102" i="40"/>
  <c r="G102" i="40" s="1"/>
  <c r="H102" i="40"/>
  <c r="I102" i="40" s="1"/>
  <c r="J102" i="40" s="1"/>
  <c r="K102" i="40" s="1"/>
  <c r="L102" i="40" s="1"/>
  <c r="M102" i="40" s="1"/>
  <c r="D100" i="40"/>
  <c r="E100" i="40"/>
  <c r="F100" i="40" s="1"/>
  <c r="G100" i="40" s="1"/>
  <c r="D98" i="40"/>
  <c r="E98" i="40"/>
  <c r="B97" i="40"/>
  <c r="D94" i="40"/>
  <c r="D92" i="40"/>
  <c r="D90" i="40"/>
  <c r="H21" i="40"/>
  <c r="AB21" i="40" s="1"/>
  <c r="D88" i="40"/>
  <c r="E88" i="40"/>
  <c r="D86" i="40"/>
  <c r="E86" i="40"/>
  <c r="J17" i="40"/>
  <c r="B83" i="40"/>
  <c r="F16" i="40" s="1"/>
  <c r="AA16" i="40"/>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c r="Q39" i="40"/>
  <c r="Z39" i="40" s="1"/>
  <c r="Q38" i="40"/>
  <c r="Z38" i="40" s="1"/>
  <c r="Q37" i="40"/>
  <c r="Z37" i="40"/>
  <c r="Q36" i="40"/>
  <c r="Z36" i="40" s="1"/>
  <c r="Q35" i="40"/>
  <c r="Z35" i="40"/>
  <c r="Q34" i="40"/>
  <c r="Z34" i="40"/>
  <c r="Q33" i="40"/>
  <c r="Z33" i="40" s="1"/>
  <c r="Q32" i="40"/>
  <c r="Z32" i="40" s="1"/>
  <c r="Q30" i="40"/>
  <c r="Z30" i="40" s="1"/>
  <c r="Q29" i="40"/>
  <c r="Z29" i="40" s="1"/>
  <c r="Q25" i="40"/>
  <c r="Z25" i="40"/>
  <c r="Q23" i="40"/>
  <c r="Z23" i="40"/>
  <c r="Q21" i="40"/>
  <c r="Z21" i="40" s="1"/>
  <c r="Q19" i="40"/>
  <c r="Z19" i="40" s="1"/>
  <c r="Q17" i="40"/>
  <c r="Z17" i="40" s="1"/>
  <c r="Q16" i="40"/>
  <c r="Z16" i="40" s="1"/>
  <c r="Q15" i="40"/>
  <c r="Z15" i="40" s="1"/>
  <c r="Q14" i="40"/>
  <c r="Z14" i="40"/>
  <c r="Q13" i="40"/>
  <c r="Z13" i="40" s="1"/>
  <c r="Q12" i="40"/>
  <c r="Z12" i="40" s="1"/>
  <c r="Q11" i="40"/>
  <c r="Z11" i="40"/>
  <c r="C9" i="40"/>
  <c r="C65" i="40" s="1"/>
  <c r="D126" i="39"/>
  <c r="E126" i="39"/>
  <c r="F126" i="39"/>
  <c r="G126" i="39" s="1"/>
  <c r="H126" i="39"/>
  <c r="I126" i="39" s="1"/>
  <c r="J126" i="39" s="1"/>
  <c r="K126" i="39" s="1"/>
  <c r="L126" i="39" s="1"/>
  <c r="M126" i="39" s="1"/>
  <c r="D122" i="39"/>
  <c r="E122" i="39"/>
  <c r="F122" i="39" s="1"/>
  <c r="G122" i="39"/>
  <c r="H122" i="39" s="1"/>
  <c r="I122" i="39" s="1"/>
  <c r="J122" i="39" s="1"/>
  <c r="K122" i="39" s="1"/>
  <c r="L122" i="39" s="1"/>
  <c r="M122" i="39" s="1"/>
  <c r="B116" i="39"/>
  <c r="D111" i="39"/>
  <c r="E111" i="39"/>
  <c r="F111" i="39"/>
  <c r="G111" i="39" s="1"/>
  <c r="H111" i="39" s="1"/>
  <c r="I111" i="39" s="1"/>
  <c r="J111" i="39" s="1"/>
  <c r="K111" i="39" s="1"/>
  <c r="L111" i="39" s="1"/>
  <c r="M111" i="39" s="1"/>
  <c r="D109" i="39"/>
  <c r="E109" i="39" s="1"/>
  <c r="F109" i="39"/>
  <c r="G109" i="39" s="1"/>
  <c r="H109" i="39" s="1"/>
  <c r="I109" i="39" s="1"/>
  <c r="J109" i="39" s="1"/>
  <c r="K109" i="39" s="1"/>
  <c r="L109" i="39" s="1"/>
  <c r="M109" i="39" s="1"/>
  <c r="D107" i="39"/>
  <c r="E107" i="39" s="1"/>
  <c r="F107" i="39"/>
  <c r="G107" i="39" s="1"/>
  <c r="H107" i="39" s="1"/>
  <c r="I107" i="39" s="1"/>
  <c r="J107" i="39" s="1"/>
  <c r="K107" i="39" s="1"/>
  <c r="L107" i="39" s="1"/>
  <c r="M107" i="39" s="1"/>
  <c r="D103" i="39"/>
  <c r="D101" i="39"/>
  <c r="E101" i="39" s="1"/>
  <c r="F101" i="39" s="1"/>
  <c r="G101" i="39" s="1"/>
  <c r="Q41" i="39"/>
  <c r="Z41" i="39"/>
  <c r="Q42" i="39"/>
  <c r="Z42" i="39"/>
  <c r="Q43" i="39"/>
  <c r="Z43" i="39" s="1"/>
  <c r="Q44" i="39"/>
  <c r="Z44" i="39" s="1"/>
  <c r="Q45" i="39"/>
  <c r="Z45" i="39"/>
  <c r="Q46" i="39"/>
  <c r="Z46" i="39" s="1"/>
  <c r="Q47" i="39"/>
  <c r="Z47" i="39" s="1"/>
  <c r="Q40" i="39"/>
  <c r="Z40" i="39"/>
  <c r="Q38" i="39"/>
  <c r="Z38" i="39" s="1"/>
  <c r="Q39" i="39"/>
  <c r="Z39" i="39"/>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c r="F99" i="39" s="1"/>
  <c r="G99" i="39"/>
  <c r="D97" i="39"/>
  <c r="D95" i="39"/>
  <c r="E95" i="39" s="1"/>
  <c r="F95" i="39"/>
  <c r="G95" i="39" s="1"/>
  <c r="D93" i="39"/>
  <c r="E93" i="39"/>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c r="Q21" i="39"/>
  <c r="Z21" i="39" s="1"/>
  <c r="Q19" i="39"/>
  <c r="Z19" i="39" s="1"/>
  <c r="Q17" i="39"/>
  <c r="Z17" i="39"/>
  <c r="Q16" i="39"/>
  <c r="Z16" i="39" s="1"/>
  <c r="Q15" i="39"/>
  <c r="Z15" i="39" s="1"/>
  <c r="Q14" i="39"/>
  <c r="Z14" i="39"/>
  <c r="Q13" i="39"/>
  <c r="Z13" i="39" s="1"/>
  <c r="Q12" i="39"/>
  <c r="Z12" i="39"/>
  <c r="Q11" i="39"/>
  <c r="Z11" i="39"/>
  <c r="U10" i="39"/>
  <c r="C9" i="39"/>
  <c r="C70" i="39" s="1"/>
  <c r="C20" i="36"/>
  <c r="C20" i="35"/>
  <c r="C16" i="36"/>
  <c r="C16" i="35"/>
  <c r="C14" i="36"/>
  <c r="C14" i="35"/>
  <c r="B80" i="37"/>
  <c r="J25" i="37" s="1"/>
  <c r="H25" i="37"/>
  <c r="U25" i="37" s="1"/>
  <c r="B110" i="37"/>
  <c r="J39" i="37" s="1"/>
  <c r="B108" i="37"/>
  <c r="J38" i="37" s="1"/>
  <c r="AC38" i="37" s="1"/>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AB27" i="37" s="1"/>
  <c r="U27" i="37"/>
  <c r="B82" i="37"/>
  <c r="D79" i="37"/>
  <c r="E79" i="37" s="1"/>
  <c r="F79" i="37" s="1"/>
  <c r="G79" i="37" s="1"/>
  <c r="D75" i="37"/>
  <c r="E75" i="37" s="1"/>
  <c r="F75" i="37"/>
  <c r="D73" i="37"/>
  <c r="E73" i="37" s="1"/>
  <c r="F73" i="37"/>
  <c r="G73" i="37" s="1"/>
  <c r="D71" i="37"/>
  <c r="E71" i="37"/>
  <c r="F71" i="37" s="1"/>
  <c r="G71" i="37"/>
  <c r="F15" i="37"/>
  <c r="AA15" i="37"/>
  <c r="B68" i="37"/>
  <c r="H14" i="37"/>
  <c r="U14" i="37" s="1"/>
  <c r="B66" i="37"/>
  <c r="B64" i="37"/>
  <c r="H12" i="37" s="1"/>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c r="C57" i="37"/>
  <c r="P43" i="37"/>
  <c r="P42" i="37"/>
  <c r="V41" i="37"/>
  <c r="T41" i="37"/>
  <c r="R41" i="37"/>
  <c r="P41" i="37"/>
  <c r="Q40" i="37"/>
  <c r="Z40" i="37"/>
  <c r="Q39" i="37"/>
  <c r="Z39" i="37"/>
  <c r="Q38" i="37"/>
  <c r="Z38" i="37" s="1"/>
  <c r="Q37" i="37"/>
  <c r="Z37" i="37"/>
  <c r="Q36" i="37"/>
  <c r="Z36" i="37" s="1"/>
  <c r="Q35" i="37"/>
  <c r="Z35" i="37" s="1"/>
  <c r="Q34" i="37"/>
  <c r="Z34" i="37"/>
  <c r="Q33" i="37"/>
  <c r="Z33" i="37"/>
  <c r="Q32" i="37"/>
  <c r="Z32" i="37" s="1"/>
  <c r="Q31" i="37"/>
  <c r="Z31" i="37" s="1"/>
  <c r="J31" i="37"/>
  <c r="Q30" i="37"/>
  <c r="Z30" i="37"/>
  <c r="J30" i="37"/>
  <c r="W30" i="37" s="1"/>
  <c r="H30" i="37"/>
  <c r="AB30" i="37" s="1"/>
  <c r="F30" i="37"/>
  <c r="Q29" i="37"/>
  <c r="Z29" i="37" s="1"/>
  <c r="H29" i="37"/>
  <c r="U29" i="37"/>
  <c r="Q28" i="37"/>
  <c r="Z28" i="37" s="1"/>
  <c r="Q27" i="37"/>
  <c r="Z27" i="37" s="1"/>
  <c r="Q26" i="37"/>
  <c r="Z26" i="37"/>
  <c r="J26" i="37"/>
  <c r="H26" i="37"/>
  <c r="AB26" i="37"/>
  <c r="F26" i="37"/>
  <c r="AA26" i="37"/>
  <c r="Q25" i="37"/>
  <c r="Z25" i="37"/>
  <c r="W25" i="37"/>
  <c r="F25" i="37"/>
  <c r="AA25" i="37" s="1"/>
  <c r="Q23" i="37"/>
  <c r="Z23" i="37" s="1"/>
  <c r="Q19" i="37"/>
  <c r="Z19" i="37"/>
  <c r="Q17" i="37"/>
  <c r="Z17" i="37"/>
  <c r="Q15" i="37"/>
  <c r="Z15" i="37"/>
  <c r="Q14" i="37"/>
  <c r="Z14" i="37"/>
  <c r="Q13" i="37"/>
  <c r="Z13" i="37" s="1"/>
  <c r="Q12" i="37"/>
  <c r="Z12" i="37" s="1"/>
  <c r="Q11" i="37"/>
  <c r="Z11" i="37"/>
  <c r="Q10" i="37"/>
  <c r="Z10" i="37"/>
  <c r="F10" i="37"/>
  <c r="AA10" i="37"/>
  <c r="Q9" i="37"/>
  <c r="Z9" i="37"/>
  <c r="J8" i="37"/>
  <c r="W8" i="37" s="1"/>
  <c r="H8" i="37"/>
  <c r="AB8" i="37" s="1"/>
  <c r="F8" i="37"/>
  <c r="C7" i="37"/>
  <c r="J31" i="36"/>
  <c r="W31" i="36"/>
  <c r="H31" i="36"/>
  <c r="AB31" i="36"/>
  <c r="F31" i="36"/>
  <c r="S31" i="36"/>
  <c r="M86" i="36"/>
  <c r="L86" i="36"/>
  <c r="K86" i="36"/>
  <c r="J86" i="36"/>
  <c r="I86" i="36"/>
  <c r="H86" i="36"/>
  <c r="G86" i="36"/>
  <c r="F86" i="36"/>
  <c r="E86" i="36"/>
  <c r="D86" i="36"/>
  <c r="C86" i="36"/>
  <c r="D85" i="36"/>
  <c r="H29" i="36"/>
  <c r="AB29" i="36" s="1"/>
  <c r="D81" i="36"/>
  <c r="E81" i="36" s="1"/>
  <c r="F81" i="36" s="1"/>
  <c r="G81" i="36"/>
  <c r="H81" i="36" s="1"/>
  <c r="I81" i="36" s="1"/>
  <c r="J81" i="36" s="1"/>
  <c r="K81" i="36" s="1"/>
  <c r="L81" i="36" s="1"/>
  <c r="M81" i="36" s="1"/>
  <c r="F79" i="36"/>
  <c r="E79" i="36"/>
  <c r="D79" i="36"/>
  <c r="C79" i="36"/>
  <c r="B93" i="36"/>
  <c r="B91" i="36"/>
  <c r="F32" i="36" s="1"/>
  <c r="S32" i="36"/>
  <c r="B95" i="36"/>
  <c r="H34" i="36" s="1"/>
  <c r="AB34" i="36" s="1"/>
  <c r="D83" i="36"/>
  <c r="E83" i="36"/>
  <c r="F83" i="36"/>
  <c r="G83" i="36" s="1"/>
  <c r="H83" i="36" s="1"/>
  <c r="I83" i="36" s="1"/>
  <c r="J83" i="36" s="1"/>
  <c r="K83" i="36" s="1"/>
  <c r="L83" i="36" s="1"/>
  <c r="M83" i="36" s="1"/>
  <c r="D78" i="36"/>
  <c r="J26" i="36"/>
  <c r="W26" i="36" s="1"/>
  <c r="B75" i="36"/>
  <c r="B73" i="36"/>
  <c r="H24" i="36" s="1"/>
  <c r="B71" i="36"/>
  <c r="D70" i="36"/>
  <c r="H22" i="36"/>
  <c r="AB22" i="36" s="1"/>
  <c r="D68" i="36"/>
  <c r="E68" i="36" s="1"/>
  <c r="D64" i="36"/>
  <c r="E64" i="36" s="1"/>
  <c r="F64" i="36"/>
  <c r="G64" i="36" s="1"/>
  <c r="J16" i="36"/>
  <c r="D62" i="36"/>
  <c r="E62" i="36" s="1"/>
  <c r="B59" i="36"/>
  <c r="B57" i="36"/>
  <c r="J12" i="36" s="1"/>
  <c r="B55" i="36"/>
  <c r="F54" i="36"/>
  <c r="G54" i="36" s="1"/>
  <c r="H54" i="36" s="1"/>
  <c r="I54" i="36" s="1"/>
  <c r="J10" i="36"/>
  <c r="W10" i="36" s="1"/>
  <c r="C51" i="36"/>
  <c r="F9" i="36" s="1"/>
  <c r="P37" i="36"/>
  <c r="P36" i="36"/>
  <c r="V35" i="36"/>
  <c r="T35" i="36"/>
  <c r="R35" i="36"/>
  <c r="P35" i="36"/>
  <c r="Q34" i="36"/>
  <c r="Z34" i="36" s="1"/>
  <c r="Q33" i="36"/>
  <c r="Z33" i="36" s="1"/>
  <c r="Q32" i="36"/>
  <c r="Z32" i="36"/>
  <c r="Q31" i="36"/>
  <c r="Z31" i="36"/>
  <c r="Q30" i="36"/>
  <c r="Z30" i="36" s="1"/>
  <c r="Q29" i="36"/>
  <c r="Z29" i="36" s="1"/>
  <c r="Q28" i="36"/>
  <c r="Z28" i="36" s="1"/>
  <c r="J28" i="36"/>
  <c r="AC28" i="36" s="1"/>
  <c r="Q27" i="36"/>
  <c r="Z27" i="36"/>
  <c r="Q26" i="36"/>
  <c r="Z26" i="36"/>
  <c r="H26" i="36"/>
  <c r="AB26" i="36" s="1"/>
  <c r="Q25" i="36"/>
  <c r="Z25" i="36" s="1"/>
  <c r="Q24" i="36"/>
  <c r="Z24" i="36" s="1"/>
  <c r="Q23" i="36"/>
  <c r="Z23" i="36"/>
  <c r="J23" i="36"/>
  <c r="AC23" i="36"/>
  <c r="H23" i="36"/>
  <c r="AB23" i="36" s="1"/>
  <c r="F23" i="36"/>
  <c r="AA23" i="36"/>
  <c r="Q22" i="36"/>
  <c r="Z22" i="36" s="1"/>
  <c r="J22" i="36"/>
  <c r="AC22" i="36"/>
  <c r="Q20" i="36"/>
  <c r="Z20" i="36"/>
  <c r="Q16" i="36"/>
  <c r="Z16" i="36"/>
  <c r="Q14" i="36"/>
  <c r="Z14" i="36" s="1"/>
  <c r="Q13" i="36"/>
  <c r="Z13" i="36"/>
  <c r="Q12" i="36"/>
  <c r="Z12" i="36" s="1"/>
  <c r="Q11" i="36"/>
  <c r="Z11" i="36"/>
  <c r="Q10" i="36"/>
  <c r="Z10" i="36"/>
  <c r="F10" i="36"/>
  <c r="AA10" i="36" s="1"/>
  <c r="Q9" i="36"/>
  <c r="Z9" i="36"/>
  <c r="J9" i="36"/>
  <c r="AC9" i="36" s="1"/>
  <c r="H9" i="36"/>
  <c r="AB9" i="36" s="1"/>
  <c r="AA9" i="36"/>
  <c r="J8" i="36"/>
  <c r="AC8" i="36"/>
  <c r="H8" i="36"/>
  <c r="U8" i="36" s="1"/>
  <c r="F8" i="36"/>
  <c r="AA8" i="36"/>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J35" i="35" s="1"/>
  <c r="AC35" i="35" s="1"/>
  <c r="B97" i="35"/>
  <c r="B77" i="35"/>
  <c r="B75" i="35"/>
  <c r="J24" i="35" s="1"/>
  <c r="AC24" i="35" s="1"/>
  <c r="B73" i="35"/>
  <c r="J23" i="35" s="1"/>
  <c r="B57" i="35"/>
  <c r="B61" i="35"/>
  <c r="B59" i="35"/>
  <c r="H12" i="35" s="1"/>
  <c r="B131" i="34"/>
  <c r="B129" i="34"/>
  <c r="B127" i="34"/>
  <c r="B99" i="34"/>
  <c r="B97" i="34"/>
  <c r="B95" i="34"/>
  <c r="B93" i="34"/>
  <c r="F29" i="34" s="1"/>
  <c r="S29" i="34" s="1"/>
  <c r="B75" i="34"/>
  <c r="J14" i="34" s="1"/>
  <c r="B73" i="34"/>
  <c r="F13" i="34" s="1"/>
  <c r="AA13" i="34" s="1"/>
  <c r="B71" i="34"/>
  <c r="J12" i="34" s="1"/>
  <c r="B130" i="33"/>
  <c r="F46" i="33" s="1"/>
  <c r="AA46" i="33" s="1"/>
  <c r="B128" i="33"/>
  <c r="B126" i="33"/>
  <c r="H44" i="33" s="1"/>
  <c r="U44" i="33" s="1"/>
  <c r="B98" i="33"/>
  <c r="F31" i="33"/>
  <c r="AA31" i="33" s="1"/>
  <c r="B96" i="33"/>
  <c r="B94" i="33"/>
  <c r="B74" i="33"/>
  <c r="B72" i="33"/>
  <c r="B70" i="33"/>
  <c r="J12" i="33" s="1"/>
  <c r="W12" i="33" s="1"/>
  <c r="D96" i="35"/>
  <c r="E96" i="35"/>
  <c r="F96" i="35"/>
  <c r="G96" i="35" s="1"/>
  <c r="D94" i="35"/>
  <c r="D84" i="35"/>
  <c r="E84" i="35"/>
  <c r="F84" i="35"/>
  <c r="G84" i="35" s="1"/>
  <c r="H84" i="35" s="1"/>
  <c r="I84" i="35" s="1"/>
  <c r="J84" i="35" s="1"/>
  <c r="K84" i="35" s="1"/>
  <c r="L84" i="35" s="1"/>
  <c r="M84" i="35" s="1"/>
  <c r="D80" i="35"/>
  <c r="D72" i="35"/>
  <c r="D70" i="35"/>
  <c r="E70" i="35"/>
  <c r="F70" i="35"/>
  <c r="G70" i="35" s="1"/>
  <c r="D66" i="35"/>
  <c r="E66" i="35"/>
  <c r="F66" i="35" s="1"/>
  <c r="G66" i="35" s="1"/>
  <c r="D64" i="35"/>
  <c r="E64" i="35" s="1"/>
  <c r="F64" i="35" s="1"/>
  <c r="G64" i="35" s="1"/>
  <c r="F56" i="35"/>
  <c r="G56" i="35"/>
  <c r="H56" i="35"/>
  <c r="I56" i="35" s="1"/>
  <c r="C53" i="35"/>
  <c r="J9" i="35" s="1"/>
  <c r="W9" i="35" s="1"/>
  <c r="P39" i="35"/>
  <c r="P38" i="35"/>
  <c r="V37" i="35"/>
  <c r="T37" i="35"/>
  <c r="R37" i="35"/>
  <c r="P37" i="35"/>
  <c r="Q36" i="35"/>
  <c r="Z36" i="35"/>
  <c r="Q35" i="35"/>
  <c r="Z35" i="35" s="1"/>
  <c r="Q34" i="35"/>
  <c r="Z34" i="35"/>
  <c r="J34" i="35"/>
  <c r="AC34" i="35" s="1"/>
  <c r="H34" i="35"/>
  <c r="AB34" i="35" s="1"/>
  <c r="F34" i="35"/>
  <c r="AA34" i="35"/>
  <c r="Q33" i="35"/>
  <c r="Z33" i="35"/>
  <c r="Q32" i="35"/>
  <c r="Z32" i="35"/>
  <c r="H32" i="35"/>
  <c r="AB32" i="35"/>
  <c r="F32" i="35"/>
  <c r="AA32" i="35" s="1"/>
  <c r="Q31" i="35"/>
  <c r="Z31" i="35" s="1"/>
  <c r="AB31" i="35"/>
  <c r="Q30" i="35"/>
  <c r="Z30" i="35"/>
  <c r="Q29" i="35"/>
  <c r="Z29" i="35" s="1"/>
  <c r="Q28" i="35"/>
  <c r="Z28" i="35"/>
  <c r="J28" i="35"/>
  <c r="H28" i="35"/>
  <c r="F28" i="35"/>
  <c r="AA28" i="35"/>
  <c r="Q27" i="35"/>
  <c r="Z27" i="35" s="1"/>
  <c r="Q26" i="35"/>
  <c r="Z26" i="35"/>
  <c r="Q25" i="35"/>
  <c r="Z25" i="35" s="1"/>
  <c r="Q24" i="35"/>
  <c r="Z24" i="35" s="1"/>
  <c r="Q23" i="35"/>
  <c r="Z23" i="35"/>
  <c r="Q22" i="35"/>
  <c r="Z22" i="35" s="1"/>
  <c r="Q20" i="35"/>
  <c r="Z20" i="35"/>
  <c r="Q16" i="35"/>
  <c r="Z16" i="35" s="1"/>
  <c r="Q14" i="35"/>
  <c r="Z14" i="35" s="1"/>
  <c r="Q13" i="35"/>
  <c r="Z13" i="35"/>
  <c r="Q12" i="35"/>
  <c r="Z12" i="35"/>
  <c r="Q11" i="35"/>
  <c r="Z11" i="35" s="1"/>
  <c r="Q10" i="35"/>
  <c r="Z10" i="35" s="1"/>
  <c r="Q9" i="35"/>
  <c r="Z9" i="35"/>
  <c r="F9" i="35"/>
  <c r="AA9" i="35" s="1"/>
  <c r="J8" i="35"/>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D126" i="34"/>
  <c r="D124" i="34"/>
  <c r="E124" i="34" s="1"/>
  <c r="D118" i="34"/>
  <c r="E118" i="34"/>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c r="Q44" i="34"/>
  <c r="Z44" i="34"/>
  <c r="Q43" i="34"/>
  <c r="Z43" i="34"/>
  <c r="Q42" i="34"/>
  <c r="Z42" i="34" s="1"/>
  <c r="Q41" i="34"/>
  <c r="Z41" i="34" s="1"/>
  <c r="Q40" i="34"/>
  <c r="Z40" i="34" s="1"/>
  <c r="F40" i="34"/>
  <c r="S40" i="34" s="1"/>
  <c r="Q39" i="34"/>
  <c r="Z39" i="34" s="1"/>
  <c r="J39" i="34"/>
  <c r="AC39" i="34" s="1"/>
  <c r="H39" i="34"/>
  <c r="U39" i="34" s="1"/>
  <c r="F39" i="34"/>
  <c r="AA39" i="34" s="1"/>
  <c r="Q38" i="34"/>
  <c r="Z38" i="34"/>
  <c r="Q37" i="34"/>
  <c r="Z37" i="34" s="1"/>
  <c r="Q36" i="34"/>
  <c r="Z36" i="34" s="1"/>
  <c r="Q35" i="34"/>
  <c r="Z35" i="34"/>
  <c r="Q34" i="34"/>
  <c r="Z34" i="34" s="1"/>
  <c r="J34" i="34"/>
  <c r="H34" i="34"/>
  <c r="AB34" i="34" s="1"/>
  <c r="F34" i="34"/>
  <c r="AA34" i="34" s="1"/>
  <c r="Q33" i="34"/>
  <c r="Z33" i="34"/>
  <c r="Q32" i="34"/>
  <c r="Z32" i="34" s="1"/>
  <c r="Q31" i="34"/>
  <c r="Z31" i="34" s="1"/>
  <c r="Q30" i="34"/>
  <c r="Z30" i="34"/>
  <c r="Q29" i="34"/>
  <c r="Z29" i="34"/>
  <c r="Q28" i="34"/>
  <c r="Z28" i="34" s="1"/>
  <c r="Q27" i="34"/>
  <c r="Z27" i="34"/>
  <c r="Q25" i="34"/>
  <c r="Z25" i="34" s="1"/>
  <c r="Q23" i="34"/>
  <c r="Z23" i="34" s="1"/>
  <c r="C23" i="34"/>
  <c r="Q19" i="34"/>
  <c r="Z19" i="34" s="1"/>
  <c r="C19" i="34"/>
  <c r="Q17" i="34"/>
  <c r="Z17" i="34" s="1"/>
  <c r="C17" i="34"/>
  <c r="Q15" i="34"/>
  <c r="Z15" i="34" s="1"/>
  <c r="Q14" i="34"/>
  <c r="Z14" i="34"/>
  <c r="Q13" i="34"/>
  <c r="Z13" i="34"/>
  <c r="Q12" i="34"/>
  <c r="Z12" i="34" s="1"/>
  <c r="Q11" i="34"/>
  <c r="Z11" i="34" s="1"/>
  <c r="Q10" i="34"/>
  <c r="Z10" i="34" s="1"/>
  <c r="F10" i="34"/>
  <c r="AA10" i="34" s="1"/>
  <c r="Q9" i="34"/>
  <c r="Z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E125" i="33" s="1"/>
  <c r="F125" i="33" s="1"/>
  <c r="G125" i="33" s="1"/>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U40" i="33" s="1"/>
  <c r="AA40" i="33"/>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c r="Q29" i="33"/>
  <c r="Z29" i="33"/>
  <c r="Q28" i="33"/>
  <c r="Z28" i="33"/>
  <c r="Q27" i="33"/>
  <c r="Z27" i="33"/>
  <c r="Q26" i="33"/>
  <c r="Z26" i="33" s="1"/>
  <c r="Q25" i="33"/>
  <c r="Z25" i="33"/>
  <c r="Q23" i="33"/>
  <c r="Z23" i="33"/>
  <c r="Q19" i="33"/>
  <c r="Z19" i="33" s="1"/>
  <c r="Q17" i="33"/>
  <c r="Z17" i="33" s="1"/>
  <c r="Q15" i="33"/>
  <c r="Z15" i="33"/>
  <c r="Q14" i="33"/>
  <c r="Z14" i="33"/>
  <c r="Q13" i="33"/>
  <c r="Z13" i="33" s="1"/>
  <c r="Q12" i="33"/>
  <c r="Z12" i="33"/>
  <c r="H12" i="33"/>
  <c r="U12" i="33" s="1"/>
  <c r="Q11" i="33"/>
  <c r="Z11" i="33" s="1"/>
  <c r="Q10" i="33"/>
  <c r="Z10" i="33"/>
  <c r="Q9" i="33"/>
  <c r="Z9" i="33"/>
  <c r="J9" i="33"/>
  <c r="AC9" i="33" s="1"/>
  <c r="H9" i="33"/>
  <c r="AB9" i="33" s="1"/>
  <c r="F9" i="33"/>
  <c r="AA9" i="33" s="1"/>
  <c r="J8" i="33"/>
  <c r="W8" i="33" s="1"/>
  <c r="H8" i="33"/>
  <c r="AB8" i="33" s="1"/>
  <c r="F8" i="33"/>
  <c r="S8" i="33" s="1"/>
  <c r="C7" i="33"/>
  <c r="M102" i="21"/>
  <c r="D102" i="21"/>
  <c r="E102" i="21"/>
  <c r="F102" i="21"/>
  <c r="G102" i="21"/>
  <c r="H102" i="21"/>
  <c r="I102" i="21"/>
  <c r="J102" i="21"/>
  <c r="K102" i="21"/>
  <c r="L102" i="21"/>
  <c r="C102" i="21"/>
  <c r="C63" i="21"/>
  <c r="F9" i="21" s="1"/>
  <c r="S9" i="21" s="1"/>
  <c r="G18" i="20"/>
  <c r="B87" i="46"/>
  <c r="C25" i="40"/>
  <c r="G16" i="20"/>
  <c r="B81" i="46" s="1"/>
  <c r="G15" i="20"/>
  <c r="B80" i="46" s="1"/>
  <c r="C24" i="20"/>
  <c r="B72" i="46"/>
  <c r="C21" i="20"/>
  <c r="B73" i="46"/>
  <c r="C20" i="20"/>
  <c r="B76" i="46" s="1"/>
  <c r="C18" i="20"/>
  <c r="C17" i="20"/>
  <c r="B58" i="46"/>
  <c r="C16" i="20"/>
  <c r="B47" i="46" s="1"/>
  <c r="C15" i="20"/>
  <c r="B69" i="46" s="1"/>
  <c r="E54" i="21"/>
  <c r="F54" i="21" s="1"/>
  <c r="I54" i="21"/>
  <c r="J54" i="21" s="1"/>
  <c r="G54" i="21"/>
  <c r="H54" i="21" s="1"/>
  <c r="D125" i="21"/>
  <c r="E125" i="21" s="1"/>
  <c r="F125" i="21" s="1"/>
  <c r="G125" i="21" s="1"/>
  <c r="D123" i="21"/>
  <c r="J42" i="21" s="1"/>
  <c r="AC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s="1"/>
  <c r="D81" i="21"/>
  <c r="J19" i="21" s="1"/>
  <c r="W19" i="21" s="1"/>
  <c r="E81" i="21"/>
  <c r="F81" i="21" s="1"/>
  <c r="G81" i="21" s="1"/>
  <c r="D77" i="21"/>
  <c r="E77" i="21" s="1"/>
  <c r="F77" i="21" s="1"/>
  <c r="G77" i="21" s="1"/>
  <c r="B130" i="21"/>
  <c r="J46" i="21" s="1"/>
  <c r="W46" i="21" s="1"/>
  <c r="B128" i="21"/>
  <c r="F45" i="21" s="1"/>
  <c r="AA45" i="21" s="1"/>
  <c r="B126" i="21"/>
  <c r="B98" i="21"/>
  <c r="F31" i="21" s="1"/>
  <c r="S31" i="21" s="1"/>
  <c r="B96" i="21"/>
  <c r="B94" i="21"/>
  <c r="B92" i="21"/>
  <c r="H28" i="21" s="1"/>
  <c r="B90" i="21"/>
  <c r="H27" i="21" s="1"/>
  <c r="AB27" i="21" s="1"/>
  <c r="B74" i="21"/>
  <c r="H14" i="21" s="1"/>
  <c r="U14" i="21" s="1"/>
  <c r="B72" i="21"/>
  <c r="J13" i="21" s="1"/>
  <c r="AC13" i="21" s="1"/>
  <c r="B70" i="21"/>
  <c r="F12" i="21" s="1"/>
  <c r="F10" i="21"/>
  <c r="C7" i="21"/>
  <c r="C19" i="21"/>
  <c r="C17" i="21"/>
  <c r="C23" i="21"/>
  <c r="Q9" i="21"/>
  <c r="Z9" i="21"/>
  <c r="Q10" i="21"/>
  <c r="Z10" i="21"/>
  <c r="Q11" i="21"/>
  <c r="Z11" i="21"/>
  <c r="Q12" i="21"/>
  <c r="Z12" i="21" s="1"/>
  <c r="Q13" i="21"/>
  <c r="Z13" i="21" s="1"/>
  <c r="Q14" i="21"/>
  <c r="Z14" i="21"/>
  <c r="Q15" i="21"/>
  <c r="Z15" i="21"/>
  <c r="Q17" i="21"/>
  <c r="Z17" i="21" s="1"/>
  <c r="Q19" i="21"/>
  <c r="Z19" i="21" s="1"/>
  <c r="Q23" i="21"/>
  <c r="Z23" i="2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A570" i="3" s="1"/>
  <c r="BC570" i="3"/>
  <c r="BD570" i="3"/>
  <c r="BE570" i="3"/>
  <c r="BF570" i="3"/>
  <c r="BG570" i="3"/>
  <c r="BH570" i="3"/>
  <c r="BI570" i="3"/>
  <c r="BJ570" i="3"/>
  <c r="BK570" i="3"/>
  <c r="BM570" i="3"/>
  <c r="BN570" i="3"/>
  <c r="BO570" i="3"/>
  <c r="BP570" i="3"/>
  <c r="BQ570" i="3"/>
  <c r="BR570" i="3"/>
  <c r="BS570" i="3"/>
  <c r="BT570" i="3"/>
  <c r="BL570" i="3" s="1"/>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G571" i="3" s="1"/>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26" i="21"/>
  <c r="W26" i="21"/>
  <c r="F26" i="21"/>
  <c r="AA26" i="21"/>
  <c r="AB41" i="21"/>
  <c r="W41" i="21"/>
  <c r="S10" i="39"/>
  <c r="U30" i="37"/>
  <c r="E103" i="37"/>
  <c r="F103" i="37"/>
  <c r="F39" i="37"/>
  <c r="AA39" i="37" s="1"/>
  <c r="F29" i="36"/>
  <c r="AA29" i="36" s="1"/>
  <c r="F16" i="36"/>
  <c r="AA16" i="36"/>
  <c r="U22" i="36"/>
  <c r="W23" i="36"/>
  <c r="W22" i="36"/>
  <c r="U26" i="36"/>
  <c r="AC31" i="36"/>
  <c r="J33" i="36"/>
  <c r="W33" i="36"/>
  <c r="AC27" i="35"/>
  <c r="U31" i="35"/>
  <c r="S34" i="35"/>
  <c r="W24" i="35"/>
  <c r="S31" i="35"/>
  <c r="U34" i="35"/>
  <c r="F36" i="34"/>
  <c r="S36" i="34" s="1"/>
  <c r="S34" i="34"/>
  <c r="H39" i="33"/>
  <c r="AB39" i="33" s="1"/>
  <c r="F26" i="33"/>
  <c r="AA26" i="33" s="1"/>
  <c r="U33" i="33"/>
  <c r="W38" i="33"/>
  <c r="S40" i="33"/>
  <c r="S33" i="33"/>
  <c r="W33" i="33"/>
  <c r="U38" i="33"/>
  <c r="S8" i="21"/>
  <c r="H39" i="37"/>
  <c r="AB39" i="37"/>
  <c r="AB27" i="35"/>
  <c r="S10" i="40"/>
  <c r="W10" i="40"/>
  <c r="S11" i="40"/>
  <c r="U11" i="40"/>
  <c r="S36" i="40"/>
  <c r="U36" i="40"/>
  <c r="S40" i="39"/>
  <c r="S36" i="39"/>
  <c r="F11" i="21"/>
  <c r="S11" i="21" s="1"/>
  <c r="C29" i="39"/>
  <c r="U36" i="39"/>
  <c r="S42" i="39"/>
  <c r="H32" i="33"/>
  <c r="AB32" i="33" s="1"/>
  <c r="H11" i="21"/>
  <c r="U11" i="21" s="1"/>
  <c r="J11" i="21"/>
  <c r="W11" i="21" s="1"/>
  <c r="F86" i="40"/>
  <c r="G86" i="40" s="1"/>
  <c r="J27" i="36"/>
  <c r="W27" i="36" s="1"/>
  <c r="J30" i="35"/>
  <c r="W30" i="35"/>
  <c r="F22" i="35"/>
  <c r="S22" i="35" s="1"/>
  <c r="H10" i="35"/>
  <c r="U10" i="35" s="1"/>
  <c r="U29" i="36"/>
  <c r="E85" i="36"/>
  <c r="F85" i="36" s="1"/>
  <c r="G85" i="36" s="1"/>
  <c r="H85" i="36" s="1"/>
  <c r="I85" i="36" s="1"/>
  <c r="J85" i="36" s="1"/>
  <c r="K85" i="36" s="1"/>
  <c r="L85" i="36" s="1"/>
  <c r="M85" i="36" s="1"/>
  <c r="J29" i="36"/>
  <c r="AC29" i="36" s="1"/>
  <c r="AB8" i="36"/>
  <c r="H16" i="35"/>
  <c r="U16" i="35"/>
  <c r="H33" i="35"/>
  <c r="AB33" i="35" s="1"/>
  <c r="W8" i="35"/>
  <c r="AC8" i="35"/>
  <c r="F35" i="37"/>
  <c r="E101" i="37"/>
  <c r="F101" i="37" s="1"/>
  <c r="G101" i="37" s="1"/>
  <c r="H101" i="37" s="1"/>
  <c r="I101" i="37" s="1"/>
  <c r="J101" i="37" s="1"/>
  <c r="K101" i="37" s="1"/>
  <c r="L101" i="37" s="1"/>
  <c r="M101" i="37" s="1"/>
  <c r="J34" i="37"/>
  <c r="W34" i="37"/>
  <c r="E114" i="34"/>
  <c r="H36" i="34"/>
  <c r="U36" i="34" s="1"/>
  <c r="F33" i="34"/>
  <c r="S33" i="34" s="1"/>
  <c r="F19" i="34"/>
  <c r="AA19" i="34" s="1"/>
  <c r="J10" i="34"/>
  <c r="AC10" i="34" s="1"/>
  <c r="W8" i="34"/>
  <c r="J28" i="34"/>
  <c r="W28" i="34" s="1"/>
  <c r="E113" i="33"/>
  <c r="F113" i="33" s="1"/>
  <c r="G113" i="33" s="1"/>
  <c r="H113" i="33" s="1"/>
  <c r="I113" i="33" s="1"/>
  <c r="J113" i="33" s="1"/>
  <c r="K113" i="33" s="1"/>
  <c r="L113" i="33" s="1"/>
  <c r="M113" i="33" s="1"/>
  <c r="AB30" i="36"/>
  <c r="H29" i="35"/>
  <c r="U29" i="35" s="1"/>
  <c r="U34" i="37"/>
  <c r="S34" i="37"/>
  <c r="J19" i="34"/>
  <c r="AC19" i="34" s="1"/>
  <c r="H37" i="33"/>
  <c r="AB37" i="33" s="1"/>
  <c r="S37" i="33"/>
  <c r="AC42" i="34"/>
  <c r="W42" i="34"/>
  <c r="AA42" i="34"/>
  <c r="S42" i="34"/>
  <c r="AC38" i="34"/>
  <c r="AA38" i="34"/>
  <c r="J37" i="33"/>
  <c r="W37" i="33" s="1"/>
  <c r="F44" i="34"/>
  <c r="S44" i="34" s="1"/>
  <c r="J10" i="35"/>
  <c r="W10" i="35" s="1"/>
  <c r="AL5" i="3"/>
  <c r="BQ13" i="3"/>
  <c r="J14" i="21"/>
  <c r="F14" i="21"/>
  <c r="AA14" i="21" s="1"/>
  <c r="J28" i="21"/>
  <c r="AC28" i="21" s="1"/>
  <c r="H30" i="21"/>
  <c r="U30" i="21" s="1"/>
  <c r="F30" i="21"/>
  <c r="S30" i="21" s="1"/>
  <c r="J30" i="21"/>
  <c r="J44" i="21"/>
  <c r="AC44" i="21" s="1"/>
  <c r="H44" i="21"/>
  <c r="U44" i="21" s="1"/>
  <c r="F44" i="21"/>
  <c r="AA44" i="21" s="1"/>
  <c r="H26" i="33"/>
  <c r="U26" i="33" s="1"/>
  <c r="H28" i="33"/>
  <c r="F28" i="33"/>
  <c r="AA28" i="33" s="1"/>
  <c r="J28" i="33"/>
  <c r="W28" i="33" s="1"/>
  <c r="F33" i="35"/>
  <c r="S33" i="35"/>
  <c r="J33" i="35"/>
  <c r="W33" i="35" s="1"/>
  <c r="F30" i="35"/>
  <c r="AA30" i="35" s="1"/>
  <c r="E89" i="35"/>
  <c r="F89" i="35"/>
  <c r="G89" i="35" s="1"/>
  <c r="H89" i="35" s="1"/>
  <c r="I89" i="35" s="1"/>
  <c r="J89" i="35" s="1"/>
  <c r="K89" i="35" s="1"/>
  <c r="L89" i="35" s="1"/>
  <c r="M89" i="35" s="1"/>
  <c r="H10" i="36"/>
  <c r="AB10" i="36" s="1"/>
  <c r="F28" i="36"/>
  <c r="S28" i="36"/>
  <c r="F27" i="36"/>
  <c r="S27" i="36" s="1"/>
  <c r="H13" i="21"/>
  <c r="U13" i="21" s="1"/>
  <c r="F13" i="21"/>
  <c r="AA13" i="21" s="1"/>
  <c r="J27" i="21"/>
  <c r="W27" i="21" s="1"/>
  <c r="J29" i="21"/>
  <c r="AC29" i="21" s="1"/>
  <c r="H29" i="21"/>
  <c r="U29" i="21" s="1"/>
  <c r="F29" i="21"/>
  <c r="S29" i="21" s="1"/>
  <c r="J31" i="21"/>
  <c r="AC31" i="21" s="1"/>
  <c r="H31" i="21"/>
  <c r="J45" i="21"/>
  <c r="W45" i="21" s="1"/>
  <c r="H45" i="21"/>
  <c r="U45" i="21" s="1"/>
  <c r="J27" i="33"/>
  <c r="AC27" i="33" s="1"/>
  <c r="F27" i="33"/>
  <c r="S27" i="33" s="1"/>
  <c r="F13" i="33"/>
  <c r="S13" i="33" s="1"/>
  <c r="J29" i="33"/>
  <c r="W29" i="33" s="1"/>
  <c r="J31" i="33"/>
  <c r="AC31" i="33" s="1"/>
  <c r="H31" i="33"/>
  <c r="U31" i="33" s="1"/>
  <c r="S31" i="33"/>
  <c r="F45" i="33"/>
  <c r="S45" i="33" s="1"/>
  <c r="F11" i="35"/>
  <c r="S11" i="35" s="1"/>
  <c r="H28" i="36"/>
  <c r="U28" i="36"/>
  <c r="H32" i="36"/>
  <c r="AB32" i="36"/>
  <c r="J32" i="36"/>
  <c r="J11" i="36"/>
  <c r="W11" i="36" s="1"/>
  <c r="H13" i="36"/>
  <c r="AB13" i="36" s="1"/>
  <c r="J13" i="36"/>
  <c r="W13" i="36" s="1"/>
  <c r="F13" i="36"/>
  <c r="S13" i="36"/>
  <c r="E89" i="37"/>
  <c r="F89" i="37"/>
  <c r="G89" i="37"/>
  <c r="H89" i="37" s="1"/>
  <c r="I89" i="37" s="1"/>
  <c r="J89" i="37" s="1"/>
  <c r="K89" i="37" s="1"/>
  <c r="L89" i="37" s="1"/>
  <c r="M89" i="37" s="1"/>
  <c r="J29" i="37"/>
  <c r="W29" i="37"/>
  <c r="F29" i="37"/>
  <c r="AA29" i="37" s="1"/>
  <c r="F105" i="37"/>
  <c r="G105" i="37" s="1"/>
  <c r="AB36" i="37"/>
  <c r="F107" i="37"/>
  <c r="J37" i="37"/>
  <c r="AC37" i="37" s="1"/>
  <c r="H37" i="37"/>
  <c r="U37" i="37" s="1"/>
  <c r="H40" i="37"/>
  <c r="U40" i="37" s="1"/>
  <c r="J40" i="37"/>
  <c r="F40" i="37"/>
  <c r="AA40" i="37"/>
  <c r="H14" i="33"/>
  <c r="U14" i="33" s="1"/>
  <c r="F14" i="33"/>
  <c r="AA14" i="33" s="1"/>
  <c r="J14" i="33"/>
  <c r="AC14" i="33" s="1"/>
  <c r="H30" i="33"/>
  <c r="AB30" i="33" s="1"/>
  <c r="F30" i="33"/>
  <c r="S30" i="33" s="1"/>
  <c r="J30" i="33"/>
  <c r="J44" i="33"/>
  <c r="AC44" i="33" s="1"/>
  <c r="J46" i="33"/>
  <c r="AC46" i="33" s="1"/>
  <c r="H46" i="33"/>
  <c r="AB46" i="33" s="1"/>
  <c r="H13" i="34"/>
  <c r="U13" i="34" s="1"/>
  <c r="J13" i="34"/>
  <c r="W13" i="34" s="1"/>
  <c r="J29" i="34"/>
  <c r="AC29" i="34" s="1"/>
  <c r="H29" i="34"/>
  <c r="U29" i="34" s="1"/>
  <c r="J31" i="34"/>
  <c r="AC31" i="34" s="1"/>
  <c r="H31" i="34"/>
  <c r="AB31" i="34" s="1"/>
  <c r="F31" i="34"/>
  <c r="S31" i="34" s="1"/>
  <c r="H45" i="34"/>
  <c r="J45" i="34"/>
  <c r="W45" i="34" s="1"/>
  <c r="F45" i="34"/>
  <c r="S45" i="34" s="1"/>
  <c r="H47" i="34"/>
  <c r="U47" i="34" s="1"/>
  <c r="F47" i="34"/>
  <c r="AA47" i="34" s="1"/>
  <c r="J47" i="34"/>
  <c r="AC47" i="34" s="1"/>
  <c r="F13" i="35"/>
  <c r="S13" i="35" s="1"/>
  <c r="J13" i="35"/>
  <c r="AC13" i="35" s="1"/>
  <c r="H13" i="35"/>
  <c r="U13" i="35"/>
  <c r="J25" i="35"/>
  <c r="AC25" i="35"/>
  <c r="F25" i="35"/>
  <c r="S25" i="35" s="1"/>
  <c r="AA25" i="35"/>
  <c r="H25" i="35"/>
  <c r="AB25" i="35" s="1"/>
  <c r="H35" i="35"/>
  <c r="U35" i="35" s="1"/>
  <c r="J25" i="36"/>
  <c r="W25" i="36"/>
  <c r="F25" i="36"/>
  <c r="AA25" i="36"/>
  <c r="H25" i="36"/>
  <c r="AB25" i="36" s="1"/>
  <c r="H13" i="37"/>
  <c r="AB13" i="37" s="1"/>
  <c r="F13" i="37"/>
  <c r="S13" i="37"/>
  <c r="J13" i="37"/>
  <c r="AC13" i="37" s="1"/>
  <c r="F28" i="37"/>
  <c r="AA28" i="37" s="1"/>
  <c r="H28" i="37"/>
  <c r="U28" i="37" s="1"/>
  <c r="H38" i="37"/>
  <c r="AB38" i="37" s="1"/>
  <c r="F14" i="37"/>
  <c r="AA14" i="37" s="1"/>
  <c r="F27" i="37"/>
  <c r="S27" i="37" s="1"/>
  <c r="J14" i="37"/>
  <c r="W14" i="37" s="1"/>
  <c r="J27" i="37"/>
  <c r="W27" i="37" s="1"/>
  <c r="W35" i="35"/>
  <c r="AB13" i="35"/>
  <c r="U30" i="33"/>
  <c r="J36" i="37"/>
  <c r="AC36" i="37" s="1"/>
  <c r="AB28" i="36"/>
  <c r="AB14" i="21"/>
  <c r="W14" i="21"/>
  <c r="AC14" i="21"/>
  <c r="W31" i="34"/>
  <c r="U36" i="37"/>
  <c r="AC13" i="36"/>
  <c r="AB27" i="33"/>
  <c r="G521" i="3"/>
  <c r="G513" i="3"/>
  <c r="G508" i="3"/>
  <c r="G499" i="3"/>
  <c r="G493" i="3"/>
  <c r="G485" i="3"/>
  <c r="G17" i="3"/>
  <c r="G565" i="3"/>
  <c r="G561" i="3"/>
  <c r="G557" i="3"/>
  <c r="BL569" i="3"/>
  <c r="BL561" i="3"/>
  <c r="BL545" i="3"/>
  <c r="BL535" i="3"/>
  <c r="BL527" i="3"/>
  <c r="AZ527" i="3" s="1"/>
  <c r="BL519" i="3"/>
  <c r="BL501" i="3"/>
  <c r="AZ501" i="3" s="1"/>
  <c r="BL483" i="3"/>
  <c r="G16" i="3"/>
  <c r="BL563" i="3"/>
  <c r="BL551" i="3"/>
  <c r="BL541" i="3"/>
  <c r="BL533" i="3"/>
  <c r="G518" i="3"/>
  <c r="G510" i="3"/>
  <c r="BL503" i="3"/>
  <c r="BL485" i="3"/>
  <c r="G18" i="3"/>
  <c r="BA565" i="3"/>
  <c r="BA557" i="3"/>
  <c r="AZ555" i="3"/>
  <c r="BA551" i="3"/>
  <c r="AZ551" i="3"/>
  <c r="BA531" i="3"/>
  <c r="BA501" i="3"/>
  <c r="BA493" i="3"/>
  <c r="AZ493" i="3" s="1"/>
  <c r="BA487" i="3"/>
  <c r="AZ487" i="3" s="1"/>
  <c r="BA19" i="3"/>
  <c r="BA572" i="3"/>
  <c r="BA566" i="3"/>
  <c r="BA550" i="3"/>
  <c r="AZ550" i="3" s="1"/>
  <c r="BA544" i="3"/>
  <c r="AZ544" i="3" s="1"/>
  <c r="BA540" i="3"/>
  <c r="AZ540" i="3" s="1"/>
  <c r="BA536" i="3"/>
  <c r="BA532" i="3"/>
  <c r="BA528" i="3"/>
  <c r="BA524" i="3"/>
  <c r="BA502" i="3"/>
  <c r="AZ502" i="3" s="1"/>
  <c r="BA492" i="3"/>
  <c r="BA488" i="3"/>
  <c r="AZ488" i="3" s="1"/>
  <c r="BA484" i="3"/>
  <c r="BA20" i="3"/>
  <c r="G566" i="3"/>
  <c r="G562" i="3"/>
  <c r="G560" i="3"/>
  <c r="G558" i="3"/>
  <c r="G556" i="3"/>
  <c r="G550" i="3"/>
  <c r="G546" i="3"/>
  <c r="BA542" i="3"/>
  <c r="AZ542" i="3" s="1"/>
  <c r="AC542" i="3"/>
  <c r="G542" i="3"/>
  <c r="BQ542" i="3"/>
  <c r="BQ568" i="3"/>
  <c r="BQ566" i="3"/>
  <c r="BQ564" i="3"/>
  <c r="BQ562" i="3"/>
  <c r="BQ560" i="3"/>
  <c r="BQ558" i="3"/>
  <c r="BL558" i="3" s="1"/>
  <c r="BQ556" i="3"/>
  <c r="BL556" i="3" s="1"/>
  <c r="BQ554" i="3"/>
  <c r="BL554" i="3" s="1"/>
  <c r="BQ552" i="3"/>
  <c r="BL552" i="3"/>
  <c r="BQ550" i="3"/>
  <c r="BL550" i="3"/>
  <c r="BQ548" i="3"/>
  <c r="BQ546" i="3"/>
  <c r="BL546" i="3"/>
  <c r="BQ544" i="3"/>
  <c r="BL544" i="3"/>
  <c r="G544" i="3"/>
  <c r="G538" i="3"/>
  <c r="G530" i="3"/>
  <c r="G522" i="3"/>
  <c r="BQ540" i="3"/>
  <c r="BL540" i="3"/>
  <c r="BQ538" i="3"/>
  <c r="BL538" i="3"/>
  <c r="BQ536" i="3"/>
  <c r="BQ534" i="3"/>
  <c r="BL534" i="3" s="1"/>
  <c r="AZ534" i="3" s="1"/>
  <c r="BQ532" i="3"/>
  <c r="BL532" i="3"/>
  <c r="AZ532" i="3" s="1"/>
  <c r="BQ530" i="3"/>
  <c r="BQ528" i="3"/>
  <c r="BQ526" i="3"/>
  <c r="BQ524" i="3"/>
  <c r="BL524" i="3"/>
  <c r="BQ522" i="3"/>
  <c r="BQ520" i="3"/>
  <c r="BQ518" i="3"/>
  <c r="BQ516" i="3"/>
  <c r="BQ514" i="3"/>
  <c r="BQ512" i="3"/>
  <c r="BQ510" i="3"/>
  <c r="BL510" i="3"/>
  <c r="BQ508" i="3"/>
  <c r="BL508" i="3"/>
  <c r="AC506" i="3"/>
  <c r="G506" i="3"/>
  <c r="BQ506" i="3"/>
  <c r="G502" i="3"/>
  <c r="G498" i="3"/>
  <c r="BQ504" i="3"/>
  <c r="BQ502" i="3"/>
  <c r="BQ500" i="3"/>
  <c r="BL500" i="3"/>
  <c r="BQ498" i="3"/>
  <c r="BQ496" i="3"/>
  <c r="BL496" i="3" s="1"/>
  <c r="AC494" i="3"/>
  <c r="BQ494" i="3"/>
  <c r="BL494" i="3" s="1"/>
  <c r="G492" i="3"/>
  <c r="G488" i="3"/>
  <c r="G484" i="3"/>
  <c r="BQ492" i="3"/>
  <c r="BQ490" i="3"/>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U43" i="33" s="1"/>
  <c r="H17" i="37"/>
  <c r="AB17" i="37" s="1"/>
  <c r="U17" i="37"/>
  <c r="F23" i="37"/>
  <c r="AA23" i="37" s="1"/>
  <c r="S23" i="37"/>
  <c r="F39" i="33"/>
  <c r="AA39" i="33" s="1"/>
  <c r="F42" i="33"/>
  <c r="AA42" i="33" s="1"/>
  <c r="H28" i="34"/>
  <c r="AB28" i="34" s="1"/>
  <c r="F22" i="36"/>
  <c r="S22" i="36" s="1"/>
  <c r="H35" i="34"/>
  <c r="U35" i="34" s="1"/>
  <c r="F41" i="34"/>
  <c r="S41" i="34" s="1"/>
  <c r="H41" i="34"/>
  <c r="U41" i="34" s="1"/>
  <c r="J41" i="34"/>
  <c r="W41" i="34" s="1"/>
  <c r="F10" i="35"/>
  <c r="AA10" i="35"/>
  <c r="F24" i="35"/>
  <c r="AA24" i="35" s="1"/>
  <c r="H24" i="35"/>
  <c r="AB24" i="35" s="1"/>
  <c r="H23" i="37"/>
  <c r="AB23" i="37"/>
  <c r="J32" i="37"/>
  <c r="AC32" i="37"/>
  <c r="F36" i="37"/>
  <c r="S36" i="37" s="1"/>
  <c r="F37" i="37"/>
  <c r="AA37" i="37" s="1"/>
  <c r="U23" i="37"/>
  <c r="H42" i="33"/>
  <c r="U42" i="33" s="1"/>
  <c r="J43" i="33"/>
  <c r="AC43" i="33" s="1"/>
  <c r="J23" i="37"/>
  <c r="W23" i="37" s="1"/>
  <c r="F17" i="37"/>
  <c r="AA17" i="37"/>
  <c r="D3" i="21"/>
  <c r="AC33" i="36"/>
  <c r="U39" i="37"/>
  <c r="AC8" i="37"/>
  <c r="AB8" i="34"/>
  <c r="AA13" i="33"/>
  <c r="AC33" i="21"/>
  <c r="F43" i="33"/>
  <c r="AA43" i="33"/>
  <c r="S10" i="35"/>
  <c r="G107" i="37"/>
  <c r="H107" i="37" s="1"/>
  <c r="I107" i="37" s="1"/>
  <c r="J107" i="37" s="1"/>
  <c r="K107" i="37" s="1"/>
  <c r="L107" i="37"/>
  <c r="M107" i="37" s="1"/>
  <c r="H19" i="34"/>
  <c r="AB19" i="34" s="1"/>
  <c r="J10" i="37"/>
  <c r="W10" i="37" s="1"/>
  <c r="J9" i="37"/>
  <c r="W9" i="37"/>
  <c r="H9" i="37"/>
  <c r="U9" i="37"/>
  <c r="F9" i="37"/>
  <c r="S9" i="37" s="1"/>
  <c r="F11" i="37"/>
  <c r="S11" i="37" s="1"/>
  <c r="J12" i="37"/>
  <c r="AC12" i="37"/>
  <c r="AB12" i="37"/>
  <c r="F12" i="37"/>
  <c r="AA12" i="37" s="1"/>
  <c r="H15" i="37"/>
  <c r="U15" i="37" s="1"/>
  <c r="E94" i="37"/>
  <c r="F31" i="37"/>
  <c r="S31" i="37" s="1"/>
  <c r="F94" i="37"/>
  <c r="G94" i="37" s="1"/>
  <c r="H94" i="37" s="1"/>
  <c r="I94" i="37" s="1"/>
  <c r="J94" i="37" s="1"/>
  <c r="K94" i="37" s="1"/>
  <c r="L94" i="37" s="1"/>
  <c r="M94" i="37" s="1"/>
  <c r="H31" i="37"/>
  <c r="J15" i="37"/>
  <c r="W15" i="37"/>
  <c r="U12" i="37"/>
  <c r="AB10" i="37"/>
  <c r="J11" i="37"/>
  <c r="W11" i="37" s="1"/>
  <c r="E90" i="40"/>
  <c r="F90" i="40" s="1"/>
  <c r="G90" i="40" s="1"/>
  <c r="F21" i="40"/>
  <c r="S21" i="40"/>
  <c r="W36" i="40"/>
  <c r="U40" i="39"/>
  <c r="J21" i="40"/>
  <c r="AC21" i="40" s="1"/>
  <c r="S27" i="31"/>
  <c r="G483" i="3"/>
  <c r="G515" i="3"/>
  <c r="G507" i="3"/>
  <c r="G501" i="3"/>
  <c r="BA15" i="3"/>
  <c r="BL17" i="3"/>
  <c r="BL15" i="3"/>
  <c r="BA14" i="3"/>
  <c r="AZ14" i="3" s="1"/>
  <c r="J57" i="39"/>
  <c r="H13" i="40"/>
  <c r="U13" i="40"/>
  <c r="I4" i="4"/>
  <c r="K141" i="21"/>
  <c r="K143" i="21"/>
  <c r="K144" i="21"/>
  <c r="I59" i="40"/>
  <c r="C59" i="40" s="1"/>
  <c r="I60" i="40"/>
  <c r="C60" i="40" s="1"/>
  <c r="W9" i="33"/>
  <c r="G297" i="3"/>
  <c r="BL298" i="3"/>
  <c r="G299" i="3"/>
  <c r="BL300" i="3"/>
  <c r="BA302" i="3"/>
  <c r="AZ302" i="3"/>
  <c r="BA303" i="3"/>
  <c r="AZ303" i="3" s="1"/>
  <c r="BL303" i="3"/>
  <c r="G304" i="3"/>
  <c r="BA305" i="3"/>
  <c r="AZ305" i="3" s="1"/>
  <c r="G321" i="3"/>
  <c r="BL322" i="3"/>
  <c r="G323" i="3"/>
  <c r="BL324" i="3"/>
  <c r="BA326" i="3"/>
  <c r="AZ326" i="3"/>
  <c r="BA327" i="3"/>
  <c r="BL327" i="3"/>
  <c r="AZ327" i="3"/>
  <c r="G328" i="3"/>
  <c r="BA329" i="3"/>
  <c r="G337" i="3"/>
  <c r="BL338" i="3"/>
  <c r="G339" i="3"/>
  <c r="BL340" i="3"/>
  <c r="BA342" i="3"/>
  <c r="AZ342" i="3"/>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BL115" i="3"/>
  <c r="AZ115" i="3"/>
  <c r="G116" i="3"/>
  <c r="BA118" i="3"/>
  <c r="BL119" i="3"/>
  <c r="G120" i="3"/>
  <c r="BA122" i="3"/>
  <c r="AZ122" i="3"/>
  <c r="BL123" i="3"/>
  <c r="G124" i="3"/>
  <c r="BA126" i="3"/>
  <c r="AZ126" i="3"/>
  <c r="BL127" i="3"/>
  <c r="AZ127" i="3" s="1"/>
  <c r="G128" i="3"/>
  <c r="BA130" i="3"/>
  <c r="BL131" i="3"/>
  <c r="AZ131" i="3" s="1"/>
  <c r="G132" i="3"/>
  <c r="BA134" i="3"/>
  <c r="AZ134" i="3" s="1"/>
  <c r="BL135" i="3"/>
  <c r="G136" i="3"/>
  <c r="BA138" i="3"/>
  <c r="AZ138" i="3" s="1"/>
  <c r="BL139" i="3"/>
  <c r="AZ139" i="3" s="1"/>
  <c r="G140" i="3"/>
  <c r="BA142" i="3"/>
  <c r="AZ142" i="3"/>
  <c r="BL143" i="3"/>
  <c r="G144" i="3"/>
  <c r="BA146" i="3"/>
  <c r="BL147" i="3"/>
  <c r="AZ147" i="3"/>
  <c r="G148" i="3"/>
  <c r="BA150" i="3"/>
  <c r="AZ150" i="3" s="1"/>
  <c r="BL151" i="3"/>
  <c r="AZ151" i="3" s="1"/>
  <c r="BA153" i="3"/>
  <c r="AZ153" i="3" s="1"/>
  <c r="BL154" i="3"/>
  <c r="AZ154" i="3" s="1"/>
  <c r="G155" i="3"/>
  <c r="BA157" i="3"/>
  <c r="AZ157" i="3"/>
  <c r="BL158" i="3"/>
  <c r="AZ158" i="3" s="1"/>
  <c r="G159" i="3"/>
  <c r="BA161" i="3"/>
  <c r="AZ161" i="3" s="1"/>
  <c r="BL162" i="3"/>
  <c r="G163" i="3"/>
  <c r="BA165" i="3"/>
  <c r="AZ165" i="3" s="1"/>
  <c r="BL166" i="3"/>
  <c r="G167" i="3"/>
  <c r="BA169" i="3"/>
  <c r="AZ169" i="3"/>
  <c r="BL170" i="3"/>
  <c r="AZ170" i="3" s="1"/>
  <c r="G171" i="3"/>
  <c r="BA173" i="3"/>
  <c r="AZ173" i="3" s="1"/>
  <c r="BL174" i="3"/>
  <c r="AZ174" i="3" s="1"/>
  <c r="G175" i="3"/>
  <c r="BA178" i="3"/>
  <c r="AZ178" i="3" s="1"/>
  <c r="BL179" i="3"/>
  <c r="G180" i="3"/>
  <c r="AZ27" i="3"/>
  <c r="AZ31" i="3"/>
  <c r="AZ43" i="3"/>
  <c r="AZ47" i="3"/>
  <c r="G537" i="3"/>
  <c r="BL181" i="3"/>
  <c r="AZ181" i="3"/>
  <c r="G182" i="3"/>
  <c r="BA184" i="3"/>
  <c r="AZ184" i="3" s="1"/>
  <c r="BL185" i="3"/>
  <c r="AZ185" i="3" s="1"/>
  <c r="G186" i="3"/>
  <c r="BA188" i="3"/>
  <c r="AZ188" i="3" s="1"/>
  <c r="BL189" i="3"/>
  <c r="AZ189" i="3" s="1"/>
  <c r="G190" i="3"/>
  <c r="BA192" i="3"/>
  <c r="AZ192" i="3"/>
  <c r="BL193" i="3"/>
  <c r="AZ193" i="3"/>
  <c r="G194" i="3"/>
  <c r="BA196" i="3"/>
  <c r="BL197" i="3"/>
  <c r="AZ197" i="3" s="1"/>
  <c r="G198" i="3"/>
  <c r="BA200" i="3"/>
  <c r="AZ200" i="3" s="1"/>
  <c r="BL201" i="3"/>
  <c r="AZ70" i="3"/>
  <c r="AZ74" i="3"/>
  <c r="AZ201" i="3"/>
  <c r="AZ84" i="3"/>
  <c r="AZ106" i="3"/>
  <c r="G491" i="3"/>
  <c r="BA298" i="3"/>
  <c r="AZ298" i="3"/>
  <c r="BA299" i="3"/>
  <c r="AZ299" i="3"/>
  <c r="BL299" i="3"/>
  <c r="G300" i="3"/>
  <c r="G303" i="3"/>
  <c r="BL304" i="3"/>
  <c r="BA306" i="3"/>
  <c r="AZ306" i="3" s="1"/>
  <c r="BA307" i="3"/>
  <c r="BL307" i="3"/>
  <c r="AZ307" i="3" s="1"/>
  <c r="G308" i="3"/>
  <c r="G319" i="3"/>
  <c r="BL320" i="3"/>
  <c r="AZ320" i="3" s="1"/>
  <c r="BA322" i="3"/>
  <c r="AZ322" i="3" s="1"/>
  <c r="BA323" i="3"/>
  <c r="AZ323" i="3" s="1"/>
  <c r="BL323" i="3"/>
  <c r="G324" i="3"/>
  <c r="G327" i="3"/>
  <c r="BL328" i="3"/>
  <c r="BA330" i="3"/>
  <c r="AZ330" i="3" s="1"/>
  <c r="BA331" i="3"/>
  <c r="AZ331" i="3" s="1"/>
  <c r="BL331" i="3"/>
  <c r="G332" i="3"/>
  <c r="G335" i="3"/>
  <c r="BL336" i="3"/>
  <c r="AZ336" i="3" s="1"/>
  <c r="BA338" i="3"/>
  <c r="AZ338" i="3" s="1"/>
  <c r="BA339" i="3"/>
  <c r="BL339" i="3"/>
  <c r="AZ339" i="3" s="1"/>
  <c r="G340" i="3"/>
  <c r="G343" i="3"/>
  <c r="BL344" i="3"/>
  <c r="AZ344" i="3" s="1"/>
  <c r="BA346" i="3"/>
  <c r="AZ346" i="3"/>
  <c r="BA347" i="3"/>
  <c r="BL347" i="3"/>
  <c r="G348" i="3"/>
  <c r="G351" i="3"/>
  <c r="BL352" i="3"/>
  <c r="BA354" i="3"/>
  <c r="BA355" i="3"/>
  <c r="AZ355" i="3" s="1"/>
  <c r="BL355" i="3"/>
  <c r="G356" i="3"/>
  <c r="BA358" i="3"/>
  <c r="BA359" i="3"/>
  <c r="AZ359" i="3" s="1"/>
  <c r="BL359" i="3"/>
  <c r="G360" i="3"/>
  <c r="G361" i="3"/>
  <c r="BL362" i="3"/>
  <c r="AZ362" i="3" s="1"/>
  <c r="BA364" i="3"/>
  <c r="AZ364" i="3"/>
  <c r="BA365" i="3"/>
  <c r="BL365" i="3"/>
  <c r="G366" i="3"/>
  <c r="G369" i="3"/>
  <c r="BL370" i="3"/>
  <c r="BA372" i="3"/>
  <c r="AZ372" i="3"/>
  <c r="BA373" i="3"/>
  <c r="AZ373" i="3" s="1"/>
  <c r="BL373" i="3"/>
  <c r="G374" i="3"/>
  <c r="G377" i="3"/>
  <c r="BL378" i="3"/>
  <c r="BA380" i="3"/>
  <c r="AZ380" i="3"/>
  <c r="BA381" i="3"/>
  <c r="AZ381" i="3"/>
  <c r="BL381" i="3"/>
  <c r="G382" i="3"/>
  <c r="G385" i="3"/>
  <c r="AZ162" i="3"/>
  <c r="AZ166" i="3"/>
  <c r="AZ179" i="3"/>
  <c r="AZ187" i="3"/>
  <c r="AZ195" i="3"/>
  <c r="AZ199" i="3"/>
  <c r="G523" i="3"/>
  <c r="BL297" i="3"/>
  <c r="AZ297" i="3"/>
  <c r="G298" i="3"/>
  <c r="BA300" i="3"/>
  <c r="AZ300" i="3" s="1"/>
  <c r="BL301" i="3"/>
  <c r="AZ301" i="3"/>
  <c r="G302" i="3"/>
  <c r="BA304" i="3"/>
  <c r="AZ304" i="3"/>
  <c r="BL305" i="3"/>
  <c r="G306" i="3"/>
  <c r="BA308" i="3"/>
  <c r="AZ308" i="3"/>
  <c r="BL309" i="3"/>
  <c r="AZ309" i="3" s="1"/>
  <c r="G310" i="3"/>
  <c r="BA310" i="3"/>
  <c r="AZ310" i="3" s="1"/>
  <c r="BL311" i="3"/>
  <c r="AZ311" i="3" s="1"/>
  <c r="G312" i="3"/>
  <c r="BA312" i="3"/>
  <c r="AZ312" i="3"/>
  <c r="BL313" i="3"/>
  <c r="G314" i="3"/>
  <c r="BA314" i="3"/>
  <c r="AZ314" i="3"/>
  <c r="BL315" i="3"/>
  <c r="AZ315" i="3" s="1"/>
  <c r="G316" i="3"/>
  <c r="BA316" i="3"/>
  <c r="AZ316" i="3" s="1"/>
  <c r="BL317" i="3"/>
  <c r="AZ317" i="3" s="1"/>
  <c r="G318" i="3"/>
  <c r="BA320" i="3"/>
  <c r="BL321" i="3"/>
  <c r="AZ321" i="3" s="1"/>
  <c r="G322" i="3"/>
  <c r="BA324" i="3"/>
  <c r="AZ324" i="3"/>
  <c r="BL325" i="3"/>
  <c r="G326" i="3"/>
  <c r="BA328" i="3"/>
  <c r="AZ328" i="3" s="1"/>
  <c r="BL329" i="3"/>
  <c r="G330" i="3"/>
  <c r="BA332" i="3"/>
  <c r="AZ332" i="3"/>
  <c r="BL333" i="3"/>
  <c r="G334" i="3"/>
  <c r="BA336" i="3"/>
  <c r="BL337" i="3"/>
  <c r="AZ337" i="3" s="1"/>
  <c r="G338" i="3"/>
  <c r="BA340" i="3"/>
  <c r="AZ340" i="3" s="1"/>
  <c r="BL341" i="3"/>
  <c r="G342" i="3"/>
  <c r="BA344" i="3"/>
  <c r="BL345" i="3"/>
  <c r="G346" i="3"/>
  <c r="BA348" i="3"/>
  <c r="AZ348" i="3"/>
  <c r="BL349" i="3"/>
  <c r="AZ349" i="3" s="1"/>
  <c r="G350" i="3"/>
  <c r="BA352" i="3"/>
  <c r="AZ352" i="3" s="1"/>
  <c r="BL353" i="3"/>
  <c r="AZ353" i="3" s="1"/>
  <c r="G354" i="3"/>
  <c r="BA356" i="3"/>
  <c r="AZ356" i="3"/>
  <c r="BL357" i="3"/>
  <c r="G358" i="3"/>
  <c r="BA362" i="3"/>
  <c r="BL363" i="3"/>
  <c r="AZ363" i="3" s="1"/>
  <c r="G364" i="3"/>
  <c r="BA366" i="3"/>
  <c r="AZ366" i="3" s="1"/>
  <c r="BL367" i="3"/>
  <c r="AZ205" i="3"/>
  <c r="AZ209" i="3"/>
  <c r="AZ213" i="3"/>
  <c r="AZ229" i="3"/>
  <c r="AZ233" i="3"/>
  <c r="AZ237" i="3"/>
  <c r="AZ333" i="3"/>
  <c r="AZ357" i="3"/>
  <c r="AZ367" i="3"/>
  <c r="G368" i="3"/>
  <c r="BA370" i="3"/>
  <c r="AZ370" i="3" s="1"/>
  <c r="BL371" i="3"/>
  <c r="AZ371" i="3"/>
  <c r="G372" i="3"/>
  <c r="BA374" i="3"/>
  <c r="AZ374" i="3"/>
  <c r="BL375" i="3"/>
  <c r="G376" i="3"/>
  <c r="BA378" i="3"/>
  <c r="AZ378" i="3" s="1"/>
  <c r="BL379" i="3"/>
  <c r="G380" i="3"/>
  <c r="BA382" i="3"/>
  <c r="AZ382" i="3"/>
  <c r="BL383" i="3"/>
  <c r="G384" i="3"/>
  <c r="AZ249" i="3"/>
  <c r="AZ257" i="3"/>
  <c r="AZ261" i="3"/>
  <c r="AZ375" i="3"/>
  <c r="AZ383" i="3"/>
  <c r="AZ270" i="3"/>
  <c r="AZ278" i="3"/>
  <c r="AZ282" i="3"/>
  <c r="AZ295" i="3"/>
  <c r="AZ313"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E78" i="40"/>
  <c r="F78" i="40"/>
  <c r="G78" i="40" s="1"/>
  <c r="H78" i="40" s="1"/>
  <c r="I78" i="40" s="1"/>
  <c r="J78" i="40" s="1"/>
  <c r="K78" i="40"/>
  <c r="L78" i="40" s="1"/>
  <c r="M78" i="40" s="1"/>
  <c r="R16" i="4"/>
  <c r="P16" i="4"/>
  <c r="D3" i="35"/>
  <c r="G4" i="4"/>
  <c r="J16" i="35"/>
  <c r="W16" i="35" s="1"/>
  <c r="AC26" i="36"/>
  <c r="W25" i="35"/>
  <c r="AZ354" i="3"/>
  <c r="H13" i="39"/>
  <c r="AB13" i="39"/>
  <c r="F13" i="39"/>
  <c r="J13" i="39"/>
  <c r="AC13" i="39" s="1"/>
  <c r="H11" i="37"/>
  <c r="AB11" i="37"/>
  <c r="AA30" i="33"/>
  <c r="AA36" i="37"/>
  <c r="AZ508" i="3"/>
  <c r="AZ524" i="3"/>
  <c r="AZ546" i="3"/>
  <c r="AC10" i="36"/>
  <c r="AC14" i="37"/>
  <c r="W44" i="33"/>
  <c r="AC30" i="33"/>
  <c r="W30" i="33"/>
  <c r="AC29" i="37"/>
  <c r="W32" i="36"/>
  <c r="AC32" i="36"/>
  <c r="U28" i="33"/>
  <c r="AB28" i="33"/>
  <c r="J33" i="34"/>
  <c r="AC33" i="34" s="1"/>
  <c r="J40" i="34"/>
  <c r="W40" i="34" s="1"/>
  <c r="F16" i="35"/>
  <c r="AA16" i="35"/>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c r="S26" i="21"/>
  <c r="H32" i="21"/>
  <c r="U32" i="21" s="1"/>
  <c r="AA33" i="21"/>
  <c r="S33" i="21"/>
  <c r="U39" i="21"/>
  <c r="J32" i="21"/>
  <c r="AC32" i="21" s="1"/>
  <c r="G13" i="3"/>
  <c r="F17" i="21"/>
  <c r="S17" i="21" s="1"/>
  <c r="H17" i="21"/>
  <c r="AB17" i="21" s="1"/>
  <c r="J17" i="21"/>
  <c r="AC17" i="21" s="1"/>
  <c r="F40" i="21"/>
  <c r="S40" i="21" s="1"/>
  <c r="H40" i="21"/>
  <c r="AB40" i="21" s="1"/>
  <c r="AA8" i="33"/>
  <c r="AC8" i="33"/>
  <c r="H66" i="33"/>
  <c r="F10" i="33"/>
  <c r="AA10" i="33" s="1"/>
  <c r="F11" i="33"/>
  <c r="S11" i="33" s="1"/>
  <c r="J15" i="33"/>
  <c r="W15"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c r="F19" i="39"/>
  <c r="S19" i="39"/>
  <c r="H19" i="39"/>
  <c r="J19" i="39"/>
  <c r="W19" i="39" s="1"/>
  <c r="F43" i="39"/>
  <c r="H43" i="39"/>
  <c r="U43" i="39" s="1"/>
  <c r="J43" i="39"/>
  <c r="F99" i="37"/>
  <c r="AC27" i="37"/>
  <c r="U25" i="35"/>
  <c r="AC40" i="37"/>
  <c r="W40" i="37"/>
  <c r="W27" i="33"/>
  <c r="AC45" i="21"/>
  <c r="S28" i="33"/>
  <c r="AB29" i="35"/>
  <c r="AC34" i="37"/>
  <c r="S35" i="37"/>
  <c r="AA35" i="37"/>
  <c r="AB10" i="35"/>
  <c r="S32" i="21"/>
  <c r="AB34" i="21"/>
  <c r="BA571" i="3"/>
  <c r="AZ571" i="3" s="1"/>
  <c r="AZ570" i="3"/>
  <c r="F42" i="21"/>
  <c r="AA42" i="21" s="1"/>
  <c r="AB40" i="33"/>
  <c r="S35" i="34"/>
  <c r="E90" i="34"/>
  <c r="F90" i="34" s="1"/>
  <c r="G90" i="34" s="1"/>
  <c r="H90" i="34" s="1"/>
  <c r="I90" i="34" s="1"/>
  <c r="J90" i="34" s="1"/>
  <c r="K90" i="34" s="1"/>
  <c r="L90" i="34" s="1"/>
  <c r="M90" i="34" s="1"/>
  <c r="H27" i="34"/>
  <c r="AB27" i="34"/>
  <c r="AB8" i="35"/>
  <c r="U8" i="35"/>
  <c r="S9" i="35"/>
  <c r="J14" i="35"/>
  <c r="AC14" i="35"/>
  <c r="F14" i="35"/>
  <c r="H14" i="35"/>
  <c r="U14" i="35"/>
  <c r="E80" i="35"/>
  <c r="E94" i="35"/>
  <c r="F94" i="35" s="1"/>
  <c r="G94" i="35" s="1"/>
  <c r="H94" i="35" s="1"/>
  <c r="I94" i="35" s="1"/>
  <c r="J94" i="35" s="1"/>
  <c r="K94" i="35" s="1"/>
  <c r="L94" i="35" s="1"/>
  <c r="M94" i="35" s="1"/>
  <c r="J32" i="35"/>
  <c r="AC32" i="35"/>
  <c r="H11" i="36"/>
  <c r="AB11" i="36"/>
  <c r="F11" i="36"/>
  <c r="S11" i="36" s="1"/>
  <c r="W16" i="36"/>
  <c r="AC16" i="36"/>
  <c r="E78" i="36"/>
  <c r="F78" i="36"/>
  <c r="G78" i="36"/>
  <c r="H78" i="36" s="1"/>
  <c r="I78" i="36" s="1"/>
  <c r="J78" i="36"/>
  <c r="K78" i="36"/>
  <c r="L78" i="36" s="1"/>
  <c r="M78" i="36" s="1"/>
  <c r="F26" i="36"/>
  <c r="S26" i="36" s="1"/>
  <c r="U34" i="36"/>
  <c r="H33" i="36"/>
  <c r="U33" i="36"/>
  <c r="F33" i="36"/>
  <c r="AA33" i="36"/>
  <c r="H27" i="36"/>
  <c r="AB27" i="36" s="1"/>
  <c r="AA31" i="36"/>
  <c r="AC25" i="37"/>
  <c r="AC26" i="37"/>
  <c r="W26" i="37"/>
  <c r="AB29" i="37"/>
  <c r="AA30" i="37"/>
  <c r="S30" i="37"/>
  <c r="AC30" i="37"/>
  <c r="AC31" i="37"/>
  <c r="W31" i="37"/>
  <c r="AB14" i="37"/>
  <c r="F17" i="39"/>
  <c r="AA17" i="39" s="1"/>
  <c r="H17" i="39"/>
  <c r="AB17" i="39" s="1"/>
  <c r="J17" i="39"/>
  <c r="W17" i="39"/>
  <c r="F21" i="39"/>
  <c r="S21" i="39" s="1"/>
  <c r="H21" i="39"/>
  <c r="U21" i="39" s="1"/>
  <c r="J21" i="39"/>
  <c r="W21" i="39"/>
  <c r="F33" i="39"/>
  <c r="H33" i="39"/>
  <c r="U33" i="39" s="1"/>
  <c r="J33" i="39"/>
  <c r="F44" i="39"/>
  <c r="S44" i="39" s="1"/>
  <c r="H44" i="39"/>
  <c r="U44" i="39" s="1"/>
  <c r="J44" i="39"/>
  <c r="W44" i="39"/>
  <c r="E128" i="39"/>
  <c r="F128" i="39"/>
  <c r="G128" i="39"/>
  <c r="H128" i="39"/>
  <c r="I128" i="39" s="1"/>
  <c r="J128" i="39"/>
  <c r="K128" i="39" s="1"/>
  <c r="L128" i="39" s="1"/>
  <c r="M128" i="39" s="1"/>
  <c r="F46" i="39"/>
  <c r="S46" i="39" s="1"/>
  <c r="H46" i="39"/>
  <c r="U46" i="39" s="1"/>
  <c r="J46" i="39"/>
  <c r="W46" i="39"/>
  <c r="F29" i="39"/>
  <c r="AA29" i="39" s="1"/>
  <c r="E103" i="39"/>
  <c r="F103" i="39"/>
  <c r="G103" i="39" s="1"/>
  <c r="H29" i="39"/>
  <c r="U29" i="39" s="1"/>
  <c r="F34" i="39"/>
  <c r="AA34" i="39"/>
  <c r="H34" i="39"/>
  <c r="AB34" i="39"/>
  <c r="J34" i="39"/>
  <c r="AC34" i="39" s="1"/>
  <c r="F39" i="39"/>
  <c r="H39" i="39"/>
  <c r="AB39" i="39" s="1"/>
  <c r="J39" i="39"/>
  <c r="J29" i="35"/>
  <c r="AC29" i="35" s="1"/>
  <c r="F29" i="35"/>
  <c r="S29" i="35"/>
  <c r="W30" i="36"/>
  <c r="AC30" i="36"/>
  <c r="F37" i="39"/>
  <c r="S37" i="39" s="1"/>
  <c r="H37" i="39"/>
  <c r="U37" i="39"/>
  <c r="J37" i="39"/>
  <c r="W37" i="39" s="1"/>
  <c r="BL568" i="3"/>
  <c r="AZ568" i="3" s="1"/>
  <c r="BA568" i="3"/>
  <c r="BL567" i="3"/>
  <c r="AZ567" i="3" s="1"/>
  <c r="BA567" i="3"/>
  <c r="BL566" i="3"/>
  <c r="AZ566" i="3" s="1"/>
  <c r="BL565" i="3"/>
  <c r="AZ565" i="3"/>
  <c r="BA564" i="3"/>
  <c r="AZ564" i="3" s="1"/>
  <c r="BA563" i="3"/>
  <c r="AZ563" i="3" s="1"/>
  <c r="AZ554" i="3"/>
  <c r="BA553" i="3"/>
  <c r="BA552" i="3"/>
  <c r="AZ552" i="3" s="1"/>
  <c r="BL549" i="3"/>
  <c r="BA549" i="3"/>
  <c r="AZ549" i="3" s="1"/>
  <c r="BL548" i="3"/>
  <c r="AZ548" i="3" s="1"/>
  <c r="BA548" i="3"/>
  <c r="BL547" i="3"/>
  <c r="BA547" i="3"/>
  <c r="BL539" i="3"/>
  <c r="BA539" i="3"/>
  <c r="AZ539" i="3" s="1"/>
  <c r="BA538" i="3"/>
  <c r="AZ538" i="3"/>
  <c r="BL537" i="3"/>
  <c r="BA537" i="3"/>
  <c r="BL536" i="3"/>
  <c r="AZ536" i="3" s="1"/>
  <c r="BA535" i="3"/>
  <c r="AZ535" i="3"/>
  <c r="BA534" i="3"/>
  <c r="BA533" i="3"/>
  <c r="AZ533" i="3" s="1"/>
  <c r="BL531" i="3"/>
  <c r="AZ531" i="3"/>
  <c r="BL530" i="3"/>
  <c r="BA530" i="3"/>
  <c r="AZ530" i="3" s="1"/>
  <c r="BL529" i="3"/>
  <c r="AZ529" i="3" s="1"/>
  <c r="BA529" i="3"/>
  <c r="BL528" i="3"/>
  <c r="AZ528" i="3"/>
  <c r="BA527" i="3"/>
  <c r="BA526" i="3"/>
  <c r="BA525" i="3"/>
  <c r="AZ525" i="3"/>
  <c r="BL523" i="3"/>
  <c r="BA523" i="3"/>
  <c r="AZ523" i="3"/>
  <c r="BL522" i="3"/>
  <c r="AZ522" i="3" s="1"/>
  <c r="BA522" i="3"/>
  <c r="BL521" i="3"/>
  <c r="BA519" i="3"/>
  <c r="AZ519" i="3" s="1"/>
  <c r="BL518" i="3"/>
  <c r="BA518" i="3"/>
  <c r="AZ518" i="3"/>
  <c r="BL517" i="3"/>
  <c r="BA517" i="3"/>
  <c r="AZ517" i="3" s="1"/>
  <c r="BL515" i="3"/>
  <c r="BA515" i="3"/>
  <c r="BA514" i="3"/>
  <c r="BL513" i="3"/>
  <c r="AZ513" i="3" s="1"/>
  <c r="BA513" i="3"/>
  <c r="BL512" i="3"/>
  <c r="AZ512" i="3"/>
  <c r="BA511" i="3"/>
  <c r="BA510" i="3"/>
  <c r="AZ510" i="3" s="1"/>
  <c r="BL509" i="3"/>
  <c r="BL507" i="3"/>
  <c r="BA507" i="3"/>
  <c r="AZ507" i="3" s="1"/>
  <c r="BL506" i="3"/>
  <c r="BA506" i="3"/>
  <c r="AZ506" i="3" s="1"/>
  <c r="BL505" i="3"/>
  <c r="BL504" i="3"/>
  <c r="AZ504" i="3" s="1"/>
  <c r="BA504" i="3"/>
  <c r="BA503" i="3"/>
  <c r="AZ503" i="3" s="1"/>
  <c r="BA500" i="3"/>
  <c r="AZ500" i="3"/>
  <c r="BL499" i="3"/>
  <c r="BA499" i="3"/>
  <c r="AZ499" i="3"/>
  <c r="BL498" i="3"/>
  <c r="AZ498" i="3" s="1"/>
  <c r="BL497" i="3"/>
  <c r="BA497" i="3"/>
  <c r="AZ497" i="3" s="1"/>
  <c r="BA496" i="3"/>
  <c r="AZ496" i="3" s="1"/>
  <c r="BA495" i="3"/>
  <c r="AZ495" i="3"/>
  <c r="BA494" i="3"/>
  <c r="AZ494" i="3"/>
  <c r="G494" i="3"/>
  <c r="BA491" i="3"/>
  <c r="BL490" i="3"/>
  <c r="BA490" i="3"/>
  <c r="AZ490" i="3"/>
  <c r="BL489" i="3"/>
  <c r="BA489" i="3"/>
  <c r="AZ489" i="3"/>
  <c r="BL487" i="3"/>
  <c r="BL486" i="3"/>
  <c r="BA486" i="3"/>
  <c r="BA485" i="3"/>
  <c r="AZ485" i="3"/>
  <c r="BA483" i="3"/>
  <c r="AZ483" i="3" s="1"/>
  <c r="BA482" i="3"/>
  <c r="AZ482" i="3" s="1"/>
  <c r="BL481" i="3"/>
  <c r="BJ5" i="3"/>
  <c r="BA481" i="3"/>
  <c r="AZ481" i="3"/>
  <c r="BB5" i="3"/>
  <c r="BL19" i="3"/>
  <c r="AZ19" i="3"/>
  <c r="BA18" i="3"/>
  <c r="F114" i="34"/>
  <c r="G114" i="34" s="1"/>
  <c r="H114" i="34" s="1"/>
  <c r="I114" i="34" s="1"/>
  <c r="J114" i="34" s="1"/>
  <c r="K114" i="34" s="1"/>
  <c r="L114" i="34" s="1"/>
  <c r="M114" i="34" s="1"/>
  <c r="H38" i="34"/>
  <c r="U38" i="34" s="1"/>
  <c r="H30" i="40"/>
  <c r="AB30" i="40"/>
  <c r="J30" i="40"/>
  <c r="AC30" i="40"/>
  <c r="F38" i="40"/>
  <c r="AA38" i="40"/>
  <c r="S35" i="21"/>
  <c r="AB8" i="21"/>
  <c r="U8" i="33"/>
  <c r="E106" i="33"/>
  <c r="H34" i="33"/>
  <c r="U34" i="33" s="1"/>
  <c r="F34" i="33"/>
  <c r="S34" i="33" s="1"/>
  <c r="E121" i="33"/>
  <c r="F41" i="33"/>
  <c r="AA41" i="33" s="1"/>
  <c r="AC34" i="34"/>
  <c r="W34" i="34"/>
  <c r="S39" i="34"/>
  <c r="E78" i="34"/>
  <c r="F15" i="34" s="1"/>
  <c r="S15" i="34" s="1"/>
  <c r="AC28" i="35"/>
  <c r="W28" i="35"/>
  <c r="J20" i="35"/>
  <c r="AC20" i="35"/>
  <c r="E72" i="35"/>
  <c r="F72" i="35" s="1"/>
  <c r="G72" i="35" s="1"/>
  <c r="H22" i="35"/>
  <c r="AB22" i="35"/>
  <c r="H23" i="35"/>
  <c r="F23" i="35"/>
  <c r="AA23" i="35" s="1"/>
  <c r="W12" i="36"/>
  <c r="AC12" i="36"/>
  <c r="U31" i="36"/>
  <c r="S8" i="37"/>
  <c r="AA8" i="37"/>
  <c r="F14" i="39"/>
  <c r="AA14" i="39"/>
  <c r="H14" i="39"/>
  <c r="AB14" i="39"/>
  <c r="J14" i="39"/>
  <c r="AC14" i="39" s="1"/>
  <c r="F16" i="39"/>
  <c r="AA16" i="39" s="1"/>
  <c r="H16" i="39"/>
  <c r="U16" i="39" s="1"/>
  <c r="J16" i="39"/>
  <c r="AC16" i="39"/>
  <c r="F23" i="39"/>
  <c r="AA23" i="39" s="1"/>
  <c r="E97" i="39"/>
  <c r="F27" i="39"/>
  <c r="AA27" i="39" s="1"/>
  <c r="H27" i="39"/>
  <c r="AB27" i="39"/>
  <c r="J27" i="39"/>
  <c r="AC27" i="39"/>
  <c r="F15" i="40"/>
  <c r="AA15" i="40" s="1"/>
  <c r="J15" i="40"/>
  <c r="H15" i="40"/>
  <c r="AB15" i="40"/>
  <c r="E92" i="40"/>
  <c r="F92" i="40"/>
  <c r="H23" i="40"/>
  <c r="U23" i="40"/>
  <c r="H41" i="40"/>
  <c r="F41" i="40"/>
  <c r="AA41" i="40"/>
  <c r="J41" i="40"/>
  <c r="F15" i="39"/>
  <c r="AA15" i="39"/>
  <c r="H15" i="39"/>
  <c r="U15" i="39" s="1"/>
  <c r="J15" i="39"/>
  <c r="AC15" i="39" s="1"/>
  <c r="H25" i="39"/>
  <c r="U25" i="39" s="1"/>
  <c r="J25" i="39"/>
  <c r="AC25" i="39" s="1"/>
  <c r="F25" i="39"/>
  <c r="AA25" i="39"/>
  <c r="F45" i="39"/>
  <c r="AA45" i="39" s="1"/>
  <c r="H45" i="39"/>
  <c r="U45" i="39" s="1"/>
  <c r="J45" i="39"/>
  <c r="AC45" i="39" s="1"/>
  <c r="F47" i="39"/>
  <c r="AA47" i="39"/>
  <c r="H47" i="39"/>
  <c r="AB47" i="39"/>
  <c r="J47" i="39"/>
  <c r="W47" i="39"/>
  <c r="F41" i="39"/>
  <c r="AA41" i="39" s="1"/>
  <c r="H41" i="39"/>
  <c r="AB41" i="39"/>
  <c r="J41" i="39"/>
  <c r="AC41" i="39" s="1"/>
  <c r="E94" i="40"/>
  <c r="J25" i="40"/>
  <c r="AC25" i="40" s="1"/>
  <c r="J32" i="40"/>
  <c r="H32" i="40"/>
  <c r="U32" i="40"/>
  <c r="H33" i="40"/>
  <c r="AB33" i="40" s="1"/>
  <c r="F33" i="40"/>
  <c r="S33" i="40" s="1"/>
  <c r="AA33" i="40"/>
  <c r="J33" i="40"/>
  <c r="AC33" i="40" s="1"/>
  <c r="H35" i="40"/>
  <c r="F35" i="40"/>
  <c r="J35" i="40"/>
  <c r="W35" i="40" s="1"/>
  <c r="AC35" i="40"/>
  <c r="J38" i="39"/>
  <c r="W38" i="39" s="1"/>
  <c r="H38" i="39"/>
  <c r="U38" i="39"/>
  <c r="J16" i="40"/>
  <c r="W16" i="40" s="1"/>
  <c r="J14" i="40"/>
  <c r="H42" i="40"/>
  <c r="U42" i="40" s="1"/>
  <c r="H40" i="40"/>
  <c r="U40" i="40"/>
  <c r="H34" i="40"/>
  <c r="AB34" i="40" s="1"/>
  <c r="AZ391" i="3"/>
  <c r="AZ399" i="3"/>
  <c r="AZ403" i="3"/>
  <c r="AZ407" i="3"/>
  <c r="AZ415" i="3"/>
  <c r="AZ423" i="3"/>
  <c r="AZ431" i="3"/>
  <c r="AZ439" i="3"/>
  <c r="AZ454" i="3"/>
  <c r="B41" i="1"/>
  <c r="D86" i="9" s="1"/>
  <c r="J42" i="40"/>
  <c r="AC42" i="40" s="1"/>
  <c r="J40" i="40"/>
  <c r="AC40" i="40"/>
  <c r="J34" i="40"/>
  <c r="AC34" i="40" s="1"/>
  <c r="H16" i="40"/>
  <c r="AB16" i="40"/>
  <c r="H14" i="40"/>
  <c r="AB14" i="40" s="1"/>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388" i="3"/>
  <c r="AZ215" i="3"/>
  <c r="AZ223" i="3"/>
  <c r="AZ228" i="3"/>
  <c r="AZ239" i="3"/>
  <c r="AZ247" i="3"/>
  <c r="AZ252" i="3"/>
  <c r="AZ260" i="3"/>
  <c r="AZ276" i="3"/>
  <c r="AZ281" i="3"/>
  <c r="AZ289" i="3"/>
  <c r="AZ124" i="3"/>
  <c r="AZ137" i="3"/>
  <c r="AZ140" i="3"/>
  <c r="AZ152" i="3"/>
  <c r="M7" i="46"/>
  <c r="M11" i="46"/>
  <c r="N3" i="46"/>
  <c r="N6" i="46"/>
  <c r="N10" i="46"/>
  <c r="AZ164" i="3"/>
  <c r="AZ167" i="3"/>
  <c r="AZ177" i="3"/>
  <c r="AZ180" i="3"/>
  <c r="AZ24" i="3"/>
  <c r="AZ32" i="3"/>
  <c r="AZ56" i="3"/>
  <c r="AZ79" i="3"/>
  <c r="AZ107" i="3"/>
  <c r="J13" i="40"/>
  <c r="AC13" i="40" s="1"/>
  <c r="W13" i="40"/>
  <c r="W40" i="40"/>
  <c r="AB32" i="40"/>
  <c r="AC47" i="39"/>
  <c r="S47" i="39"/>
  <c r="AC41" i="40"/>
  <c r="W41" i="40"/>
  <c r="J23" i="40"/>
  <c r="AC23" i="40"/>
  <c r="G92" i="40"/>
  <c r="F23" i="40"/>
  <c r="S23" i="40" s="1"/>
  <c r="AC15" i="40"/>
  <c r="W15" i="40"/>
  <c r="W27" i="39"/>
  <c r="AB16" i="39"/>
  <c r="W14" i="39"/>
  <c r="U23" i="35"/>
  <c r="AB23" i="35"/>
  <c r="H20" i="35"/>
  <c r="F20" i="35"/>
  <c r="S20" i="35" s="1"/>
  <c r="F78" i="34"/>
  <c r="G78" i="34" s="1"/>
  <c r="J15" i="34"/>
  <c r="AC15" i="34" s="1"/>
  <c r="H41" i="33"/>
  <c r="U41" i="33" s="1"/>
  <c r="F121" i="33"/>
  <c r="G121" i="33" s="1"/>
  <c r="H121" i="33" s="1"/>
  <c r="I121" i="33" s="1"/>
  <c r="J121" i="33" s="1"/>
  <c r="K121" i="33" s="1"/>
  <c r="L121" i="33" s="1"/>
  <c r="M121" i="33" s="1"/>
  <c r="F30" i="40"/>
  <c r="AA30" i="40" s="1"/>
  <c r="H100" i="40"/>
  <c r="I100" i="40"/>
  <c r="J100" i="40"/>
  <c r="K100" i="40" s="1"/>
  <c r="L100" i="40" s="1"/>
  <c r="M100" i="40" s="1"/>
  <c r="AB38" i="34"/>
  <c r="AZ486" i="3"/>
  <c r="AZ515" i="3"/>
  <c r="AZ537" i="3"/>
  <c r="AZ547" i="3"/>
  <c r="AB37" i="39"/>
  <c r="AA29" i="35"/>
  <c r="U39" i="39"/>
  <c r="J29" i="39"/>
  <c r="AC29" i="39"/>
  <c r="AB21" i="39"/>
  <c r="AB33" i="36"/>
  <c r="AA11" i="36"/>
  <c r="AA14" i="35"/>
  <c r="S14" i="35"/>
  <c r="G99" i="37"/>
  <c r="H99" i="37" s="1"/>
  <c r="I99" i="37" s="1"/>
  <c r="J99" i="37" s="1"/>
  <c r="K99" i="37" s="1"/>
  <c r="L99" i="37" s="1"/>
  <c r="M99" i="37" s="1"/>
  <c r="F33" i="37"/>
  <c r="AB19" i="39"/>
  <c r="U19" i="39"/>
  <c r="U29" i="33"/>
  <c r="AC13" i="33"/>
  <c r="AA11" i="34"/>
  <c r="H15" i="33"/>
  <c r="U15" i="33" s="1"/>
  <c r="AA11" i="33"/>
  <c r="S13" i="39"/>
  <c r="AA13" i="39"/>
  <c r="U16" i="40"/>
  <c r="W34" i="40"/>
  <c r="AB42" i="40"/>
  <c r="AC16" i="40"/>
  <c r="H25" i="40"/>
  <c r="AB25" i="40"/>
  <c r="F94" i="40"/>
  <c r="G94" i="40"/>
  <c r="U47" i="39"/>
  <c r="S41" i="40"/>
  <c r="AB23" i="40"/>
  <c r="U27" i="39"/>
  <c r="H23" i="39"/>
  <c r="AB23" i="39" s="1"/>
  <c r="J23" i="39"/>
  <c r="AC23" i="39" s="1"/>
  <c r="F97" i="39"/>
  <c r="G97" i="39"/>
  <c r="S16" i="39"/>
  <c r="AA15" i="34"/>
  <c r="F106" i="33"/>
  <c r="G106" i="33" s="1"/>
  <c r="H106" i="33" s="1"/>
  <c r="I106" i="33" s="1"/>
  <c r="J106" i="33" s="1"/>
  <c r="K106" i="33" s="1"/>
  <c r="L106" i="33" s="1"/>
  <c r="M106" i="33" s="1"/>
  <c r="J34" i="33"/>
  <c r="AC34" i="33" s="1"/>
  <c r="U30" i="40"/>
  <c r="AA37" i="39"/>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27" i="34"/>
  <c r="S27" i="34"/>
  <c r="AC43" i="39"/>
  <c r="W43" i="39"/>
  <c r="AA43" i="39"/>
  <c r="S43" i="39"/>
  <c r="AA19" i="39"/>
  <c r="G96" i="37"/>
  <c r="H96" i="37"/>
  <c r="I96" i="37"/>
  <c r="J96" i="37"/>
  <c r="K96" i="37" s="1"/>
  <c r="L96" i="37" s="1"/>
  <c r="M96" i="37" s="1"/>
  <c r="F32" i="37"/>
  <c r="S32" i="37"/>
  <c r="U11" i="35"/>
  <c r="AB11" i="35"/>
  <c r="U32" i="34"/>
  <c r="AB13" i="33"/>
  <c r="F17" i="34"/>
  <c r="AA17" i="34" s="1"/>
  <c r="J17" i="34"/>
  <c r="AC17" i="34" s="1"/>
  <c r="H11" i="34"/>
  <c r="J35" i="33"/>
  <c r="W35" i="33" s="1"/>
  <c r="AC15" i="33"/>
  <c r="H11" i="33"/>
  <c r="U11" i="33" s="1"/>
  <c r="H10" i="33"/>
  <c r="U10" i="33" s="1"/>
  <c r="I66" i="33"/>
  <c r="J10" i="33"/>
  <c r="AC10" i="33" s="1"/>
  <c r="U11" i="37"/>
  <c r="U13" i="39"/>
  <c r="J11" i="34"/>
  <c r="W11" i="34" s="1"/>
  <c r="F25" i="40"/>
  <c r="AA25" i="40"/>
  <c r="J11" i="33"/>
  <c r="W11" i="33" s="1"/>
  <c r="H33" i="37"/>
  <c r="AB33" i="37" s="1"/>
  <c r="U20" i="35"/>
  <c r="AB20" i="35"/>
  <c r="W23" i="40"/>
  <c r="AP11" i="1"/>
  <c r="B11" i="1"/>
  <c r="E11" i="1"/>
  <c r="K11" i="1"/>
  <c r="M11" i="1" s="1"/>
  <c r="O11" i="1" s="1"/>
  <c r="P11" i="1" s="1"/>
  <c r="B9" i="1"/>
  <c r="E9" i="1" s="1"/>
  <c r="K9" i="1"/>
  <c r="M9" i="1" s="1"/>
  <c r="B7" i="1"/>
  <c r="E7" i="1"/>
  <c r="K7" i="1"/>
  <c r="M7" i="1" s="1"/>
  <c r="O7" i="1" s="1"/>
  <c r="P7" i="1" s="1"/>
  <c r="C20" i="43"/>
  <c r="F6" i="1"/>
  <c r="AP6" i="1" s="1"/>
  <c r="G11" i="1"/>
  <c r="M22" i="44"/>
  <c r="AC25" i="36"/>
  <c r="S23" i="36"/>
  <c r="S8" i="36"/>
  <c r="AA26" i="36"/>
  <c r="AA28" i="36"/>
  <c r="U25" i="36"/>
  <c r="H20" i="36"/>
  <c r="U20" i="36"/>
  <c r="F68" i="36"/>
  <c r="G68" i="36" s="1"/>
  <c r="J20" i="36"/>
  <c r="F20" i="36"/>
  <c r="S20" i="36"/>
  <c r="F62" i="36"/>
  <c r="G62" i="36" s="1"/>
  <c r="J14" i="36"/>
  <c r="H14" i="36"/>
  <c r="F14" i="36"/>
  <c r="AA14" i="36"/>
  <c r="U32" i="36"/>
  <c r="U9" i="36"/>
  <c r="S33" i="36"/>
  <c r="AA27" i="36"/>
  <c r="S16" i="36"/>
  <c r="S29" i="36"/>
  <c r="AC33" i="35"/>
  <c r="U22" i="35"/>
  <c r="AA13" i="35"/>
  <c r="AC9" i="35"/>
  <c r="S8" i="35"/>
  <c r="U33" i="35"/>
  <c r="W20" i="35"/>
  <c r="S23" i="35"/>
  <c r="S16" i="35"/>
  <c r="AB14" i="35"/>
  <c r="AC10" i="35"/>
  <c r="W13" i="35"/>
  <c r="AC18" i="35"/>
  <c r="W18" i="35"/>
  <c r="U18" i="35"/>
  <c r="AB18" i="35"/>
  <c r="S30" i="35"/>
  <c r="AB30" i="35"/>
  <c r="S27" i="35"/>
  <c r="S28" i="35"/>
  <c r="J26" i="35"/>
  <c r="F26" i="35"/>
  <c r="AA26" i="35" s="1"/>
  <c r="H26" i="35"/>
  <c r="AB9" i="37"/>
  <c r="W12" i="37"/>
  <c r="AA9" i="37"/>
  <c r="S17" i="37"/>
  <c r="W28" i="37"/>
  <c r="AB37" i="37"/>
  <c r="AA31" i="37"/>
  <c r="S33" i="37"/>
  <c r="AA33" i="37"/>
  <c r="U32" i="37"/>
  <c r="AA32" i="37"/>
  <c r="J33" i="37"/>
  <c r="W33" i="37" s="1"/>
  <c r="S29" i="37"/>
  <c r="J19" i="37"/>
  <c r="AC19" i="37" s="1"/>
  <c r="G75" i="37"/>
  <c r="F19" i="37"/>
  <c r="AA19" i="37" s="1"/>
  <c r="H19" i="37"/>
  <c r="J17" i="37"/>
  <c r="S15" i="37"/>
  <c r="AC21" i="37"/>
  <c r="W21" i="37"/>
  <c r="AC11" i="37"/>
  <c r="AC9" i="37"/>
  <c r="W32" i="37"/>
  <c r="U35" i="37"/>
  <c r="U8" i="37"/>
  <c r="AB25" i="37"/>
  <c r="AB21" i="37"/>
  <c r="U21" i="37"/>
  <c r="S37" i="37"/>
  <c r="S40" i="37"/>
  <c r="AA11" i="37"/>
  <c r="S10" i="37"/>
  <c r="U30" i="34"/>
  <c r="AB33" i="34"/>
  <c r="AA30" i="34"/>
  <c r="U34" i="34"/>
  <c r="AA27" i="34"/>
  <c r="J25" i="34"/>
  <c r="H25" i="34"/>
  <c r="F25" i="34"/>
  <c r="AA25" i="34" s="1"/>
  <c r="W29" i="34"/>
  <c r="AC21" i="34"/>
  <c r="W21" i="34"/>
  <c r="AB21" i="34"/>
  <c r="U21" i="34"/>
  <c r="U27" i="34"/>
  <c r="S13" i="34"/>
  <c r="AA41" i="34"/>
  <c r="U39" i="33"/>
  <c r="U37" i="33"/>
  <c r="AC12" i="33"/>
  <c r="W31" i="33"/>
  <c r="U46" i="33"/>
  <c r="W39" i="33"/>
  <c r="AB26" i="33"/>
  <c r="H25" i="33"/>
  <c r="AB25" i="33" s="1"/>
  <c r="J25" i="33"/>
  <c r="W25" i="33" s="1"/>
  <c r="F87" i="33"/>
  <c r="G87" i="33"/>
  <c r="H87" i="33" s="1"/>
  <c r="I87" i="33" s="1"/>
  <c r="J87" i="33" s="1"/>
  <c r="K87" i="33" s="1"/>
  <c r="L87" i="33" s="1"/>
  <c r="M87" i="33" s="1"/>
  <c r="F25" i="33"/>
  <c r="S25" i="33" s="1"/>
  <c r="J23" i="33"/>
  <c r="W23" i="33" s="1"/>
  <c r="F23" i="33"/>
  <c r="AA23" i="33" s="1"/>
  <c r="H23" i="33"/>
  <c r="U23" i="33" s="1"/>
  <c r="F17" i="33"/>
  <c r="S17" i="33" s="1"/>
  <c r="H17" i="33"/>
  <c r="U17" i="33" s="1"/>
  <c r="J17" i="33"/>
  <c r="AC17" i="33" s="1"/>
  <c r="AC11" i="33"/>
  <c r="S14" i="33"/>
  <c r="AC21" i="33"/>
  <c r="W21" i="33"/>
  <c r="W14" i="33"/>
  <c r="AB21" i="33"/>
  <c r="U21" i="33"/>
  <c r="AA21" i="33"/>
  <c r="S21" i="33"/>
  <c r="W39" i="21"/>
  <c r="U35" i="21"/>
  <c r="W28" i="21"/>
  <c r="AC46" i="21"/>
  <c r="AC26" i="21"/>
  <c r="F85" i="21"/>
  <c r="G85" i="21" s="1"/>
  <c r="J23" i="21"/>
  <c r="W23" i="21" s="1"/>
  <c r="F23" i="21"/>
  <c r="AA23" i="21" s="1"/>
  <c r="H23" i="21"/>
  <c r="AB23" i="21" s="1"/>
  <c r="F15" i="21"/>
  <c r="S15" i="21" s="1"/>
  <c r="J15" i="21"/>
  <c r="AC15" i="21" s="1"/>
  <c r="H15" i="21"/>
  <c r="U15" i="21" s="1"/>
  <c r="AC11" i="21"/>
  <c r="AB11" i="21"/>
  <c r="W13" i="21"/>
  <c r="AA11" i="21"/>
  <c r="AC21" i="21"/>
  <c r="W21" i="21"/>
  <c r="W10" i="21"/>
  <c r="AC38" i="21"/>
  <c r="AB21" i="21"/>
  <c r="U21" i="21"/>
  <c r="AB29" i="21"/>
  <c r="AA30" i="21"/>
  <c r="AA31" i="21"/>
  <c r="W33" i="40"/>
  <c r="U33" i="40"/>
  <c r="U15" i="40"/>
  <c r="S14" i="40"/>
  <c r="S15" i="40"/>
  <c r="AB13" i="40"/>
  <c r="S16" i="40"/>
  <c r="W11" i="40"/>
  <c r="AA21" i="40"/>
  <c r="U21" i="40"/>
  <c r="U25" i="40"/>
  <c r="W42" i="40"/>
  <c r="F37" i="40"/>
  <c r="J37" i="40"/>
  <c r="AC37" i="40"/>
  <c r="H37" i="40"/>
  <c r="AB37" i="40" s="1"/>
  <c r="G113" i="40"/>
  <c r="H113" i="40" s="1"/>
  <c r="I113" i="40" s="1"/>
  <c r="J113" i="40" s="1"/>
  <c r="K113" i="40" s="1"/>
  <c r="L113" i="40" s="1"/>
  <c r="M113" i="40" s="1"/>
  <c r="F39" i="40"/>
  <c r="S38" i="40"/>
  <c r="H39" i="40"/>
  <c r="J39" i="40"/>
  <c r="W38" i="40"/>
  <c r="F29" i="40"/>
  <c r="H29" i="40"/>
  <c r="AB29" i="40" s="1"/>
  <c r="J29" i="40"/>
  <c r="F98" i="40"/>
  <c r="G98" i="40"/>
  <c r="H98" i="40"/>
  <c r="I98" i="40" s="1"/>
  <c r="J98" i="40" s="1"/>
  <c r="K98" i="40" s="1"/>
  <c r="L98" i="40" s="1"/>
  <c r="M98" i="40" s="1"/>
  <c r="S30" i="40"/>
  <c r="S25" i="40"/>
  <c r="AA23" i="40"/>
  <c r="F88" i="40"/>
  <c r="G88" i="40"/>
  <c r="F19" i="40"/>
  <c r="S19" i="40" s="1"/>
  <c r="H19" i="40"/>
  <c r="J19" i="40"/>
  <c r="AC19" i="40" s="1"/>
  <c r="W17" i="40"/>
  <c r="AC17" i="40"/>
  <c r="F17" i="40"/>
  <c r="AA17" i="40"/>
  <c r="H17" i="40"/>
  <c r="U17" i="40" s="1"/>
  <c r="W21" i="40"/>
  <c r="AB40" i="40"/>
  <c r="U10" i="40"/>
  <c r="U27" i="40"/>
  <c r="AB27" i="40"/>
  <c r="AC44" i="39"/>
  <c r="W13" i="39"/>
  <c r="S11" i="39"/>
  <c r="AB45" i="39"/>
  <c r="AA21" i="39"/>
  <c r="AC19" i="39"/>
  <c r="AC38" i="39"/>
  <c r="W29" i="39"/>
  <c r="S29" i="39"/>
  <c r="AC21" i="39"/>
  <c r="AC17" i="39"/>
  <c r="S14" i="39"/>
  <c r="AB15" i="39"/>
  <c r="U11" i="39"/>
  <c r="U41" i="39"/>
  <c r="U23" i="39"/>
  <c r="AB38" i="39"/>
  <c r="U31" i="39"/>
  <c r="AB31" i="39"/>
  <c r="S25" i="39"/>
  <c r="S38" i="39"/>
  <c r="S22" i="31"/>
  <c r="D96" i="9"/>
  <c r="A18" i="64"/>
  <c r="B74" i="63"/>
  <c r="C53" i="10"/>
  <c r="A25" i="64" s="1"/>
  <c r="A18" i="51"/>
  <c r="B14" i="63"/>
  <c r="BA16" i="3"/>
  <c r="BA17" i="3"/>
  <c r="AZ17" i="3" s="1"/>
  <c r="F3" i="35"/>
  <c r="K1" i="43"/>
  <c r="K1" i="12"/>
  <c r="G1" i="44"/>
  <c r="I4" i="6"/>
  <c r="G3" i="46" s="1"/>
  <c r="AZ15" i="3"/>
  <c r="BK5" i="3"/>
  <c r="BO5" i="3"/>
  <c r="BP5" i="3"/>
  <c r="G29" i="6" s="1"/>
  <c r="BN5" i="3"/>
  <c r="BL18" i="3"/>
  <c r="AZ18" i="3" s="1"/>
  <c r="BC5" i="3"/>
  <c r="BD5" i="3"/>
  <c r="BR5" i="3"/>
  <c r="BS5" i="3"/>
  <c r="BQ5" i="3"/>
  <c r="BL16" i="3"/>
  <c r="BM5" i="3"/>
  <c r="F29" i="6" s="1"/>
  <c r="BA13" i="3"/>
  <c r="G28" i="12"/>
  <c r="G22" i="43"/>
  <c r="G26" i="12"/>
  <c r="D24" i="44"/>
  <c r="D26" i="44"/>
  <c r="G27" i="12"/>
  <c r="G23" i="43"/>
  <c r="G21" i="43"/>
  <c r="N8" i="46"/>
  <c r="N4" i="46"/>
  <c r="N1" i="46"/>
  <c r="F69" i="46" s="1"/>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9" i="1"/>
  <c r="G8" i="1"/>
  <c r="L5" i="54"/>
  <c r="B39" i="63" s="1"/>
  <c r="K5" i="54"/>
  <c r="B38" i="63" s="1"/>
  <c r="T41" i="4"/>
  <c r="A17" i="64" s="1"/>
  <c r="B46" i="50"/>
  <c r="B4" i="63"/>
  <c r="C46" i="36"/>
  <c r="C52" i="37"/>
  <c r="D52" i="37" s="1"/>
  <c r="E52" i="37" s="1"/>
  <c r="F52" i="37" s="1"/>
  <c r="G52" i="37" s="1"/>
  <c r="H52" i="37" s="1"/>
  <c r="I52" i="37" s="1"/>
  <c r="J52" i="37" s="1"/>
  <c r="K52" i="37" s="1"/>
  <c r="O19" i="46"/>
  <c r="H86" i="46"/>
  <c r="H82" i="46"/>
  <c r="H10" i="48"/>
  <c r="H87" i="46"/>
  <c r="H85" i="46"/>
  <c r="H83" i="46"/>
  <c r="K10" i="1"/>
  <c r="M10" i="1" s="1"/>
  <c r="O10" i="1" s="1"/>
  <c r="P10" i="1" s="1"/>
  <c r="S11" i="1"/>
  <c r="S13" i="1"/>
  <c r="B6" i="1"/>
  <c r="E6" i="1" s="1"/>
  <c r="B10" i="1"/>
  <c r="E10" i="1" s="1"/>
  <c r="B8" i="1"/>
  <c r="E8" i="1" s="1"/>
  <c r="B12" i="1"/>
  <c r="E12" i="1"/>
  <c r="S12" i="1"/>
  <c r="K6" i="1"/>
  <c r="M6" i="1" s="1"/>
  <c r="G1" i="15"/>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S47" i="34"/>
  <c r="AA29" i="34"/>
  <c r="S8" i="34"/>
  <c r="S43" i="33"/>
  <c r="AB14" i="33"/>
  <c r="S26" i="33"/>
  <c r="AB12" i="33"/>
  <c r="S39" i="21"/>
  <c r="AB45" i="21"/>
  <c r="AA25" i="21"/>
  <c r="AA29" i="21"/>
  <c r="W31" i="21"/>
  <c r="AC27" i="21"/>
  <c r="G96" i="40"/>
  <c r="J27" i="40"/>
  <c r="AC27" i="40" s="1"/>
  <c r="W37" i="40"/>
  <c r="S17" i="40"/>
  <c r="W30" i="40"/>
  <c r="S34" i="40"/>
  <c r="U38" i="40"/>
  <c r="S40" i="40"/>
  <c r="S42" i="40"/>
  <c r="G105"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S26" i="35"/>
  <c r="U26" i="35"/>
  <c r="AB26" i="35"/>
  <c r="W26" i="35"/>
  <c r="AC26" i="35"/>
  <c r="S19" i="37"/>
  <c r="W19" i="37"/>
  <c r="AB19" i="37"/>
  <c r="U19" i="37"/>
  <c r="AC17" i="37"/>
  <c r="W17" i="37"/>
  <c r="U25" i="34"/>
  <c r="AB25" i="34"/>
  <c r="S25" i="34"/>
  <c r="W25" i="34"/>
  <c r="AC25" i="34"/>
  <c r="AB39" i="40"/>
  <c r="U39" i="40"/>
  <c r="AC39" i="40"/>
  <c r="W39" i="40"/>
  <c r="AA39" i="40"/>
  <c r="S39" i="40"/>
  <c r="U37" i="40"/>
  <c r="AA37" i="40"/>
  <c r="S37" i="40"/>
  <c r="AC29" i="40"/>
  <c r="W29" i="40"/>
  <c r="AA29" i="40"/>
  <c r="S29" i="40"/>
  <c r="AA19" i="40"/>
  <c r="AB19" i="40"/>
  <c r="U19" i="40"/>
  <c r="B20" i="31"/>
  <c r="R22" i="31"/>
  <c r="B21" i="31"/>
  <c r="AT6" i="3"/>
  <c r="AZ16" i="3"/>
  <c r="A9" i="64"/>
  <c r="A9" i="51"/>
  <c r="B9" i="63" s="1"/>
  <c r="A3" i="55"/>
  <c r="B56" i="63" s="1"/>
  <c r="E4" i="4"/>
  <c r="B21" i="55" s="1"/>
  <c r="B72" i="63" s="1"/>
  <c r="C4" i="4"/>
  <c r="B20" i="55" s="1"/>
  <c r="B70" i="63" s="1"/>
  <c r="J18" i="36"/>
  <c r="W18" i="36" s="1"/>
  <c r="AG6" i="1"/>
  <c r="L20" i="6"/>
  <c r="C45" i="9"/>
  <c r="H14" i="66"/>
  <c r="B7" i="66" s="1"/>
  <c r="C44" i="9"/>
  <c r="O39" i="9" s="1"/>
  <c r="O40" i="9"/>
  <c r="K31" i="9"/>
  <c r="K32" i="9" s="1"/>
  <c r="R7" i="54"/>
  <c r="B52" i="63" s="1"/>
  <c r="N69" i="9"/>
  <c r="M83" i="9" s="1"/>
  <c r="K29" i="9"/>
  <c r="M86" i="9"/>
  <c r="N86" i="9" s="1"/>
  <c r="M87" i="9"/>
  <c r="N87" i="9" s="1"/>
  <c r="N83" i="9"/>
  <c r="N89" i="9" s="1"/>
  <c r="O89" i="9" s="1"/>
  <c r="K30" i="9"/>
  <c r="R6" i="54"/>
  <c r="B50" i="63"/>
  <c r="N76" i="9"/>
  <c r="C46" i="9"/>
  <c r="K33" i="9"/>
  <c r="K34" i="9" s="1"/>
  <c r="O41" i="9"/>
  <c r="I14" i="66"/>
  <c r="B8" i="66" s="1"/>
  <c r="R8" i="54"/>
  <c r="B54" i="63" s="1"/>
  <c r="H58" i="46"/>
  <c r="J17" i="46"/>
  <c r="C17" i="46"/>
  <c r="F34" i="46"/>
  <c r="F38" i="46"/>
  <c r="F37" i="46"/>
  <c r="H113" i="46"/>
  <c r="H49" i="46"/>
  <c r="D15" i="59"/>
  <c r="C14" i="59"/>
  <c r="D14" i="59"/>
  <c r="U12" i="59"/>
  <c r="F15" i="59"/>
  <c r="F14" i="59"/>
  <c r="F13" i="59" s="1"/>
  <c r="F12" i="59" s="1"/>
  <c r="H1" i="65"/>
  <c r="H51" i="46"/>
  <c r="X7" i="46"/>
  <c r="E17" i="46"/>
  <c r="N17" i="46"/>
  <c r="O17" i="46"/>
  <c r="M17" i="46"/>
  <c r="L17" i="46"/>
  <c r="P13" i="1"/>
  <c r="P12" i="1"/>
  <c r="G13" i="1"/>
  <c r="D46" i="36"/>
  <c r="E46" i="36" s="1"/>
  <c r="F46" i="36" s="1"/>
  <c r="G46" i="36" s="1"/>
  <c r="H46" i="36" s="1"/>
  <c r="H50" i="46"/>
  <c r="H48" i="46"/>
  <c r="F35" i="46"/>
  <c r="I17" i="46"/>
  <c r="H63" i="46"/>
  <c r="H64" i="46"/>
  <c r="H66" i="46"/>
  <c r="D100" i="46"/>
  <c r="H62" i="46"/>
  <c r="AF12" i="46"/>
  <c r="K100" i="46"/>
  <c r="AB12" i="46"/>
  <c r="AJ12" i="46"/>
  <c r="H60" i="46"/>
  <c r="H59" i="46"/>
  <c r="H65" i="46"/>
  <c r="E10" i="46"/>
  <c r="E9" i="46"/>
  <c r="C7" i="46" s="1"/>
  <c r="E11" i="46"/>
  <c r="E8" i="46"/>
  <c r="H55" i="46"/>
  <c r="H54" i="46"/>
  <c r="H52" i="46"/>
  <c r="H47" i="46"/>
  <c r="AD12" i="46"/>
  <c r="AH12" i="46"/>
  <c r="C13" i="59"/>
  <c r="B13" i="59"/>
  <c r="B12" i="59" s="1"/>
  <c r="C23" i="46"/>
  <c r="S2" i="46"/>
  <c r="S7" i="46"/>
  <c r="S4" i="46"/>
  <c r="B11" i="67"/>
  <c r="J17" i="44"/>
  <c r="B10" i="67"/>
  <c r="N4" i="65"/>
  <c r="F40" i="44"/>
  <c r="F14" i="67"/>
  <c r="B12" i="67"/>
  <c r="N5" i="65"/>
  <c r="M22" i="15"/>
  <c r="F8" i="67"/>
  <c r="F10" i="67"/>
  <c r="F38" i="44"/>
  <c r="M27" i="15"/>
  <c r="E13" i="67"/>
  <c r="F18" i="44"/>
  <c r="M10" i="44"/>
  <c r="M11" i="44"/>
  <c r="B14" i="67"/>
  <c r="F43" i="15"/>
  <c r="F10" i="44"/>
  <c r="F28" i="44"/>
  <c r="F42" i="15"/>
  <c r="F11" i="44"/>
  <c r="F8" i="15"/>
  <c r="F46" i="44"/>
  <c r="F40" i="15"/>
  <c r="F38" i="15"/>
  <c r="M24" i="44"/>
  <c r="M31" i="44"/>
  <c r="L47" i="15"/>
  <c r="E10" i="67"/>
  <c r="F9" i="67"/>
  <c r="M24" i="15"/>
  <c r="M28" i="44"/>
  <c r="F45" i="44"/>
  <c r="J15" i="15"/>
  <c r="E8" i="67"/>
  <c r="N7" i="65"/>
  <c r="F11" i="67"/>
  <c r="M8" i="44"/>
  <c r="M23" i="15"/>
  <c r="N6" i="65"/>
  <c r="B9" i="67"/>
  <c r="L48" i="44"/>
  <c r="M6" i="15"/>
  <c r="L48" i="15"/>
  <c r="F43" i="44"/>
  <c r="J36" i="15"/>
  <c r="I7" i="65"/>
  <c r="F39" i="44"/>
  <c r="F8" i="44"/>
  <c r="F9" i="44"/>
  <c r="F9" i="15"/>
  <c r="B13" i="67"/>
  <c r="M26" i="44"/>
  <c r="M29" i="15"/>
  <c r="F7" i="15"/>
  <c r="M25" i="44"/>
  <c r="M26" i="15"/>
  <c r="B8" i="67"/>
  <c r="F37" i="15"/>
  <c r="M8" i="15"/>
  <c r="F13" i="15"/>
  <c r="M30" i="44"/>
  <c r="F26" i="15"/>
  <c r="N3" i="65"/>
  <c r="E9" i="67"/>
  <c r="F16" i="15"/>
  <c r="F15" i="44"/>
  <c r="M9" i="15"/>
  <c r="E14" i="67"/>
  <c r="M28" i="15"/>
  <c r="E11" i="67"/>
  <c r="E12" i="67"/>
  <c r="F12" i="67"/>
  <c r="F13" i="67"/>
  <c r="L49" i="44"/>
  <c r="F36" i="15"/>
  <c r="M29" i="44"/>
  <c r="D18" i="9" l="1"/>
  <c r="M44" i="9" s="1"/>
  <c r="M43" i="9"/>
  <c r="B11" i="59"/>
  <c r="B10" i="59" s="1"/>
  <c r="B9" i="59" s="1"/>
  <c r="S12" i="59"/>
  <c r="C12" i="59"/>
  <c r="D13" i="59"/>
  <c r="F11" i="59"/>
  <c r="F10" i="59" s="1"/>
  <c r="F9" i="59" s="1"/>
  <c r="F8" i="59" s="1"/>
  <c r="V12" i="59"/>
  <c r="G14" i="66"/>
  <c r="B6" i="66" s="1"/>
  <c r="W27" i="40"/>
  <c r="U29" i="40"/>
  <c r="W25" i="40"/>
  <c r="AC32" i="40"/>
  <c r="W32" i="40"/>
  <c r="M84" i="9"/>
  <c r="N84" i="9" s="1"/>
  <c r="W20" i="36"/>
  <c r="AC20" i="36"/>
  <c r="AB41" i="40"/>
  <c r="U41" i="40"/>
  <c r="A17" i="51"/>
  <c r="B13" i="63" s="1"/>
  <c r="AA35" i="40"/>
  <c r="S35" i="40"/>
  <c r="AB11" i="34"/>
  <c r="U11" i="34"/>
  <c r="AB35" i="40"/>
  <c r="U35" i="40"/>
  <c r="W19" i="40"/>
  <c r="M85" i="9"/>
  <c r="N85" i="9" s="1"/>
  <c r="AC18" i="36"/>
  <c r="AB17" i="40"/>
  <c r="AC14" i="40"/>
  <c r="W14" i="40"/>
  <c r="AC31" i="39"/>
  <c r="M88" i="9"/>
  <c r="N88" i="9" s="1"/>
  <c r="AC10" i="37"/>
  <c r="AA20" i="35"/>
  <c r="AC16" i="35"/>
  <c r="U34" i="40"/>
  <c r="U17" i="39"/>
  <c r="AB15" i="37"/>
  <c r="AZ560" i="3"/>
  <c r="AZ543" i="3"/>
  <c r="U27" i="36"/>
  <c r="F34" i="44"/>
  <c r="M18" i="76"/>
  <c r="M18" i="73"/>
  <c r="F32" i="73"/>
  <c r="F59" i="73" s="1"/>
  <c r="M18" i="75"/>
  <c r="F32" i="75"/>
  <c r="F59" i="75" s="1"/>
  <c r="F28" i="75"/>
  <c r="C28" i="75" s="1"/>
  <c r="F32" i="74"/>
  <c r="F59" i="74" s="1"/>
  <c r="F28" i="73"/>
  <c r="C28" i="73" s="1"/>
  <c r="F32" i="76"/>
  <c r="F59" i="76" s="1"/>
  <c r="F28" i="76"/>
  <c r="C28" i="76" s="1"/>
  <c r="M18" i="74"/>
  <c r="F28" i="74"/>
  <c r="C28" i="74" s="1"/>
  <c r="AB24" i="36"/>
  <c r="U24" i="36"/>
  <c r="S23" i="39"/>
  <c r="AB25" i="39"/>
  <c r="AC23" i="37"/>
  <c r="AZ509" i="3"/>
  <c r="S41" i="33"/>
  <c r="AZ347" i="3"/>
  <c r="W29" i="35"/>
  <c r="W15" i="39"/>
  <c r="H15" i="34"/>
  <c r="AB15" i="34" s="1"/>
  <c r="AZ329" i="3"/>
  <c r="AZ556" i="3"/>
  <c r="U45" i="34"/>
  <c r="AB45" i="34"/>
  <c r="F27" i="43"/>
  <c r="U31" i="37"/>
  <c r="AB31" i="37"/>
  <c r="AZ572" i="3"/>
  <c r="AZ520" i="3"/>
  <c r="S27" i="39"/>
  <c r="AZ365" i="3"/>
  <c r="AB35" i="35"/>
  <c r="AC37" i="33"/>
  <c r="AA27" i="37"/>
  <c r="H46" i="21"/>
  <c r="U42" i="34"/>
  <c r="G568" i="3"/>
  <c r="BA505" i="3"/>
  <c r="AZ505" i="3" s="1"/>
  <c r="BI5" i="3"/>
  <c r="F12" i="35"/>
  <c r="AC23" i="35"/>
  <c r="W23" i="35"/>
  <c r="BA558" i="3"/>
  <c r="AZ558" i="3" s="1"/>
  <c r="BL20" i="3"/>
  <c r="AZ20" i="3" s="1"/>
  <c r="S14" i="21"/>
  <c r="S25" i="37"/>
  <c r="U31" i="21"/>
  <c r="AB31" i="21"/>
  <c r="J19" i="33"/>
  <c r="W19" i="33" s="1"/>
  <c r="AA22" i="35"/>
  <c r="S39" i="37"/>
  <c r="BH5" i="3"/>
  <c r="J12" i="35"/>
  <c r="BL491" i="3"/>
  <c r="AZ491" i="3" s="1"/>
  <c r="S34" i="21"/>
  <c r="H19" i="33"/>
  <c r="AB19" i="33" s="1"/>
  <c r="AC5" i="3"/>
  <c r="W37" i="37"/>
  <c r="AC28" i="33"/>
  <c r="F35" i="35"/>
  <c r="F19" i="33"/>
  <c r="H12" i="21"/>
  <c r="BG5" i="3"/>
  <c r="E126" i="34"/>
  <c r="F126" i="34" s="1"/>
  <c r="G126" i="34" s="1"/>
  <c r="J44" i="34"/>
  <c r="AC44" i="34" s="1"/>
  <c r="H44" i="34"/>
  <c r="AA13" i="40"/>
  <c r="S13" i="40"/>
  <c r="AC11" i="36"/>
  <c r="AC30" i="21"/>
  <c r="W30" i="21"/>
  <c r="J12" i="21"/>
  <c r="H5" i="3"/>
  <c r="BF5" i="3"/>
  <c r="E5" i="6" s="1"/>
  <c r="D12" i="11" s="1"/>
  <c r="C12" i="11" s="1"/>
  <c r="F15" i="33"/>
  <c r="H12" i="36"/>
  <c r="AC29" i="33"/>
  <c r="AB31" i="33"/>
  <c r="AB40" i="37"/>
  <c r="F38" i="37"/>
  <c r="W39" i="34"/>
  <c r="BT5" i="3"/>
  <c r="G28" i="6" s="1"/>
  <c r="H10" i="34"/>
  <c r="AB10" i="34" s="1"/>
  <c r="G67" i="34"/>
  <c r="H67" i="34" s="1"/>
  <c r="I67" i="34" s="1"/>
  <c r="BL511" i="3"/>
  <c r="AZ511" i="3" s="1"/>
  <c r="G503" i="3"/>
  <c r="BL492" i="3"/>
  <c r="AZ492" i="3" s="1"/>
  <c r="B70" i="46"/>
  <c r="C23" i="39"/>
  <c r="F9" i="34"/>
  <c r="AA9" i="34" s="1"/>
  <c r="H9" i="34"/>
  <c r="AB9" i="34" s="1"/>
  <c r="BL514" i="3"/>
  <c r="AZ514" i="3" s="1"/>
  <c r="AZ484" i="3"/>
  <c r="F44" i="33"/>
  <c r="S44" i="33" s="1"/>
  <c r="F27" i="21"/>
  <c r="AA27" i="21" s="1"/>
  <c r="S10" i="36"/>
  <c r="AC35" i="21"/>
  <c r="E123" i="21"/>
  <c r="F123" i="21" s="1"/>
  <c r="G123" i="21" s="1"/>
  <c r="H123" i="21" s="1"/>
  <c r="I123" i="21" s="1"/>
  <c r="J123" i="21" s="1"/>
  <c r="K123" i="21" s="1"/>
  <c r="L123" i="21" s="1"/>
  <c r="M123" i="21" s="1"/>
  <c r="H42" i="21"/>
  <c r="AB42" i="21" s="1"/>
  <c r="C58" i="33"/>
  <c r="I7" i="33"/>
  <c r="G7" i="33"/>
  <c r="E7" i="33"/>
  <c r="F12" i="33"/>
  <c r="J36" i="35"/>
  <c r="F36" i="35"/>
  <c r="H36" i="35"/>
  <c r="AC39" i="37"/>
  <c r="W39" i="37"/>
  <c r="C58" i="21"/>
  <c r="I7" i="21"/>
  <c r="G7" i="21"/>
  <c r="E7" i="21"/>
  <c r="U26" i="21"/>
  <c r="U9" i="21"/>
  <c r="W31" i="35"/>
  <c r="AA10" i="21"/>
  <c r="S10" i="21"/>
  <c r="C59" i="34"/>
  <c r="I7" i="34"/>
  <c r="G7" i="34"/>
  <c r="E7" i="34"/>
  <c r="AB40" i="34"/>
  <c r="U40" i="34"/>
  <c r="H9" i="35"/>
  <c r="J45" i="33"/>
  <c r="W45" i="33" s="1"/>
  <c r="H45" i="33"/>
  <c r="U45" i="33" s="1"/>
  <c r="BL562" i="3"/>
  <c r="AZ562" i="3" s="1"/>
  <c r="BA521" i="3"/>
  <c r="AZ521" i="3" s="1"/>
  <c r="G512" i="3"/>
  <c r="G19" i="3"/>
  <c r="AZ557" i="3"/>
  <c r="F46" i="21"/>
  <c r="AA46" i="21" s="1"/>
  <c r="J34" i="36"/>
  <c r="F34" i="36"/>
  <c r="F12" i="36"/>
  <c r="F24" i="36"/>
  <c r="J24" i="36"/>
  <c r="BL526" i="3"/>
  <c r="AZ526" i="3" s="1"/>
  <c r="BA516" i="3"/>
  <c r="AZ516" i="3" s="1"/>
  <c r="AZ445" i="3"/>
  <c r="AZ393" i="3"/>
  <c r="AZ242" i="3"/>
  <c r="AZ420" i="3"/>
  <c r="AZ429" i="3"/>
  <c r="AZ453" i="3"/>
  <c r="AZ460" i="3"/>
  <c r="AZ419" i="3"/>
  <c r="AZ435" i="3"/>
  <c r="AZ476" i="3"/>
  <c r="AZ208" i="3"/>
  <c r="AZ421" i="3"/>
  <c r="AZ451" i="3"/>
  <c r="AZ472" i="3"/>
  <c r="AZ350" i="3"/>
  <c r="AZ424" i="3"/>
  <c r="AZ395" i="3"/>
  <c r="AZ396" i="3"/>
  <c r="AZ402" i="3"/>
  <c r="AZ404" i="3"/>
  <c r="AZ408" i="3"/>
  <c r="AZ411" i="3"/>
  <c r="AZ234" i="3"/>
  <c r="AZ425" i="3"/>
  <c r="AZ266" i="3"/>
  <c r="E123" i="33"/>
  <c r="F123" i="33" s="1"/>
  <c r="G123" i="33" s="1"/>
  <c r="H123" i="33" s="1"/>
  <c r="I123" i="33" s="1"/>
  <c r="J123" i="33" s="1"/>
  <c r="K123" i="33" s="1"/>
  <c r="L123" i="33" s="1"/>
  <c r="M123" i="33" s="1"/>
  <c r="J43" i="21"/>
  <c r="AC43" i="21" s="1"/>
  <c r="AZ389" i="3"/>
  <c r="AZ437" i="3"/>
  <c r="AZ468" i="3"/>
  <c r="AZ222" i="3"/>
  <c r="AZ227" i="3"/>
  <c r="BA318" i="3"/>
  <c r="AZ318" i="3" s="1"/>
  <c r="AZ386" i="3"/>
  <c r="AZ279" i="3"/>
  <c r="BL217" i="3"/>
  <c r="AZ217" i="3" s="1"/>
  <c r="BA250" i="3"/>
  <c r="AZ250" i="3" s="1"/>
  <c r="BA262" i="3"/>
  <c r="AZ262" i="3" s="1"/>
  <c r="AZ125" i="3"/>
  <c r="AZ128" i="3"/>
  <c r="AZ101" i="3"/>
  <c r="BL477" i="3"/>
  <c r="AZ477" i="3" s="1"/>
  <c r="BL351" i="3"/>
  <c r="BA216" i="3"/>
  <c r="AZ216" i="3" s="1"/>
  <c r="BA251" i="3"/>
  <c r="AZ251" i="3" s="1"/>
  <c r="BL284" i="3"/>
  <c r="AZ284" i="3" s="1"/>
  <c r="BL285" i="3"/>
  <c r="AZ285" i="3" s="1"/>
  <c r="BL286" i="3"/>
  <c r="BL287" i="3"/>
  <c r="BA288" i="3"/>
  <c r="AZ288" i="3" s="1"/>
  <c r="BL290" i="3"/>
  <c r="AZ290" i="3" s="1"/>
  <c r="BL291" i="3"/>
  <c r="AZ291" i="3" s="1"/>
  <c r="BL292" i="3"/>
  <c r="BA293" i="3"/>
  <c r="AZ293" i="3" s="1"/>
  <c r="BA294" i="3"/>
  <c r="AZ294" i="3" s="1"/>
  <c r="BA123" i="3"/>
  <c r="AZ123" i="3" s="1"/>
  <c r="AZ186" i="3"/>
  <c r="G474" i="3"/>
  <c r="BA351" i="3"/>
  <c r="AZ351" i="3" s="1"/>
  <c r="BL226" i="3"/>
  <c r="BL253" i="3"/>
  <c r="AZ253" i="3" s="1"/>
  <c r="BL254" i="3"/>
  <c r="AZ254" i="3" s="1"/>
  <c r="BL255" i="3"/>
  <c r="BA263" i="3"/>
  <c r="AZ263" i="3" s="1"/>
  <c r="BL269" i="3"/>
  <c r="BA283" i="3"/>
  <c r="AZ283" i="3" s="1"/>
  <c r="BA286" i="3"/>
  <c r="BA287" i="3"/>
  <c r="BA292" i="3"/>
  <c r="BL120" i="3"/>
  <c r="BL121" i="3"/>
  <c r="AZ121" i="3" s="1"/>
  <c r="AZ144" i="3"/>
  <c r="AZ172" i="3"/>
  <c r="AZ21" i="3"/>
  <c r="A30" i="51"/>
  <c r="B22" i="63" s="1"/>
  <c r="A30" i="64"/>
  <c r="BA225" i="3"/>
  <c r="AZ225" i="3" s="1"/>
  <c r="BL241" i="3"/>
  <c r="AZ241" i="3" s="1"/>
  <c r="BL242" i="3"/>
  <c r="BA255" i="3"/>
  <c r="BL265" i="3"/>
  <c r="AZ265" i="3" s="1"/>
  <c r="BL266" i="3"/>
  <c r="BL267" i="3"/>
  <c r="AZ267" i="3" s="1"/>
  <c r="BL268" i="3"/>
  <c r="BA269" i="3"/>
  <c r="BA341" i="3"/>
  <c r="AZ341" i="3" s="1"/>
  <c r="BL212" i="3"/>
  <c r="AZ212" i="3" s="1"/>
  <c r="BA226" i="3"/>
  <c r="AZ226" i="3" s="1"/>
  <c r="BA240" i="3"/>
  <c r="AZ240" i="3" s="1"/>
  <c r="BA256" i="3"/>
  <c r="AZ256" i="3" s="1"/>
  <c r="BA264" i="3"/>
  <c r="AZ264" i="3" s="1"/>
  <c r="BA268" i="3"/>
  <c r="BA296" i="3"/>
  <c r="AZ296" i="3" s="1"/>
  <c r="BL118" i="3"/>
  <c r="AZ118" i="3" s="1"/>
  <c r="BA143" i="3"/>
  <c r="AZ143" i="3" s="1"/>
  <c r="AZ204" i="3"/>
  <c r="F7" i="1"/>
  <c r="G7" i="1" s="1"/>
  <c r="BL335" i="3"/>
  <c r="BA211" i="3"/>
  <c r="AZ211" i="3" s="1"/>
  <c r="BL114" i="3"/>
  <c r="AZ114" i="3" s="1"/>
  <c r="BA119" i="3"/>
  <c r="AZ119" i="3" s="1"/>
  <c r="BL136" i="3"/>
  <c r="BA335" i="3"/>
  <c r="BA220" i="3"/>
  <c r="AZ220" i="3" s="1"/>
  <c r="BA244" i="3"/>
  <c r="AZ244" i="3" s="1"/>
  <c r="G248" i="3"/>
  <c r="BA271" i="3"/>
  <c r="AZ271" i="3" s="1"/>
  <c r="BA113" i="3"/>
  <c r="AZ113" i="3" s="1"/>
  <c r="BA116" i="3"/>
  <c r="AZ116" i="3" s="1"/>
  <c r="BA117" i="3"/>
  <c r="AZ117" i="3" s="1"/>
  <c r="BA120" i="3"/>
  <c r="AZ120" i="3" s="1"/>
  <c r="BL130" i="3"/>
  <c r="AZ130" i="3" s="1"/>
  <c r="BA136" i="3"/>
  <c r="AZ136" i="3" s="1"/>
  <c r="BA334" i="3"/>
  <c r="AZ334" i="3" s="1"/>
  <c r="BL207" i="3"/>
  <c r="BL236" i="3"/>
  <c r="AZ236" i="3" s="1"/>
  <c r="BL273" i="3"/>
  <c r="AZ273" i="3" s="1"/>
  <c r="BL274" i="3"/>
  <c r="BL129" i="3"/>
  <c r="AZ60" i="3"/>
  <c r="AZ65" i="3"/>
  <c r="F34" i="15"/>
  <c r="F61" i="15" s="1"/>
  <c r="M20" i="75"/>
  <c r="F34" i="76"/>
  <c r="F34" i="75"/>
  <c r="F34" i="73"/>
  <c r="M20" i="74"/>
  <c r="M20" i="73"/>
  <c r="F34" i="74"/>
  <c r="M20" i="76"/>
  <c r="BA325" i="3"/>
  <c r="AZ325" i="3" s="1"/>
  <c r="BA207" i="3"/>
  <c r="AZ207" i="3" s="1"/>
  <c r="BA221" i="3"/>
  <c r="AZ221" i="3" s="1"/>
  <c r="BA235" i="3"/>
  <c r="AZ235" i="3" s="1"/>
  <c r="BA245" i="3"/>
  <c r="AZ245" i="3" s="1"/>
  <c r="BA272" i="3"/>
  <c r="AZ272" i="3" s="1"/>
  <c r="BA274" i="3"/>
  <c r="AZ274" i="3" s="1"/>
  <c r="BA275" i="3"/>
  <c r="AZ275" i="3" s="1"/>
  <c r="BL128" i="3"/>
  <c r="BA132" i="3"/>
  <c r="AZ132" i="3" s="1"/>
  <c r="BA135" i="3"/>
  <c r="AZ135" i="3" s="1"/>
  <c r="AZ155" i="3"/>
  <c r="AZ156" i="3"/>
  <c r="AZ194" i="3"/>
  <c r="BL319" i="3"/>
  <c r="G286" i="3"/>
  <c r="G291" i="3"/>
  <c r="BA129" i="3"/>
  <c r="AZ129" i="3" s="1"/>
  <c r="AZ26" i="3"/>
  <c r="AZ42" i="3"/>
  <c r="AZ45" i="3"/>
  <c r="AZ50" i="3"/>
  <c r="AZ61" i="3"/>
  <c r="BA319" i="3"/>
  <c r="AZ319" i="3" s="1"/>
  <c r="BL386" i="3"/>
  <c r="G219" i="3"/>
  <c r="AZ230" i="3"/>
  <c r="BL231" i="3"/>
  <c r="AZ231" i="3" s="1"/>
  <c r="BL146" i="3"/>
  <c r="AZ146" i="3" s="1"/>
  <c r="AZ36" i="3"/>
  <c r="BA176" i="3"/>
  <c r="AZ176" i="3" s="1"/>
  <c r="BL28" i="3"/>
  <c r="AZ28" i="3" s="1"/>
  <c r="BL37" i="3"/>
  <c r="AZ37" i="3" s="1"/>
  <c r="BL46" i="3"/>
  <c r="AZ46" i="3" s="1"/>
  <c r="AZ72" i="3"/>
  <c r="BA73" i="3"/>
  <c r="AZ73" i="3" s="1"/>
  <c r="BL77" i="3"/>
  <c r="BL78" i="3"/>
  <c r="AZ78" i="3" s="1"/>
  <c r="BL82" i="3"/>
  <c r="AZ82" i="3" s="1"/>
  <c r="D34" i="59"/>
  <c r="C35" i="59"/>
  <c r="G24" i="3"/>
  <c r="BA55" i="3"/>
  <c r="AZ55" i="3" s="1"/>
  <c r="G108" i="3"/>
  <c r="AZ77" i="3"/>
  <c r="AZ87" i="3"/>
  <c r="G165" i="3"/>
  <c r="BL30" i="3"/>
  <c r="BA40" i="3"/>
  <c r="AZ40" i="3" s="1"/>
  <c r="BA48" i="3"/>
  <c r="AZ48" i="3" s="1"/>
  <c r="BL49" i="3"/>
  <c r="BA58" i="3"/>
  <c r="AZ58" i="3" s="1"/>
  <c r="BA59" i="3"/>
  <c r="AZ59" i="3" s="1"/>
  <c r="BL60" i="3"/>
  <c r="BL85" i="3"/>
  <c r="BA90" i="3"/>
  <c r="AZ90" i="3" s="1"/>
  <c r="BA91" i="3"/>
  <c r="BL110" i="3"/>
  <c r="BA30" i="3"/>
  <c r="AZ30" i="3" s="1"/>
  <c r="BA49" i="3"/>
  <c r="BA80" i="3"/>
  <c r="AZ80" i="3" s="1"/>
  <c r="BA85" i="3"/>
  <c r="AZ85" i="3" s="1"/>
  <c r="BL91" i="3"/>
  <c r="BL94" i="3"/>
  <c r="BL95" i="3"/>
  <c r="BL96" i="3"/>
  <c r="BL101" i="3"/>
  <c r="BL103" i="3"/>
  <c r="BL104" i="3"/>
  <c r="BL105" i="3"/>
  <c r="BA109" i="3"/>
  <c r="AZ109" i="3" s="1"/>
  <c r="BA110" i="3"/>
  <c r="BA111" i="3"/>
  <c r="AZ111" i="3" s="1"/>
  <c r="BA112" i="3"/>
  <c r="AZ112" i="3" s="1"/>
  <c r="I21" i="57"/>
  <c r="D1" i="57" s="1"/>
  <c r="E10" i="57" s="1"/>
  <c r="BL191" i="3"/>
  <c r="AZ191" i="3" s="1"/>
  <c r="BA23" i="3"/>
  <c r="BA39" i="3"/>
  <c r="AZ39" i="3" s="1"/>
  <c r="BL51" i="3"/>
  <c r="AZ51" i="3" s="1"/>
  <c r="BA81" i="3"/>
  <c r="AZ81" i="3" s="1"/>
  <c r="BA89" i="3"/>
  <c r="AZ89" i="3" s="1"/>
  <c r="BA96" i="3"/>
  <c r="AZ96" i="3" s="1"/>
  <c r="BA97" i="3"/>
  <c r="AZ97" i="3" s="1"/>
  <c r="BA98" i="3"/>
  <c r="AZ98" i="3" s="1"/>
  <c r="BA100" i="3"/>
  <c r="AZ100" i="3" s="1"/>
  <c r="BA105" i="3"/>
  <c r="AZ105" i="3" s="1"/>
  <c r="BL108" i="3"/>
  <c r="BL109" i="3"/>
  <c r="T48" i="59"/>
  <c r="D48" i="59"/>
  <c r="C43" i="59"/>
  <c r="D42" i="59"/>
  <c r="G21" i="3"/>
  <c r="BL63" i="3"/>
  <c r="AZ63" i="3" s="1"/>
  <c r="BL64" i="3"/>
  <c r="G71" i="3"/>
  <c r="BA86" i="3"/>
  <c r="AZ86" i="3" s="1"/>
  <c r="BL99" i="3"/>
  <c r="BL100" i="3"/>
  <c r="BA102" i="3"/>
  <c r="AZ102" i="3" s="1"/>
  <c r="BA108" i="3"/>
  <c r="C28" i="59"/>
  <c r="D27" i="59"/>
  <c r="C55" i="59"/>
  <c r="D54" i="59"/>
  <c r="BL183" i="3"/>
  <c r="AZ183" i="3" s="1"/>
  <c r="BL203" i="3"/>
  <c r="AZ203" i="3" s="1"/>
  <c r="BL62" i="3"/>
  <c r="BA64" i="3"/>
  <c r="AZ64" i="3" s="1"/>
  <c r="BL68" i="3"/>
  <c r="BA99" i="3"/>
  <c r="S20" i="59"/>
  <c r="B19" i="59"/>
  <c r="B18" i="59" s="1"/>
  <c r="BA25" i="3"/>
  <c r="AZ25" i="3" s="1"/>
  <c r="BA34" i="3"/>
  <c r="AZ34" i="3" s="1"/>
  <c r="BA62" i="3"/>
  <c r="AZ62" i="3" s="1"/>
  <c r="BA66" i="3"/>
  <c r="AZ66" i="3" s="1"/>
  <c r="BL67" i="3"/>
  <c r="BA94" i="3"/>
  <c r="BA103" i="3"/>
  <c r="AZ103" i="3" s="1"/>
  <c r="BA175" i="3"/>
  <c r="AZ175" i="3" s="1"/>
  <c r="G188" i="3"/>
  <c r="G199" i="3"/>
  <c r="BL35" i="3"/>
  <c r="AZ35" i="3" s="1"/>
  <c r="BL44" i="3"/>
  <c r="BL53" i="3"/>
  <c r="BA67" i="3"/>
  <c r="BL71" i="3"/>
  <c r="AZ71" i="3" s="1"/>
  <c r="BA95" i="3"/>
  <c r="AZ95" i="3" s="1"/>
  <c r="BA104" i="3"/>
  <c r="AZ104" i="3" s="1"/>
  <c r="BL168" i="3"/>
  <c r="AZ168" i="3" s="1"/>
  <c r="BL196" i="3"/>
  <c r="AZ196" i="3" s="1"/>
  <c r="BA44" i="3"/>
  <c r="AZ44" i="3" s="1"/>
  <c r="BA53" i="3"/>
  <c r="AZ53" i="3" s="1"/>
  <c r="BA68" i="3"/>
  <c r="BL72" i="3"/>
  <c r="BL73" i="3"/>
  <c r="C24" i="59"/>
  <c r="D23" i="59"/>
  <c r="C52" i="59"/>
  <c r="D51" i="59"/>
  <c r="V20" i="59"/>
  <c r="F19" i="59"/>
  <c r="F18" i="59" s="1"/>
  <c r="S27" i="40"/>
  <c r="D79" i="59"/>
  <c r="X21" i="59"/>
  <c r="AA23" i="59"/>
  <c r="AB26" i="59"/>
  <c r="Y20" i="59"/>
  <c r="Z20" i="59" s="1"/>
  <c r="AB18" i="59"/>
  <c r="AA15" i="59"/>
  <c r="AA13" i="59"/>
  <c r="X12" i="59"/>
  <c r="Y8" i="59"/>
  <c r="Z8" i="59" s="1"/>
  <c r="S21" i="37"/>
  <c r="P58" i="59"/>
  <c r="AB23" i="59"/>
  <c r="Y25" i="59"/>
  <c r="Z25" i="59" s="1"/>
  <c r="X27" i="59"/>
  <c r="Y30" i="59"/>
  <c r="Z30" i="59" s="1"/>
  <c r="AA20" i="59"/>
  <c r="AG10" i="46"/>
  <c r="E20" i="59"/>
  <c r="Y17" i="59"/>
  <c r="Z17" i="59" s="1"/>
  <c r="AB15" i="59"/>
  <c r="AB14" i="59"/>
  <c r="Y12" i="59"/>
  <c r="Z12" i="59" s="1"/>
  <c r="AA8" i="59"/>
  <c r="G1" i="74"/>
  <c r="G1" i="76"/>
  <c r="G1" i="73"/>
  <c r="G1" i="75"/>
  <c r="Y21" i="59"/>
  <c r="Z21" i="59" s="1"/>
  <c r="X24" i="59"/>
  <c r="Y27" i="59"/>
  <c r="Z27" i="59" s="1"/>
  <c r="X29" i="59"/>
  <c r="AA30" i="59"/>
  <c r="AB20" i="59"/>
  <c r="AA17" i="59"/>
  <c r="AB13" i="59"/>
  <c r="AA12" i="59"/>
  <c r="AB8" i="59"/>
  <c r="Y6" i="59"/>
  <c r="Z6" i="59" s="1"/>
  <c r="S18" i="36"/>
  <c r="D22" i="59"/>
  <c r="AA21" i="59"/>
  <c r="Y24" i="59"/>
  <c r="Z24" i="59" s="1"/>
  <c r="AA27" i="59"/>
  <c r="AB30" i="59"/>
  <c r="C20" i="59"/>
  <c r="AB17" i="59"/>
  <c r="AB12" i="59"/>
  <c r="Y5" i="59"/>
  <c r="Z5" i="59" s="1"/>
  <c r="AA24" i="59"/>
  <c r="AB27" i="59"/>
  <c r="Y29" i="59"/>
  <c r="Z29" i="59" s="1"/>
  <c r="X31" i="59"/>
  <c r="X17" i="59"/>
  <c r="X11" i="59"/>
  <c r="Y7" i="59"/>
  <c r="Z7" i="59" s="1"/>
  <c r="AB21" i="59"/>
  <c r="Y31" i="59"/>
  <c r="Z31" i="59" s="1"/>
  <c r="AA18" i="59"/>
  <c r="X16" i="59"/>
  <c r="X10" i="59"/>
  <c r="O57" i="59"/>
  <c r="X22" i="59"/>
  <c r="AA25" i="59"/>
  <c r="Y28" i="59"/>
  <c r="Z28" i="59" s="1"/>
  <c r="AA31" i="59"/>
  <c r="Q57" i="59"/>
  <c r="X18" i="59"/>
  <c r="Y16" i="59"/>
  <c r="Z16" i="59" s="1"/>
  <c r="Y11" i="59"/>
  <c r="Z11" i="59" s="1"/>
  <c r="AA31" i="39"/>
  <c r="D58" i="59"/>
  <c r="AB3" i="59"/>
  <c r="Y22" i="59"/>
  <c r="Z22" i="59" s="1"/>
  <c r="AA28" i="59"/>
  <c r="K76" i="9"/>
  <c r="AB19" i="59"/>
  <c r="AA16" i="59"/>
  <c r="X14" i="59"/>
  <c r="Y10" i="59"/>
  <c r="Z10" i="59" s="1"/>
  <c r="X9" i="59"/>
  <c r="X5" i="59"/>
  <c r="D38" i="59"/>
  <c r="AA3" i="59"/>
  <c r="AA22" i="59"/>
  <c r="AB25" i="59"/>
  <c r="AB28" i="59"/>
  <c r="E30" i="59"/>
  <c r="E31" i="59" s="1"/>
  <c r="E32" i="59" s="1"/>
  <c r="U32" i="59" s="1"/>
  <c r="AA19" i="59"/>
  <c r="AB16" i="59"/>
  <c r="X13" i="59"/>
  <c r="AA11" i="59"/>
  <c r="Y9" i="59"/>
  <c r="Z9" i="59" s="1"/>
  <c r="X7" i="59"/>
  <c r="B13" i="1"/>
  <c r="E13" i="1" s="1"/>
  <c r="C31" i="39"/>
  <c r="Y19" i="59"/>
  <c r="Z19" i="59" s="1"/>
  <c r="Y14" i="59"/>
  <c r="Z14" i="59" s="1"/>
  <c r="AA10" i="59"/>
  <c r="AA9" i="59"/>
  <c r="AA5" i="59"/>
  <c r="X23" i="59"/>
  <c r="Y26" i="59"/>
  <c r="Z26" i="59" s="1"/>
  <c r="X19" i="59"/>
  <c r="X15" i="59"/>
  <c r="Y13" i="59"/>
  <c r="Z13" i="59" s="1"/>
  <c r="AB11" i="59"/>
  <c r="AB9" i="59"/>
  <c r="AA6" i="59"/>
  <c r="B22" i="59"/>
  <c r="B23" i="59" s="1"/>
  <c r="B24" i="59" s="1"/>
  <c r="S24" i="59" s="1"/>
  <c r="Y23" i="59"/>
  <c r="Z23" i="59" s="1"/>
  <c r="X25" i="59"/>
  <c r="AA26" i="59"/>
  <c r="AB29" i="59"/>
  <c r="X20" i="59"/>
  <c r="Y18" i="59"/>
  <c r="Z18" i="59" s="1"/>
  <c r="Y15" i="59"/>
  <c r="Z15" i="59" s="1"/>
  <c r="AA14" i="59"/>
  <c r="AB10" i="59"/>
  <c r="X8" i="59"/>
  <c r="AB6" i="59"/>
  <c r="AA7" i="59"/>
  <c r="S19" i="34"/>
  <c r="F124" i="34"/>
  <c r="G124" i="34" s="1"/>
  <c r="H124" i="34" s="1"/>
  <c r="I124" i="34" s="1"/>
  <c r="J124" i="34" s="1"/>
  <c r="K124" i="34" s="1"/>
  <c r="L124" i="34" s="1"/>
  <c r="M124" i="34" s="1"/>
  <c r="J43" i="34"/>
  <c r="AC43" i="34" s="1"/>
  <c r="F43" i="34"/>
  <c r="AA43" i="34" s="1"/>
  <c r="H43" i="34"/>
  <c r="AB43" i="34" s="1"/>
  <c r="S46" i="33"/>
  <c r="M20" i="15"/>
  <c r="F36" i="44"/>
  <c r="F86" i="34"/>
  <c r="G86" i="34" s="1"/>
  <c r="F23" i="34"/>
  <c r="J23" i="34"/>
  <c r="AC23" i="34" s="1"/>
  <c r="H23" i="34"/>
  <c r="AB23" i="34" s="1"/>
  <c r="S43" i="34"/>
  <c r="S46" i="34"/>
  <c r="W46" i="34"/>
  <c r="U46" i="34"/>
  <c r="M18" i="15"/>
  <c r="F31" i="43"/>
  <c r="C31" i="43" s="1"/>
  <c r="F29" i="12"/>
  <c r="F71" i="9"/>
  <c r="Q16" i="1"/>
  <c r="F24" i="43" s="1"/>
  <c r="C26" i="43" s="1"/>
  <c r="D24" i="43" s="1"/>
  <c r="E29" i="6"/>
  <c r="F30" i="6"/>
  <c r="N16" i="4"/>
  <c r="L16" i="4"/>
  <c r="AP7" i="1"/>
  <c r="W46" i="33"/>
  <c r="W43" i="33"/>
  <c r="AB43" i="33"/>
  <c r="AB42" i="33"/>
  <c r="S42" i="33"/>
  <c r="S39" i="33"/>
  <c r="S38" i="33"/>
  <c r="AB41" i="33"/>
  <c r="W40" i="33"/>
  <c r="W41" i="33"/>
  <c r="AB34" i="33"/>
  <c r="AC35" i="33"/>
  <c r="U35" i="33"/>
  <c r="S35" i="33"/>
  <c r="G111" i="33"/>
  <c r="H111" i="33" s="1"/>
  <c r="I111" i="33" s="1"/>
  <c r="J111" i="33" s="1"/>
  <c r="K111" i="33" s="1"/>
  <c r="L111" i="33" s="1"/>
  <c r="M111" i="33" s="1"/>
  <c r="H36" i="33"/>
  <c r="AB36" i="33" s="1"/>
  <c r="J36" i="33"/>
  <c r="W36" i="33" s="1"/>
  <c r="W34" i="33"/>
  <c r="AA45" i="33"/>
  <c r="AA44" i="33"/>
  <c r="AB44" i="33"/>
  <c r="W42" i="33"/>
  <c r="AA34" i="33"/>
  <c r="S32" i="33"/>
  <c r="U32" i="33"/>
  <c r="W32" i="33"/>
  <c r="AC26" i="33"/>
  <c r="W26" i="33"/>
  <c r="S29" i="33"/>
  <c r="AA27" i="33"/>
  <c r="U25" i="33"/>
  <c r="AA25" i="33"/>
  <c r="AC25" i="33"/>
  <c r="AC23" i="33"/>
  <c r="S23" i="33"/>
  <c r="AB23" i="33"/>
  <c r="AC19" i="33"/>
  <c r="U19" i="33"/>
  <c r="AB17" i="33"/>
  <c r="AA17" i="33"/>
  <c r="W17" i="33"/>
  <c r="AB15" i="33"/>
  <c r="AB11" i="33"/>
  <c r="W10" i="33"/>
  <c r="S10" i="33"/>
  <c r="AB10" i="33"/>
  <c r="S9" i="33"/>
  <c r="U9" i="33"/>
  <c r="AC45" i="34"/>
  <c r="W44" i="34"/>
  <c r="AA44" i="34"/>
  <c r="AA33" i="34"/>
  <c r="W36" i="34"/>
  <c r="W43" i="34"/>
  <c r="AB41" i="34"/>
  <c r="AC40" i="34"/>
  <c r="AA40" i="34"/>
  <c r="H37" i="34"/>
  <c r="G112" i="34"/>
  <c r="H112" i="34" s="1"/>
  <c r="I112" i="34" s="1"/>
  <c r="J112" i="34" s="1"/>
  <c r="K112" i="34" s="1"/>
  <c r="L112" i="34" s="1"/>
  <c r="M112" i="34" s="1"/>
  <c r="F37" i="34"/>
  <c r="J37" i="34"/>
  <c r="AC41" i="34"/>
  <c r="AA45" i="34"/>
  <c r="AB36" i="34"/>
  <c r="AA36" i="34"/>
  <c r="AC35" i="34"/>
  <c r="W33" i="34"/>
  <c r="S28" i="34"/>
  <c r="AA28" i="34"/>
  <c r="U28" i="34"/>
  <c r="AC32" i="34"/>
  <c r="S32" i="34"/>
  <c r="AC30" i="34"/>
  <c r="U31" i="34"/>
  <c r="S17" i="34"/>
  <c r="U15" i="34"/>
  <c r="W19" i="34"/>
  <c r="S21" i="34"/>
  <c r="U19" i="34"/>
  <c r="U17" i="34"/>
  <c r="W17" i="34"/>
  <c r="W15" i="34"/>
  <c r="W12" i="34"/>
  <c r="AC12" i="34"/>
  <c r="W14" i="34"/>
  <c r="AC14" i="34"/>
  <c r="AC13" i="34"/>
  <c r="H14" i="34"/>
  <c r="F14" i="34"/>
  <c r="F12" i="34"/>
  <c r="H12" i="34"/>
  <c r="AC11" i="34"/>
  <c r="W10" i="34"/>
  <c r="S10" i="34"/>
  <c r="U10" i="34"/>
  <c r="U9" i="34"/>
  <c r="S9" i="34"/>
  <c r="W9" i="34"/>
  <c r="U17" i="21"/>
  <c r="G113" i="21"/>
  <c r="H113" i="21" s="1"/>
  <c r="J37" i="21"/>
  <c r="W43" i="21"/>
  <c r="U43" i="21"/>
  <c r="AA43" i="21"/>
  <c r="S45" i="21"/>
  <c r="S46" i="21"/>
  <c r="AA41" i="21"/>
  <c r="AA40" i="21"/>
  <c r="AA38" i="21"/>
  <c r="AC36" i="21"/>
  <c r="AC34" i="21"/>
  <c r="AB33" i="21"/>
  <c r="W44" i="21"/>
  <c r="S44" i="21"/>
  <c r="AB44" i="21"/>
  <c r="U40" i="21"/>
  <c r="AC40" i="21"/>
  <c r="U38" i="21"/>
  <c r="AA36" i="21"/>
  <c r="AB36" i="21"/>
  <c r="W42" i="21"/>
  <c r="S42" i="21"/>
  <c r="AB32" i="21"/>
  <c r="W32" i="21"/>
  <c r="AB28" i="21"/>
  <c r="U28" i="21"/>
  <c r="W29" i="21"/>
  <c r="S27" i="21"/>
  <c r="U27" i="21"/>
  <c r="W25" i="21"/>
  <c r="AB25" i="21"/>
  <c r="AB30" i="21"/>
  <c r="F28" i="21"/>
  <c r="AC23" i="21"/>
  <c r="U23" i="21"/>
  <c r="S23" i="21"/>
  <c r="S19" i="21"/>
  <c r="AA17" i="21"/>
  <c r="AB15" i="21"/>
  <c r="AA15" i="21"/>
  <c r="S21" i="21"/>
  <c r="AC19" i="21"/>
  <c r="U19" i="21"/>
  <c r="W17" i="21"/>
  <c r="W15" i="21"/>
  <c r="B54" i="46"/>
  <c r="S12" i="21"/>
  <c r="AA12" i="21"/>
  <c r="AB13" i="21"/>
  <c r="AB10" i="21"/>
  <c r="AA9" i="21"/>
  <c r="W9" i="21"/>
  <c r="C67" i="40"/>
  <c r="D65" i="40"/>
  <c r="D70" i="39"/>
  <c r="C72" i="39"/>
  <c r="W8" i="21"/>
  <c r="G17" i="46"/>
  <c r="C16" i="46" s="1"/>
  <c r="D5" i="46" s="1"/>
  <c r="Y11" i="46"/>
  <c r="Y13" i="46" s="1"/>
  <c r="G22" i="46"/>
  <c r="F101" i="46"/>
  <c r="M101" i="46"/>
  <c r="M107" i="46" s="1"/>
  <c r="AC11" i="46"/>
  <c r="AC13" i="46" s="1"/>
  <c r="AJ11" i="46"/>
  <c r="AJ13" i="46" s="1"/>
  <c r="C101" i="46"/>
  <c r="C105" i="46" s="1"/>
  <c r="J101" i="46"/>
  <c r="J109" i="46" s="1"/>
  <c r="N104" i="45"/>
  <c r="F22" i="46"/>
  <c r="Z7" i="46"/>
  <c r="E22" i="46"/>
  <c r="AA11" i="46"/>
  <c r="AA13" i="46" s="1"/>
  <c r="AF11" i="46"/>
  <c r="AF13" i="46" s="1"/>
  <c r="S5" i="46"/>
  <c r="S3" i="46"/>
  <c r="S6" i="46"/>
  <c r="H22" i="46"/>
  <c r="H101" i="46"/>
  <c r="J22" i="46"/>
  <c r="D101" i="46"/>
  <c r="I101" i="46"/>
  <c r="N101" i="46"/>
  <c r="AD11" i="46"/>
  <c r="AD13" i="46" s="1"/>
  <c r="G101" i="46"/>
  <c r="B113" i="46"/>
  <c r="L101" i="46"/>
  <c r="E101" i="46"/>
  <c r="K101" i="46"/>
  <c r="AG11" i="46"/>
  <c r="AG13" i="46" s="1"/>
  <c r="Z11" i="46"/>
  <c r="Z13" i="46" s="1"/>
  <c r="AH11" i="46"/>
  <c r="AH13" i="46" s="1"/>
  <c r="AI11" i="46"/>
  <c r="AI13" i="46" s="1"/>
  <c r="AE11" i="46"/>
  <c r="AE13" i="46" s="1"/>
  <c r="AB11" i="46"/>
  <c r="AB13" i="46" s="1"/>
  <c r="F33" i="12"/>
  <c r="C34" i="12" s="1"/>
  <c r="D33" i="12" s="1"/>
  <c r="H16" i="1"/>
  <c r="E12" i="6"/>
  <c r="E15" i="6"/>
  <c r="E11" i="6"/>
  <c r="F105" i="46"/>
  <c r="F104" i="46"/>
  <c r="BL13" i="3"/>
  <c r="BL5" i="3" s="1"/>
  <c r="L19" i="6"/>
  <c r="L27" i="6" s="1"/>
  <c r="C15" i="43"/>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D58" i="33"/>
  <c r="D58" i="21"/>
  <c r="D59" i="34"/>
  <c r="A25" i="51"/>
  <c r="B18" i="63" s="1"/>
  <c r="C95" i="9"/>
  <c r="C92" i="9" s="1"/>
  <c r="C27" i="43"/>
  <c r="D22" i="46"/>
  <c r="C21" i="46" s="1"/>
  <c r="H71" i="46"/>
  <c r="H75" i="46"/>
  <c r="H72" i="46"/>
  <c r="H77" i="46"/>
  <c r="H70" i="46"/>
  <c r="H73" i="46"/>
  <c r="H74" i="46"/>
  <c r="H69" i="46"/>
  <c r="H76" i="46"/>
  <c r="F28" i="15"/>
  <c r="C28" i="15" s="1"/>
  <c r="F30" i="44"/>
  <c r="C30" i="44" s="1"/>
  <c r="M20" i="44"/>
  <c r="F70" i="9"/>
  <c r="F32" i="15"/>
  <c r="F59" i="15" s="1"/>
  <c r="F72" i="9"/>
  <c r="F66" i="9"/>
  <c r="P72" i="9" s="1"/>
  <c r="O9" i="1"/>
  <c r="P9" i="1" s="1"/>
  <c r="M104" i="46"/>
  <c r="D21" i="12"/>
  <c r="C21" i="12" s="1"/>
  <c r="I102" i="46"/>
  <c r="I109" i="46"/>
  <c r="O8" i="1"/>
  <c r="P8" i="1" s="1"/>
  <c r="O6" i="1"/>
  <c r="E14" i="6"/>
  <c r="E13" i="6"/>
  <c r="E10" i="6"/>
  <c r="M105" i="46"/>
  <c r="M102" i="46"/>
  <c r="M106" i="46"/>
  <c r="I106" i="46"/>
  <c r="C5" i="46"/>
  <c r="AP16" i="1"/>
  <c r="F22" i="11" s="1"/>
  <c r="G16" i="1"/>
  <c r="H12" i="39" s="1"/>
  <c r="K77" i="9"/>
  <c r="K79" i="9" s="1"/>
  <c r="K81" i="9" s="1"/>
  <c r="E12" i="52"/>
  <c r="B15" i="52"/>
  <c r="F31" i="15"/>
  <c r="F33" i="44"/>
  <c r="E8" i="59"/>
  <c r="B8" i="59"/>
  <c r="B4" i="52"/>
  <c r="B7" i="52"/>
  <c r="E14" i="52"/>
  <c r="E6" i="52"/>
  <c r="E11" i="52"/>
  <c r="E9" i="52"/>
  <c r="E7" i="52"/>
  <c r="B9" i="52"/>
  <c r="E4" i="52"/>
  <c r="E13" i="52"/>
  <c r="B8" i="52"/>
  <c r="E10" i="52"/>
  <c r="B10" i="52"/>
  <c r="B6" i="52"/>
  <c r="B5" i="52"/>
  <c r="B11" i="52"/>
  <c r="B12" i="52"/>
  <c r="E8" i="52"/>
  <c r="B14" i="52"/>
  <c r="E5" i="52"/>
  <c r="Y3" i="59"/>
  <c r="Z3" i="59" s="1"/>
  <c r="P22" i="46"/>
  <c r="P24" i="46"/>
  <c r="B68" i="40" s="1"/>
  <c r="P23" i="46"/>
  <c r="P25" i="46"/>
  <c r="B73" i="39" s="1"/>
  <c r="P21" i="46"/>
  <c r="Q73" i="44"/>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F63" i="15"/>
  <c r="C4" i="65"/>
  <c r="B39" i="1" s="1"/>
  <c r="J4" i="65"/>
  <c r="J6" i="65"/>
  <c r="J7" i="65"/>
  <c r="J5" i="65"/>
  <c r="C16" i="15"/>
  <c r="E3" i="65"/>
  <c r="I6" i="65"/>
  <c r="J3" i="65"/>
  <c r="C18" i="44"/>
  <c r="I3" i="65"/>
  <c r="I5" i="65"/>
  <c r="I4" i="65"/>
  <c r="E20" i="46" l="1"/>
  <c r="N28" i="46" s="1"/>
  <c r="E28" i="6"/>
  <c r="K14" i="1" s="1"/>
  <c r="M14" i="1" s="1"/>
  <c r="G30" i="6"/>
  <c r="G31" i="6" s="1"/>
  <c r="W23" i="34"/>
  <c r="AC36" i="33"/>
  <c r="AZ68" i="3"/>
  <c r="AZ99" i="3"/>
  <c r="F61" i="75"/>
  <c r="E291" i="3"/>
  <c r="F61" i="76"/>
  <c r="AC24" i="36"/>
  <c r="W24" i="36"/>
  <c r="E286" i="3"/>
  <c r="AA24" i="36"/>
  <c r="S24" i="36"/>
  <c r="AB9" i="35"/>
  <c r="U9" i="35"/>
  <c r="AB44" i="34"/>
  <c r="U44" i="34"/>
  <c r="E219" i="3"/>
  <c r="S12" i="36"/>
  <c r="AA12" i="36"/>
  <c r="U12" i="36"/>
  <c r="AB12" i="36"/>
  <c r="W12" i="35"/>
  <c r="AC12" i="35"/>
  <c r="J104" i="46"/>
  <c r="F36" i="33"/>
  <c r="AZ94" i="3"/>
  <c r="AZ110" i="3"/>
  <c r="AZ49" i="3"/>
  <c r="S34" i="36"/>
  <c r="AA34" i="36"/>
  <c r="AA15" i="33"/>
  <c r="S15" i="33"/>
  <c r="S12" i="35"/>
  <c r="AA12" i="35"/>
  <c r="J105" i="46"/>
  <c r="T20" i="59"/>
  <c r="C19" i="59"/>
  <c r="D20" i="59"/>
  <c r="E165" i="3"/>
  <c r="AZ269" i="3"/>
  <c r="AC34" i="36"/>
  <c r="W34" i="36"/>
  <c r="AZ13" i="3"/>
  <c r="C107" i="46"/>
  <c r="AB12" i="21"/>
  <c r="U12" i="21"/>
  <c r="C102" i="46"/>
  <c r="AB45" i="33"/>
  <c r="D52" i="59"/>
  <c r="T52" i="59"/>
  <c r="C56" i="59"/>
  <c r="D55" i="59"/>
  <c r="AZ91" i="3"/>
  <c r="AC12" i="21"/>
  <c r="W12" i="21"/>
  <c r="S19" i="33"/>
  <c r="AA19" i="33"/>
  <c r="U20" i="59"/>
  <c r="E19" i="59"/>
  <c r="E18" i="59" s="1"/>
  <c r="AZ67" i="3"/>
  <c r="C44" i="59"/>
  <c r="D43" i="59"/>
  <c r="E108" i="3"/>
  <c r="F61" i="74"/>
  <c r="AB36" i="35"/>
  <c r="U36" i="35"/>
  <c r="S35" i="35"/>
  <c r="AA35" i="35"/>
  <c r="T24" i="59"/>
  <c r="D24" i="59"/>
  <c r="AZ292" i="3"/>
  <c r="E512" i="3"/>
  <c r="AB46" i="21"/>
  <c r="U46" i="21"/>
  <c r="C11" i="59"/>
  <c r="T12" i="59"/>
  <c r="D12" i="59"/>
  <c r="E7" i="59"/>
  <c r="E6" i="59" s="1"/>
  <c r="E5" i="59" s="1"/>
  <c r="U8" i="59"/>
  <c r="M103" i="46"/>
  <c r="U43" i="34"/>
  <c r="AC45" i="33"/>
  <c r="T28" i="59"/>
  <c r="D28" i="59"/>
  <c r="AA36" i="35"/>
  <c r="S36" i="35"/>
  <c r="M109" i="46"/>
  <c r="AZ108" i="3"/>
  <c r="AZ23" i="3"/>
  <c r="BA5" i="3"/>
  <c r="E24" i="3"/>
  <c r="AZ268" i="3"/>
  <c r="AZ255" i="3"/>
  <c r="AZ287" i="3"/>
  <c r="AC36" i="35"/>
  <c r="W36" i="35"/>
  <c r="E8" i="6"/>
  <c r="B7" i="59"/>
  <c r="B6" i="59" s="1"/>
  <c r="B5" i="59" s="1"/>
  <c r="S8" i="59"/>
  <c r="H7" i="36"/>
  <c r="U7" i="36" s="1"/>
  <c r="U42" i="21"/>
  <c r="C36" i="59"/>
  <c r="D35" i="59"/>
  <c r="F61" i="73"/>
  <c r="AZ335" i="3"/>
  <c r="AZ286" i="3"/>
  <c r="S12" i="33"/>
  <c r="AA12" i="33"/>
  <c r="AA38" i="37"/>
  <c r="S38" i="37"/>
  <c r="G5" i="3"/>
  <c r="B3" i="3" s="1"/>
  <c r="E474" i="3" s="1"/>
  <c r="F7" i="59"/>
  <c r="F6" i="59" s="1"/>
  <c r="F5" i="59" s="1"/>
  <c r="V8" i="59"/>
  <c r="F11" i="76"/>
  <c r="M11" i="76"/>
  <c r="J10" i="76" s="1"/>
  <c r="F11" i="75"/>
  <c r="M11" i="75"/>
  <c r="J10" i="75" s="1"/>
  <c r="F11" i="74"/>
  <c r="M11" i="74"/>
  <c r="J10" i="74" s="1"/>
  <c r="F11" i="73"/>
  <c r="M11" i="73"/>
  <c r="J10" i="73" s="1"/>
  <c r="AA23" i="34"/>
  <c r="S23" i="34"/>
  <c r="U23" i="34"/>
  <c r="K15" i="1"/>
  <c r="K16" i="1" s="1"/>
  <c r="E30" i="6"/>
  <c r="K17" i="4"/>
  <c r="A22" i="51" s="1"/>
  <c r="B16" i="63" s="1"/>
  <c r="U36" i="33"/>
  <c r="S36" i="33"/>
  <c r="AA36" i="33"/>
  <c r="AC37" i="34"/>
  <c r="W37" i="34"/>
  <c r="AA37" i="34"/>
  <c r="S37" i="34"/>
  <c r="U37" i="34"/>
  <c r="AB37" i="34"/>
  <c r="S12" i="34"/>
  <c r="AA12" i="34"/>
  <c r="U14" i="34"/>
  <c r="AB14" i="34"/>
  <c r="U12" i="34"/>
  <c r="AB12" i="34"/>
  <c r="AA14" i="34"/>
  <c r="S14" i="34"/>
  <c r="W37" i="21"/>
  <c r="AC37" i="21"/>
  <c r="H37" i="21"/>
  <c r="F37" i="21"/>
  <c r="AA28" i="21"/>
  <c r="S28" i="21"/>
  <c r="D67" i="40"/>
  <c r="E65" i="40"/>
  <c r="F7" i="37"/>
  <c r="AA7" i="37" s="1"/>
  <c r="R42" i="37" s="1"/>
  <c r="E70" i="39"/>
  <c r="D72" i="39"/>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7" i="39"/>
  <c r="E62" i="40"/>
  <c r="E58" i="40"/>
  <c r="E63" i="39"/>
  <c r="E59" i="40"/>
  <c r="E64" i="39"/>
  <c r="J7" i="37"/>
  <c r="W7" i="37" s="1"/>
  <c r="H7" i="37"/>
  <c r="AB7" i="37" s="1"/>
  <c r="T42" i="37" s="1"/>
  <c r="G42" i="37" s="1"/>
  <c r="J12" i="40"/>
  <c r="AC12" i="40" s="1"/>
  <c r="S7" i="36"/>
  <c r="AA7" i="36"/>
  <c r="R36" i="36" s="1"/>
  <c r="AA7" i="35"/>
  <c r="R38" i="35" s="1"/>
  <c r="S7" i="35"/>
  <c r="AC7" i="35"/>
  <c r="V38" i="35" s="1"/>
  <c r="I38" i="35" s="1"/>
  <c r="W7" i="35"/>
  <c r="E59" i="34"/>
  <c r="E58" i="21"/>
  <c r="E58" i="33"/>
  <c r="W7" i="36"/>
  <c r="AC7" i="36"/>
  <c r="V36" i="36" s="1"/>
  <c r="I36" i="36" s="1"/>
  <c r="U7" i="35"/>
  <c r="AB7" i="35"/>
  <c r="T38" i="35" s="1"/>
  <c r="G38" i="35" s="1"/>
  <c r="F12" i="40"/>
  <c r="S12" i="40" s="1"/>
  <c r="H12" i="40"/>
  <c r="U12" i="40" s="1"/>
  <c r="F12" i="39"/>
  <c r="S12" i="39" s="1"/>
  <c r="J12" i="39"/>
  <c r="AC12" i="39" s="1"/>
  <c r="E60" i="40"/>
  <c r="E65" i="39"/>
  <c r="P6" i="1"/>
  <c r="E61" i="40"/>
  <c r="E66" i="39"/>
  <c r="U12" i="39"/>
  <c r="AB12" i="39"/>
  <c r="M19" i="44"/>
  <c r="C19" i="46"/>
  <c r="F17" i="11"/>
  <c r="Q62" i="15"/>
  <c r="Q75" i="15"/>
  <c r="M13" i="44"/>
  <c r="J12" i="44" s="1"/>
  <c r="J7" i="44" s="1"/>
  <c r="F11" i="15"/>
  <c r="M11" i="15"/>
  <c r="J10" i="15" s="1"/>
  <c r="F13" i="44"/>
  <c r="C12" i="44" s="1"/>
  <c r="C7" i="44" s="1"/>
  <c r="Q75" i="44"/>
  <c r="Q62" i="44"/>
  <c r="C48" i="15"/>
  <c r="M28" i="46"/>
  <c r="F1" i="44"/>
  <c r="Q54" i="44"/>
  <c r="J20" i="44"/>
  <c r="Q63" i="44"/>
  <c r="Q76" i="44"/>
  <c r="C34" i="44"/>
  <c r="F1" i="15"/>
  <c r="Q53" i="15"/>
  <c r="Q61" i="15"/>
  <c r="Q74" i="15"/>
  <c r="J6" i="15"/>
  <c r="F43" i="76"/>
  <c r="L48" i="76"/>
  <c r="M29" i="73"/>
  <c r="L48" i="73"/>
  <c r="C60" i="76"/>
  <c r="F38" i="73"/>
  <c r="AE6" i="1"/>
  <c r="F42" i="74"/>
  <c r="F37" i="73"/>
  <c r="J36" i="73"/>
  <c r="F40" i="75"/>
  <c r="F40" i="74"/>
  <c r="J15" i="76"/>
  <c r="M23" i="74"/>
  <c r="F7" i="75"/>
  <c r="J36" i="74"/>
  <c r="M24" i="74"/>
  <c r="F42" i="76"/>
  <c r="M6" i="74"/>
  <c r="M26" i="76"/>
  <c r="F26" i="73"/>
  <c r="M28" i="75"/>
  <c r="C33" i="76"/>
  <c r="F38" i="76"/>
  <c r="M6" i="73"/>
  <c r="J36" i="76"/>
  <c r="M24" i="76"/>
  <c r="C33" i="74"/>
  <c r="M22" i="76"/>
  <c r="M8" i="76"/>
  <c r="M9" i="76"/>
  <c r="M23" i="76"/>
  <c r="L47" i="76"/>
  <c r="J15" i="73"/>
  <c r="L48" i="75"/>
  <c r="F13" i="76"/>
  <c r="F7" i="76"/>
  <c r="F36" i="73"/>
  <c r="M23" i="75"/>
  <c r="C60" i="74"/>
  <c r="F36" i="75"/>
  <c r="C33" i="75"/>
  <c r="M27" i="75"/>
  <c r="M26" i="75"/>
  <c r="F43" i="75"/>
  <c r="J36" i="75"/>
  <c r="M28" i="74"/>
  <c r="F40" i="76"/>
  <c r="M6" i="75"/>
  <c r="F16" i="74"/>
  <c r="F13" i="74"/>
  <c r="F37" i="76"/>
  <c r="F16" i="73"/>
  <c r="F26" i="74"/>
  <c r="L47" i="75"/>
  <c r="E2" i="65"/>
  <c r="F38" i="75"/>
  <c r="C60" i="75"/>
  <c r="F37" i="74"/>
  <c r="F38" i="74"/>
  <c r="L48" i="74"/>
  <c r="F26" i="76"/>
  <c r="F8" i="76"/>
  <c r="C19" i="44"/>
  <c r="F7" i="74"/>
  <c r="F9" i="74"/>
  <c r="M28" i="76"/>
  <c r="F41" i="15"/>
  <c r="F36" i="74"/>
  <c r="M8" i="73"/>
  <c r="M9" i="73"/>
  <c r="M28" i="73"/>
  <c r="F37" i="75"/>
  <c r="C33" i="73"/>
  <c r="F7" i="73"/>
  <c r="J15" i="75"/>
  <c r="F8" i="74"/>
  <c r="C60" i="73"/>
  <c r="F9" i="73"/>
  <c r="F42" i="75"/>
  <c r="M26" i="74"/>
  <c r="M9" i="75"/>
  <c r="M26" i="73"/>
  <c r="M24" i="73"/>
  <c r="F16" i="75"/>
  <c r="M29" i="75"/>
  <c r="M23" i="73"/>
  <c r="M8" i="75"/>
  <c r="M24" i="75"/>
  <c r="F9" i="76"/>
  <c r="M22" i="75"/>
  <c r="J15" i="74"/>
  <c r="M22" i="74"/>
  <c r="L47" i="74"/>
  <c r="F42" i="73"/>
  <c r="F43" i="73"/>
  <c r="F43" i="74"/>
  <c r="M29" i="74"/>
  <c r="M29" i="76"/>
  <c r="M22" i="73"/>
  <c r="F16" i="76"/>
  <c r="F13" i="73"/>
  <c r="L47" i="73"/>
  <c r="M8" i="74"/>
  <c r="M27" i="76"/>
  <c r="F40" i="73"/>
  <c r="F8" i="73"/>
  <c r="F9" i="75"/>
  <c r="M6" i="76"/>
  <c r="M27" i="73"/>
  <c r="F13" i="75"/>
  <c r="F26" i="75"/>
  <c r="F36" i="76"/>
  <c r="F8" i="75"/>
  <c r="M9" i="74"/>
  <c r="M27" i="74"/>
  <c r="B40" i="1" l="1"/>
  <c r="O28" i="46"/>
  <c r="G20" i="46" s="1"/>
  <c r="P28" i="46"/>
  <c r="F63" i="75"/>
  <c r="L59" i="75"/>
  <c r="L58" i="75"/>
  <c r="C27" i="74"/>
  <c r="F63" i="76"/>
  <c r="F70" i="73"/>
  <c r="F50" i="75"/>
  <c r="F63" i="74"/>
  <c r="Q72" i="76"/>
  <c r="C27" i="75"/>
  <c r="F67" i="74"/>
  <c r="L59" i="74"/>
  <c r="L58" i="74"/>
  <c r="F64" i="76"/>
  <c r="F63" i="73"/>
  <c r="F50" i="73"/>
  <c r="F67" i="75"/>
  <c r="F65" i="76"/>
  <c r="M7" i="76"/>
  <c r="J6" i="76" s="1"/>
  <c r="F49" i="76"/>
  <c r="F67" i="73"/>
  <c r="Q72" i="73"/>
  <c r="M7" i="74"/>
  <c r="J6" i="74" s="1"/>
  <c r="F49" i="74"/>
  <c r="F64" i="73"/>
  <c r="L56" i="75"/>
  <c r="L60" i="75"/>
  <c r="L57" i="75"/>
  <c r="J57" i="75"/>
  <c r="J55" i="75" s="1"/>
  <c r="J58" i="75" s="1"/>
  <c r="Q51" i="75" s="1"/>
  <c r="J53" i="75"/>
  <c r="J60" i="75"/>
  <c r="Q49" i="75" s="1"/>
  <c r="J59" i="75"/>
  <c r="I54" i="75"/>
  <c r="F50" i="74"/>
  <c r="F67" i="76"/>
  <c r="F50" i="76"/>
  <c r="C48" i="76" s="1"/>
  <c r="C27" i="73"/>
  <c r="L59" i="73"/>
  <c r="L58" i="73"/>
  <c r="C27" i="76"/>
  <c r="L59" i="76"/>
  <c r="L58" i="76"/>
  <c r="F65" i="73"/>
  <c r="F49" i="73"/>
  <c r="M7" i="73"/>
  <c r="J6" i="73" s="1"/>
  <c r="Q72" i="75"/>
  <c r="L60" i="74"/>
  <c r="J53" i="74"/>
  <c r="I54" i="74"/>
  <c r="J57" i="74"/>
  <c r="J55" i="74" s="1"/>
  <c r="J58" i="74" s="1"/>
  <c r="Q51" i="74" s="1"/>
  <c r="J60" i="74"/>
  <c r="Q49" i="74" s="1"/>
  <c r="J59" i="74"/>
  <c r="L56" i="74"/>
  <c r="L57" i="74"/>
  <c r="F70" i="75"/>
  <c r="F65" i="74"/>
  <c r="I54" i="73"/>
  <c r="J53" i="73"/>
  <c r="J57" i="73"/>
  <c r="J55" i="73" s="1"/>
  <c r="J58" i="73" s="1"/>
  <c r="Q51" i="73" s="1"/>
  <c r="J60" i="73"/>
  <c r="Q49" i="73" s="1"/>
  <c r="J59" i="73"/>
  <c r="L56" i="73"/>
  <c r="L60" i="73"/>
  <c r="F64" i="75"/>
  <c r="F64" i="74"/>
  <c r="Q72" i="74"/>
  <c r="L56" i="76"/>
  <c r="L57" i="76"/>
  <c r="J53" i="76"/>
  <c r="J60" i="76"/>
  <c r="Q49" i="76" s="1"/>
  <c r="I54" i="76"/>
  <c r="J57" i="76"/>
  <c r="J55" i="76" s="1"/>
  <c r="J58" i="76" s="1"/>
  <c r="Q51" i="76" s="1"/>
  <c r="J59" i="76"/>
  <c r="L60" i="76"/>
  <c r="F65" i="75"/>
  <c r="F49" i="75"/>
  <c r="M7" i="75"/>
  <c r="J6" i="75" s="1"/>
  <c r="F70" i="74"/>
  <c r="F70" i="76"/>
  <c r="U7" i="37"/>
  <c r="S7" i="37"/>
  <c r="T44" i="59"/>
  <c r="D44" i="59"/>
  <c r="D56" i="59"/>
  <c r="T56" i="59"/>
  <c r="E71" i="3"/>
  <c r="AC7" i="37"/>
  <c r="V42" i="37" s="1"/>
  <c r="I42" i="37" s="1"/>
  <c r="AB7" i="36"/>
  <c r="T36" i="36" s="1"/>
  <c r="G36" i="36" s="1"/>
  <c r="G40" i="36" s="1"/>
  <c r="H40" i="36" s="1"/>
  <c r="D19" i="59"/>
  <c r="C18" i="59"/>
  <c r="D18" i="59" s="1"/>
  <c r="E568" i="3"/>
  <c r="E53" i="40"/>
  <c r="E58" i="39"/>
  <c r="F27" i="6"/>
  <c r="C10" i="59"/>
  <c r="D11" i="59"/>
  <c r="E19" i="3"/>
  <c r="D8" i="11"/>
  <c r="E250" i="3"/>
  <c r="E92" i="3"/>
  <c r="E149" i="3"/>
  <c r="E460" i="3"/>
  <c r="E292" i="3"/>
  <c r="E75" i="3"/>
  <c r="E48" i="3"/>
  <c r="E363" i="3"/>
  <c r="E425" i="3"/>
  <c r="E272" i="3"/>
  <c r="O6" i="3"/>
  <c r="E258" i="3"/>
  <c r="E449" i="3"/>
  <c r="E276" i="3"/>
  <c r="E308" i="3"/>
  <c r="E477" i="3"/>
  <c r="E160" i="3"/>
  <c r="AI6" i="3"/>
  <c r="E87" i="3"/>
  <c r="E128" i="3"/>
  <c r="E256" i="3"/>
  <c r="E525" i="3"/>
  <c r="E456" i="3"/>
  <c r="E50" i="3"/>
  <c r="E546" i="3"/>
  <c r="E171" i="3"/>
  <c r="E56" i="3"/>
  <c r="E495" i="3"/>
  <c r="E485" i="3"/>
  <c r="E366" i="3"/>
  <c r="E340" i="3"/>
  <c r="E496" i="3"/>
  <c r="E461" i="3"/>
  <c r="E519" i="3"/>
  <c r="E346" i="3"/>
  <c r="E523" i="3"/>
  <c r="E476" i="3"/>
  <c r="E348" i="3"/>
  <c r="E55" i="3"/>
  <c r="E375" i="3"/>
  <c r="E124" i="3"/>
  <c r="E297" i="3"/>
  <c r="E471" i="3"/>
  <c r="E450" i="3"/>
  <c r="E549" i="3"/>
  <c r="E441" i="3"/>
  <c r="E33" i="3"/>
  <c r="AS6" i="3"/>
  <c r="E533" i="3"/>
  <c r="E539" i="3"/>
  <c r="E203" i="3"/>
  <c r="E25" i="3"/>
  <c r="E372" i="3"/>
  <c r="E365" i="3"/>
  <c r="E220" i="3"/>
  <c r="E416" i="3"/>
  <c r="AG6" i="3"/>
  <c r="E281" i="3"/>
  <c r="E433" i="3"/>
  <c r="E287" i="3"/>
  <c r="E228" i="3"/>
  <c r="E538" i="3"/>
  <c r="E353" i="3"/>
  <c r="E277" i="3"/>
  <c r="E45" i="3"/>
  <c r="E339" i="3"/>
  <c r="E122" i="3"/>
  <c r="E323" i="3"/>
  <c r="E571" i="3"/>
  <c r="E368" i="3"/>
  <c r="E487" i="3"/>
  <c r="E563" i="3"/>
  <c r="E137" i="3"/>
  <c r="E544" i="3"/>
  <c r="E564" i="3"/>
  <c r="E413" i="3"/>
  <c r="E147" i="3"/>
  <c r="E91" i="3"/>
  <c r="E31" i="3"/>
  <c r="E311" i="3"/>
  <c r="E82" i="3"/>
  <c r="E262" i="3"/>
  <c r="E86" i="3"/>
  <c r="E206" i="3"/>
  <c r="E46" i="3"/>
  <c r="E470" i="3"/>
  <c r="E266" i="3"/>
  <c r="E548" i="3"/>
  <c r="E520" i="3"/>
  <c r="E418" i="3"/>
  <c r="E201" i="3"/>
  <c r="E205" i="3"/>
  <c r="E28" i="3"/>
  <c r="E97" i="3"/>
  <c r="E190" i="3"/>
  <c r="E401" i="3"/>
  <c r="L6" i="3"/>
  <c r="E556" i="3"/>
  <c r="E393" i="3"/>
  <c r="E196" i="3"/>
  <c r="E369" i="3"/>
  <c r="E466" i="3"/>
  <c r="E197" i="3"/>
  <c r="E419" i="3"/>
  <c r="AF6" i="3"/>
  <c r="E300" i="3"/>
  <c r="E554" i="3"/>
  <c r="E493" i="3"/>
  <c r="E260" i="3"/>
  <c r="E15" i="3"/>
  <c r="E298" i="3"/>
  <c r="E144" i="3"/>
  <c r="E163" i="3"/>
  <c r="E501" i="3"/>
  <c r="E566" i="3"/>
  <c r="E504" i="3"/>
  <c r="E138" i="3"/>
  <c r="E17" i="3"/>
  <c r="E318" i="3"/>
  <c r="E59" i="3"/>
  <c r="E202" i="3"/>
  <c r="E32" i="3"/>
  <c r="E317" i="3"/>
  <c r="E34" i="3"/>
  <c r="E136" i="3"/>
  <c r="E111" i="3"/>
  <c r="E166" i="3"/>
  <c r="E67" i="3"/>
  <c r="E305" i="3"/>
  <c r="E145" i="3"/>
  <c r="E370" i="3"/>
  <c r="E448" i="3"/>
  <c r="E513" i="3"/>
  <c r="E235" i="3"/>
  <c r="E66" i="3"/>
  <c r="E362" i="3"/>
  <c r="E355" i="3"/>
  <c r="E319" i="3"/>
  <c r="E246" i="3"/>
  <c r="E216" i="3"/>
  <c r="E90" i="3"/>
  <c r="E354" i="3"/>
  <c r="E182" i="3"/>
  <c r="E338" i="3"/>
  <c r="E342" i="3"/>
  <c r="E371" i="3"/>
  <c r="E494" i="3"/>
  <c r="E488" i="3"/>
  <c r="E155" i="3"/>
  <c r="E358" i="3"/>
  <c r="E481" i="3"/>
  <c r="AO6" i="3"/>
  <c r="E446" i="3"/>
  <c r="E117" i="3"/>
  <c r="E391" i="3"/>
  <c r="E222" i="3"/>
  <c r="E146" i="3"/>
  <c r="E552" i="3"/>
  <c r="E270" i="3"/>
  <c r="E492" i="3"/>
  <c r="E100" i="3"/>
  <c r="E367" i="3"/>
  <c r="Q6" i="3"/>
  <c r="E444" i="3"/>
  <c r="E113" i="3"/>
  <c r="E303" i="3"/>
  <c r="E52" i="3"/>
  <c r="E172" i="3"/>
  <c r="E479" i="3"/>
  <c r="E154" i="3"/>
  <c r="E336" i="3"/>
  <c r="E453" i="3"/>
  <c r="E121" i="3"/>
  <c r="E72" i="3"/>
  <c r="E120" i="3"/>
  <c r="E29" i="3"/>
  <c r="E306" i="3"/>
  <c r="E334" i="3"/>
  <c r="E217" i="3"/>
  <c r="E236" i="3"/>
  <c r="E42" i="3"/>
  <c r="E118" i="3"/>
  <c r="E312" i="3"/>
  <c r="E518" i="3"/>
  <c r="E572" i="3"/>
  <c r="E130" i="3"/>
  <c r="S6" i="3"/>
  <c r="E268" i="3"/>
  <c r="E484" i="3"/>
  <c r="E13" i="3"/>
  <c r="M6" i="3"/>
  <c r="E22" i="3"/>
  <c r="E115" i="3"/>
  <c r="E409" i="3"/>
  <c r="E299" i="3"/>
  <c r="E200" i="3"/>
  <c r="E230" i="3"/>
  <c r="E68" i="3"/>
  <c r="E164" i="3"/>
  <c r="AE6" i="3"/>
  <c r="E467" i="3"/>
  <c r="E264" i="3"/>
  <c r="E134" i="3"/>
  <c r="E331" i="3"/>
  <c r="E491" i="3"/>
  <c r="E396" i="3"/>
  <c r="E498" i="3"/>
  <c r="E335" i="3"/>
  <c r="E515" i="3"/>
  <c r="E328" i="3"/>
  <c r="E565" i="3"/>
  <c r="E192" i="3"/>
  <c r="E152" i="3"/>
  <c r="E231" i="3"/>
  <c r="E321" i="3"/>
  <c r="E388" i="3"/>
  <c r="E77" i="3"/>
  <c r="E57" i="3"/>
  <c r="E209" i="3"/>
  <c r="E249" i="3"/>
  <c r="E30" i="3"/>
  <c r="E447" i="3"/>
  <c r="E179" i="3"/>
  <c r="E455" i="3"/>
  <c r="E37" i="3"/>
  <c r="E245" i="3"/>
  <c r="E408" i="3"/>
  <c r="E36" i="3"/>
  <c r="E404" i="3"/>
  <c r="E547" i="3"/>
  <c r="E357" i="3"/>
  <c r="E438" i="3"/>
  <c r="E189" i="3"/>
  <c r="E332" i="3"/>
  <c r="E39" i="3"/>
  <c r="E204" i="3"/>
  <c r="E486" i="3"/>
  <c r="E126" i="3"/>
  <c r="E347" i="3"/>
  <c r="E105" i="3"/>
  <c r="E198" i="3"/>
  <c r="E61" i="3"/>
  <c r="E234" i="3"/>
  <c r="E314" i="3"/>
  <c r="E558" i="3"/>
  <c r="E569" i="3"/>
  <c r="E385" i="3"/>
  <c r="E373" i="3"/>
  <c r="E106" i="3"/>
  <c r="E315" i="3"/>
  <c r="E506" i="3"/>
  <c r="AL6" i="3"/>
  <c r="E350" i="3"/>
  <c r="E329" i="3"/>
  <c r="E254" i="3"/>
  <c r="E240" i="3"/>
  <c r="E541" i="3"/>
  <c r="E132" i="3"/>
  <c r="E282" i="3"/>
  <c r="X6" i="3"/>
  <c r="E263" i="3"/>
  <c r="E101" i="3"/>
  <c r="E395" i="3"/>
  <c r="E157" i="3"/>
  <c r="E295" i="3"/>
  <c r="E374" i="3"/>
  <c r="E426" i="3"/>
  <c r="E141" i="3"/>
  <c r="E560" i="3"/>
  <c r="E257" i="3"/>
  <c r="U6" i="3"/>
  <c r="E417" i="3"/>
  <c r="Y6" i="3"/>
  <c r="E58" i="3"/>
  <c r="E123" i="3"/>
  <c r="E555" i="3"/>
  <c r="E551" i="3"/>
  <c r="E307" i="3"/>
  <c r="T6" i="3"/>
  <c r="E226" i="3"/>
  <c r="E227" i="3"/>
  <c r="E377" i="3"/>
  <c r="E411" i="3"/>
  <c r="E464" i="3"/>
  <c r="E131" i="3"/>
  <c r="E170" i="3"/>
  <c r="E399" i="3"/>
  <c r="E178" i="3"/>
  <c r="E407" i="3"/>
  <c r="E233" i="3"/>
  <c r="E102" i="3"/>
  <c r="E116" i="3"/>
  <c r="E527" i="3"/>
  <c r="E480" i="3"/>
  <c r="E309" i="3"/>
  <c r="E65" i="3"/>
  <c r="E162" i="3"/>
  <c r="E133" i="3"/>
  <c r="E386" i="3"/>
  <c r="E559" i="3"/>
  <c r="E530" i="3"/>
  <c r="K6" i="3"/>
  <c r="E81" i="3"/>
  <c r="E320" i="3"/>
  <c r="E153" i="3"/>
  <c r="E35" i="3"/>
  <c r="E269" i="3"/>
  <c r="E364" i="3"/>
  <c r="E532" i="3"/>
  <c r="E310" i="3"/>
  <c r="E273" i="3"/>
  <c r="E244" i="3"/>
  <c r="E252" i="3"/>
  <c r="E509" i="3"/>
  <c r="E475" i="3"/>
  <c r="E93" i="3"/>
  <c r="E221" i="3"/>
  <c r="E349" i="3"/>
  <c r="E215" i="3"/>
  <c r="Z6" i="3"/>
  <c r="AK6" i="3"/>
  <c r="E238" i="3"/>
  <c r="E237" i="3"/>
  <c r="I3" i="6"/>
  <c r="E415" i="3"/>
  <c r="E119" i="3"/>
  <c r="E383" i="3"/>
  <c r="E79" i="3"/>
  <c r="E275" i="3"/>
  <c r="E445" i="3"/>
  <c r="E288" i="3"/>
  <c r="E465" i="3"/>
  <c r="E517" i="3"/>
  <c r="E96" i="3"/>
  <c r="E505" i="3"/>
  <c r="E290" i="3"/>
  <c r="E529" i="3"/>
  <c r="E176" i="3"/>
  <c r="E508" i="3"/>
  <c r="E489" i="3"/>
  <c r="E436" i="3"/>
  <c r="E524" i="3"/>
  <c r="E284" i="3"/>
  <c r="E14" i="3"/>
  <c r="E208" i="3"/>
  <c r="E159" i="3"/>
  <c r="E497" i="3"/>
  <c r="E510" i="3"/>
  <c r="E352" i="3"/>
  <c r="E322" i="3"/>
  <c r="E316" i="3"/>
  <c r="E326" i="3"/>
  <c r="E241" i="3"/>
  <c r="E439" i="3"/>
  <c r="E359" i="3"/>
  <c r="E83" i="3"/>
  <c r="E327" i="3"/>
  <c r="E62" i="3"/>
  <c r="E143" i="3"/>
  <c r="E41" i="3"/>
  <c r="E161" i="3"/>
  <c r="E89" i="3"/>
  <c r="E223" i="3"/>
  <c r="E60" i="3"/>
  <c r="E168" i="3"/>
  <c r="E289" i="3"/>
  <c r="E420" i="3"/>
  <c r="E451" i="3"/>
  <c r="E255" i="3"/>
  <c r="E43" i="3"/>
  <c r="E243" i="3"/>
  <c r="AR6" i="3"/>
  <c r="AQ6" i="3"/>
  <c r="E242" i="3"/>
  <c r="E302" i="3"/>
  <c r="E40" i="3"/>
  <c r="E379" i="3"/>
  <c r="E180" i="3"/>
  <c r="E325" i="3"/>
  <c r="E177" i="3"/>
  <c r="E212" i="3"/>
  <c r="E181" i="3"/>
  <c r="E378" i="3"/>
  <c r="E483" i="3"/>
  <c r="E384" i="3"/>
  <c r="E553" i="3"/>
  <c r="E406" i="3"/>
  <c r="E511" i="3"/>
  <c r="E175" i="3"/>
  <c r="E356" i="3"/>
  <c r="E114" i="3"/>
  <c r="E437" i="3"/>
  <c r="E528" i="3"/>
  <c r="E127" i="3"/>
  <c r="E430" i="3"/>
  <c r="E434" i="3"/>
  <c r="E280" i="3"/>
  <c r="E44" i="3"/>
  <c r="E428" i="3"/>
  <c r="E463" i="3"/>
  <c r="E80" i="3"/>
  <c r="E500" i="3"/>
  <c r="E247" i="3"/>
  <c r="E507" i="3"/>
  <c r="E139" i="3"/>
  <c r="E107" i="3"/>
  <c r="E207" i="3"/>
  <c r="E543" i="3"/>
  <c r="E211" i="3"/>
  <c r="E400" i="3"/>
  <c r="E540" i="3"/>
  <c r="E224" i="3"/>
  <c r="E440" i="3"/>
  <c r="E191" i="3"/>
  <c r="E271" i="3"/>
  <c r="E502" i="3"/>
  <c r="E173" i="3"/>
  <c r="AJ6" i="3"/>
  <c r="E95" i="3"/>
  <c r="E360" i="3"/>
  <c r="E169" i="3"/>
  <c r="E344" i="3"/>
  <c r="E514" i="3"/>
  <c r="E167" i="3"/>
  <c r="E516" i="3"/>
  <c r="E26" i="3"/>
  <c r="E341" i="3"/>
  <c r="E382" i="3"/>
  <c r="E557" i="3"/>
  <c r="E69" i="3"/>
  <c r="E459" i="3"/>
  <c r="E195" i="3"/>
  <c r="AD6" i="3"/>
  <c r="E103" i="3"/>
  <c r="E389" i="3"/>
  <c r="E429" i="3"/>
  <c r="E285" i="3"/>
  <c r="E183" i="3"/>
  <c r="E330" i="3"/>
  <c r="E570" i="3"/>
  <c r="E414" i="3"/>
  <c r="E239" i="3"/>
  <c r="E432" i="3"/>
  <c r="E567" i="3"/>
  <c r="E304" i="3"/>
  <c r="E73" i="3"/>
  <c r="E458" i="3"/>
  <c r="E210" i="3"/>
  <c r="AB6" i="3"/>
  <c r="E186" i="3"/>
  <c r="E424" i="3"/>
  <c r="I6" i="3"/>
  <c r="J6" i="3"/>
  <c r="E150" i="3"/>
  <c r="E361" i="3"/>
  <c r="E99" i="3"/>
  <c r="E274" i="3"/>
  <c r="E88" i="3"/>
  <c r="E76" i="3"/>
  <c r="E251" i="3"/>
  <c r="E542" i="3"/>
  <c r="E259" i="3"/>
  <c r="E478" i="3"/>
  <c r="E279" i="3"/>
  <c r="E531" i="3"/>
  <c r="E112" i="3"/>
  <c r="E550" i="3"/>
  <c r="E526" i="3"/>
  <c r="E324" i="3"/>
  <c r="E267" i="3"/>
  <c r="E301" i="3"/>
  <c r="E454" i="3"/>
  <c r="E85" i="3"/>
  <c r="V6" i="3"/>
  <c r="E499" i="3"/>
  <c r="E18" i="3"/>
  <c r="E135" i="3"/>
  <c r="E261" i="3"/>
  <c r="E74" i="3"/>
  <c r="E403" i="3"/>
  <c r="E562" i="3"/>
  <c r="E20" i="3"/>
  <c r="E421" i="3"/>
  <c r="E51" i="3"/>
  <c r="E351" i="3"/>
  <c r="E380" i="3"/>
  <c r="E333" i="3"/>
  <c r="E214" i="3"/>
  <c r="E392" i="3"/>
  <c r="E457" i="3"/>
  <c r="AA6" i="3"/>
  <c r="E402" i="3"/>
  <c r="E345" i="3"/>
  <c r="E16" i="3"/>
  <c r="E522" i="3"/>
  <c r="E394" i="3"/>
  <c r="AN6" i="3"/>
  <c r="E229" i="3"/>
  <c r="E521" i="3"/>
  <c r="E535" i="3"/>
  <c r="E278" i="3"/>
  <c r="E294" i="3"/>
  <c r="E140" i="3"/>
  <c r="E410" i="3"/>
  <c r="E185" i="3"/>
  <c r="E412" i="3"/>
  <c r="E158" i="3"/>
  <c r="E213" i="3"/>
  <c r="E184" i="3"/>
  <c r="E187" i="3"/>
  <c r="E443" i="3"/>
  <c r="E390" i="3"/>
  <c r="E225" i="3"/>
  <c r="E435" i="3"/>
  <c r="E442" i="3"/>
  <c r="E174" i="3"/>
  <c r="E422" i="3"/>
  <c r="E156" i="3"/>
  <c r="E104" i="3"/>
  <c r="R6" i="3"/>
  <c r="P6" i="3"/>
  <c r="E431" i="3"/>
  <c r="E151" i="3"/>
  <c r="E405" i="3"/>
  <c r="E265" i="3"/>
  <c r="E537" i="3"/>
  <c r="E462" i="3"/>
  <c r="N6" i="3"/>
  <c r="E472" i="3"/>
  <c r="E47" i="3"/>
  <c r="E232" i="3"/>
  <c r="E427" i="3"/>
  <c r="E64" i="3"/>
  <c r="E142" i="3"/>
  <c r="E293" i="3"/>
  <c r="E218" i="3"/>
  <c r="E561" i="3"/>
  <c r="E63" i="3"/>
  <c r="E381" i="3"/>
  <c r="E94" i="3"/>
  <c r="E21" i="3"/>
  <c r="E343" i="3"/>
  <c r="E468" i="3"/>
  <c r="E148" i="3"/>
  <c r="E469" i="3"/>
  <c r="E194" i="3"/>
  <c r="E296" i="3"/>
  <c r="E199" i="3"/>
  <c r="E490" i="3"/>
  <c r="E110" i="3"/>
  <c r="E129" i="3"/>
  <c r="E398" i="3"/>
  <c r="AM6" i="3"/>
  <c r="E109" i="3"/>
  <c r="E49" i="3"/>
  <c r="E534" i="3"/>
  <c r="E125" i="3"/>
  <c r="E84" i="3"/>
  <c r="E70" i="3"/>
  <c r="E313" i="3"/>
  <c r="W6" i="3"/>
  <c r="E54" i="3"/>
  <c r="E482" i="3"/>
  <c r="E376" i="3"/>
  <c r="E27" i="3"/>
  <c r="E78" i="3"/>
  <c r="E423" i="3"/>
  <c r="E98" i="3"/>
  <c r="E387" i="3"/>
  <c r="E38" i="3"/>
  <c r="E452" i="3"/>
  <c r="E473" i="3"/>
  <c r="E536" i="3"/>
  <c r="E283" i="3"/>
  <c r="E193" i="3"/>
  <c r="AH6" i="3"/>
  <c r="AP6" i="3"/>
  <c r="E53" i="3"/>
  <c r="E23" i="3"/>
  <c r="E337" i="3"/>
  <c r="E253" i="3"/>
  <c r="E397" i="3"/>
  <c r="E545" i="3"/>
  <c r="E248" i="3"/>
  <c r="T36" i="59"/>
  <c r="D36" i="59"/>
  <c r="O14" i="1"/>
  <c r="O16" i="1" s="1"/>
  <c r="M16" i="1"/>
  <c r="P14" i="1"/>
  <c r="P16" i="1" s="1"/>
  <c r="C13" i="12" s="1"/>
  <c r="C17" i="12" s="1"/>
  <c r="AZ5" i="3"/>
  <c r="E503" i="3"/>
  <c r="E188" i="3"/>
  <c r="F24" i="75"/>
  <c r="C24" i="75" s="1"/>
  <c r="F24" i="76"/>
  <c r="C52" i="76"/>
  <c r="C52" i="75"/>
  <c r="F24" i="73"/>
  <c r="C24" i="73" s="1"/>
  <c r="F24" i="74"/>
  <c r="C52" i="74"/>
  <c r="C52" i="73"/>
  <c r="F68" i="15"/>
  <c r="S37" i="21"/>
  <c r="AA37" i="21"/>
  <c r="U37" i="21"/>
  <c r="AB37" i="21"/>
  <c r="E72" i="39"/>
  <c r="F70" i="39"/>
  <c r="F65" i="40"/>
  <c r="E67" i="40"/>
  <c r="C115" i="46"/>
  <c r="D113" i="46" s="1"/>
  <c r="AA12" i="40"/>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C15" i="12"/>
  <c r="W12" i="39"/>
  <c r="C36" i="46"/>
  <c r="G36" i="46" s="1"/>
  <c r="I36" i="46" s="1"/>
  <c r="T16" i="46"/>
  <c r="V16" i="46" s="1"/>
  <c r="T8" i="46"/>
  <c r="V8" i="46" s="1"/>
  <c r="C39" i="46"/>
  <c r="E39" i="46" s="1"/>
  <c r="C35" i="46"/>
  <c r="G35" i="46" s="1"/>
  <c r="I35" i="46" s="1"/>
  <c r="T13" i="46"/>
  <c r="V13" i="46" s="1"/>
  <c r="T5" i="46"/>
  <c r="V5" i="46" s="1"/>
  <c r="T11" i="46"/>
  <c r="V11" i="46" s="1"/>
  <c r="C37" i="46"/>
  <c r="G37" i="46" s="1"/>
  <c r="I37" i="46" s="1"/>
  <c r="T2" i="46"/>
  <c r="V2" i="46" s="1"/>
  <c r="T6" i="46"/>
  <c r="V6" i="46" s="1"/>
  <c r="J18" i="15"/>
  <c r="J5" i="15"/>
  <c r="C40" i="44"/>
  <c r="J28" i="44"/>
  <c r="J31" i="44" s="1"/>
  <c r="J26" i="44"/>
  <c r="C52" i="15"/>
  <c r="C47" i="15" s="1"/>
  <c r="F21" i="43"/>
  <c r="C23" i="43" s="1"/>
  <c r="D21" i="43" s="1"/>
  <c r="F24" i="15"/>
  <c r="C24" i="15" s="1"/>
  <c r="F26" i="12"/>
  <c r="F26" i="44"/>
  <c r="C26" i="44" s="1"/>
  <c r="C16" i="75"/>
  <c r="C16" i="74"/>
  <c r="C16" i="73"/>
  <c r="C16" i="76"/>
  <c r="C47" i="76" l="1"/>
  <c r="C59" i="76" s="1"/>
  <c r="C48" i="74"/>
  <c r="C47" i="74" s="1"/>
  <c r="C59" i="74" s="1"/>
  <c r="C48" i="73"/>
  <c r="C47" i="73" s="1"/>
  <c r="J18" i="74"/>
  <c r="J5" i="74"/>
  <c r="J18" i="76"/>
  <c r="J5" i="76"/>
  <c r="J18" i="75"/>
  <c r="J5" i="75"/>
  <c r="J18" i="73"/>
  <c r="J5" i="73"/>
  <c r="T9" i="46"/>
  <c r="V9" i="46" s="1"/>
  <c r="Q75" i="76"/>
  <c r="Q62" i="76"/>
  <c r="Q53" i="75"/>
  <c r="F1" i="75"/>
  <c r="AC6" i="3"/>
  <c r="N16" i="1"/>
  <c r="C29" i="43" s="1"/>
  <c r="C13" i="43"/>
  <c r="L16" i="1"/>
  <c r="D14" i="11"/>
  <c r="C14" i="11" s="1"/>
  <c r="C10" i="11" s="1"/>
  <c r="C8" i="11"/>
  <c r="C7" i="11" s="1"/>
  <c r="Q53" i="76"/>
  <c r="F1" i="76"/>
  <c r="Q61" i="73"/>
  <c r="Q74" i="73"/>
  <c r="Q53" i="73"/>
  <c r="F1" i="73"/>
  <c r="Q75" i="73"/>
  <c r="Q62" i="73"/>
  <c r="Q58" i="75"/>
  <c r="Q67" i="75"/>
  <c r="T12" i="46"/>
  <c r="V12" i="46" s="1"/>
  <c r="T3" i="46"/>
  <c r="V3" i="46" s="1"/>
  <c r="C48" i="75"/>
  <c r="C47" i="75" s="1"/>
  <c r="H6" i="3"/>
  <c r="F1" i="74"/>
  <c r="Q53" i="74"/>
  <c r="T15" i="46"/>
  <c r="V15" i="46" s="1"/>
  <c r="T4" i="46"/>
  <c r="V4" i="46" s="1"/>
  <c r="Q67" i="74"/>
  <c r="Q58" i="74"/>
  <c r="C9" i="59"/>
  <c r="D10" i="59"/>
  <c r="E27" i="6"/>
  <c r="F31" i="6"/>
  <c r="Q67" i="76"/>
  <c r="Q58" i="76"/>
  <c r="L46" i="75"/>
  <c r="Q61" i="74"/>
  <c r="Q74" i="74"/>
  <c r="L46" i="73"/>
  <c r="Q75" i="74"/>
  <c r="Q62" i="74"/>
  <c r="Q61" i="75"/>
  <c r="Q74" i="75"/>
  <c r="AY6" i="3"/>
  <c r="E3" i="6"/>
  <c r="L46" i="76"/>
  <c r="Q67" i="73"/>
  <c r="Q58" i="73"/>
  <c r="L46" i="74"/>
  <c r="Q75" i="75"/>
  <c r="Q62" i="75"/>
  <c r="Q61" i="76"/>
  <c r="Q74" i="76"/>
  <c r="C24" i="76"/>
  <c r="C24" i="74"/>
  <c r="G70" i="39"/>
  <c r="F72" i="39"/>
  <c r="F67" i="40"/>
  <c r="G65"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4"/>
  <c r="F7" i="33"/>
  <c r="E35" i="46"/>
  <c r="E36" i="46"/>
  <c r="E37" i="46"/>
  <c r="G39" i="46"/>
  <c r="I39" i="46" s="1"/>
  <c r="C14" i="12"/>
  <c r="C65" i="15"/>
  <c r="C59" i="15"/>
  <c r="C27" i="12"/>
  <c r="D26" i="12" s="1"/>
  <c r="C32" i="12" s="1"/>
  <c r="D30" i="12" s="1"/>
  <c r="J26" i="15"/>
  <c r="J29" i="15" s="1"/>
  <c r="J24" i="15"/>
  <c r="Q58" i="44"/>
  <c r="Q67" i="44"/>
  <c r="Q49" i="44"/>
  <c r="Q55" i="44" s="1"/>
  <c r="AE10" i="1"/>
  <c r="AE7" i="1"/>
  <c r="F7" i="67"/>
  <c r="AE8" i="1"/>
  <c r="AE9" i="1"/>
  <c r="C65" i="76" l="1"/>
  <c r="C65" i="75"/>
  <c r="C59" i="75"/>
  <c r="C65" i="73"/>
  <c r="C59" i="73"/>
  <c r="C65" i="74"/>
  <c r="D16" i="12"/>
  <c r="D46" i="9"/>
  <c r="D44" i="9"/>
  <c r="D16" i="43"/>
  <c r="C16" i="43" s="1"/>
  <c r="E6" i="6"/>
  <c r="L38" i="9"/>
  <c r="B14" i="66" s="1"/>
  <c r="B1" i="66" s="1"/>
  <c r="D45" i="9"/>
  <c r="C21" i="4"/>
  <c r="O5" i="54" s="1"/>
  <c r="B45" i="63" s="1"/>
  <c r="J26" i="73"/>
  <c r="J24" i="73"/>
  <c r="AY530" i="3"/>
  <c r="AY77" i="3"/>
  <c r="AY262" i="3"/>
  <c r="AY149" i="3"/>
  <c r="AY135" i="3"/>
  <c r="AY80" i="3"/>
  <c r="AY209" i="3"/>
  <c r="AY310" i="3"/>
  <c r="AY340" i="3"/>
  <c r="AY442" i="3"/>
  <c r="AY103" i="3"/>
  <c r="AY280" i="3"/>
  <c r="AY394" i="3"/>
  <c r="AY24" i="3"/>
  <c r="AY290" i="3"/>
  <c r="AY371" i="3"/>
  <c r="AY396" i="3"/>
  <c r="AY107" i="3"/>
  <c r="AY417" i="3"/>
  <c r="AY355" i="3"/>
  <c r="AY70" i="3"/>
  <c r="AY412" i="3"/>
  <c r="AY414" i="3"/>
  <c r="AY193" i="3"/>
  <c r="AY131" i="3"/>
  <c r="AY485" i="3"/>
  <c r="AY328" i="3"/>
  <c r="AY133" i="3"/>
  <c r="AY387" i="3"/>
  <c r="AY423" i="3"/>
  <c r="AY451" i="3"/>
  <c r="AY261" i="3"/>
  <c r="AY521" i="3"/>
  <c r="AY95" i="3"/>
  <c r="AY256" i="3"/>
  <c r="AY352" i="3"/>
  <c r="AY200" i="3"/>
  <c r="AY510" i="3"/>
  <c r="AY367" i="3"/>
  <c r="AY247" i="3"/>
  <c r="AY483" i="3"/>
  <c r="AY40" i="3"/>
  <c r="BO6" i="3"/>
  <c r="AY454" i="3"/>
  <c r="AY306" i="3"/>
  <c r="AY468" i="3"/>
  <c r="AY347" i="3"/>
  <c r="AY536" i="3"/>
  <c r="AY114" i="3"/>
  <c r="AY296" i="3"/>
  <c r="AY35" i="3"/>
  <c r="AY503" i="3"/>
  <c r="AY433" i="3"/>
  <c r="AY377" i="3"/>
  <c r="AY196" i="3"/>
  <c r="AY322" i="3"/>
  <c r="AY549" i="3"/>
  <c r="AY104" i="3"/>
  <c r="AY291" i="3"/>
  <c r="AY146" i="3"/>
  <c r="AY258" i="3"/>
  <c r="AY67" i="3"/>
  <c r="AY317" i="3"/>
  <c r="AY350" i="3"/>
  <c r="AY542" i="3"/>
  <c r="AY143" i="3"/>
  <c r="AY52" i="3"/>
  <c r="AY374" i="3"/>
  <c r="AY197" i="3"/>
  <c r="AY431" i="3"/>
  <c r="AY309" i="3"/>
  <c r="AY318" i="3"/>
  <c r="AY140" i="3"/>
  <c r="AY186" i="3"/>
  <c r="AY82" i="3"/>
  <c r="AY238" i="3"/>
  <c r="BC6" i="3"/>
  <c r="AY27" i="3"/>
  <c r="AY206" i="3"/>
  <c r="AY344" i="3"/>
  <c r="AY327" i="3"/>
  <c r="AY418" i="3"/>
  <c r="AY539" i="3"/>
  <c r="AY474" i="3"/>
  <c r="AY464" i="3"/>
  <c r="AY154" i="3"/>
  <c r="AY223" i="3"/>
  <c r="AY499" i="3"/>
  <c r="BJ6" i="3"/>
  <c r="AY227" i="3"/>
  <c r="AY85" i="3"/>
  <c r="AY541" i="3"/>
  <c r="AY87" i="3"/>
  <c r="AY537" i="3"/>
  <c r="AY232" i="3"/>
  <c r="AY381" i="3"/>
  <c r="AY294" i="3"/>
  <c r="AY58" i="3"/>
  <c r="AY416" i="3"/>
  <c r="AY459" i="3"/>
  <c r="AY101" i="3"/>
  <c r="AY43" i="3"/>
  <c r="AY204" i="3"/>
  <c r="AY311" i="3"/>
  <c r="AY359" i="3"/>
  <c r="AY273" i="3"/>
  <c r="AY443" i="3"/>
  <c r="BA6" i="3"/>
  <c r="AY221" i="3"/>
  <c r="AY458" i="3"/>
  <c r="AY287" i="3"/>
  <c r="AY41" i="3"/>
  <c r="BK6" i="3"/>
  <c r="AY201" i="3"/>
  <c r="AY304" i="3"/>
  <c r="BN6" i="3"/>
  <c r="AY520" i="3"/>
  <c r="AY244" i="3"/>
  <c r="AY505" i="3"/>
  <c r="AY84" i="3"/>
  <c r="AY410" i="3"/>
  <c r="AY362" i="3"/>
  <c r="AY228" i="3"/>
  <c r="AY54" i="3"/>
  <c r="BG6" i="3"/>
  <c r="AY354" i="3"/>
  <c r="AY45" i="3"/>
  <c r="AY81" i="3"/>
  <c r="AY124" i="3"/>
  <c r="AY111" i="3"/>
  <c r="AY75" i="3"/>
  <c r="AY413" i="3"/>
  <c r="AY20" i="3"/>
  <c r="AY506" i="3"/>
  <c r="AY281" i="3"/>
  <c r="AY490" i="3"/>
  <c r="AY391" i="3"/>
  <c r="AY473" i="3"/>
  <c r="BI6" i="3"/>
  <c r="AY470" i="3"/>
  <c r="AY517" i="3"/>
  <c r="AY147" i="3"/>
  <c r="AY525" i="3"/>
  <c r="AY551" i="3"/>
  <c r="AY73" i="3"/>
  <c r="AY372" i="3"/>
  <c r="AY226" i="3"/>
  <c r="AY150" i="3"/>
  <c r="AY282" i="3"/>
  <c r="AY283" i="3"/>
  <c r="AY152" i="3"/>
  <c r="AY376" i="3"/>
  <c r="AY453" i="3"/>
  <c r="AY276" i="3"/>
  <c r="AY18" i="3"/>
  <c r="AY384" i="3"/>
  <c r="AY368" i="3"/>
  <c r="AY78" i="3"/>
  <c r="AY210" i="3"/>
  <c r="AY533" i="3"/>
  <c r="AY69" i="3"/>
  <c r="AY53" i="3"/>
  <c r="AY383" i="3"/>
  <c r="AY214" i="3"/>
  <c r="AY366" i="3"/>
  <c r="AY159" i="3"/>
  <c r="AY402" i="3"/>
  <c r="AY50" i="3"/>
  <c r="AY132" i="3"/>
  <c r="AY157" i="3"/>
  <c r="AY36" i="3"/>
  <c r="AY123" i="3"/>
  <c r="AY76" i="3"/>
  <c r="AY428" i="3"/>
  <c r="AY392" i="3"/>
  <c r="AY303" i="3"/>
  <c r="AY527" i="3"/>
  <c r="BF6" i="3"/>
  <c r="AY128" i="3"/>
  <c r="AY115" i="3"/>
  <c r="AY543" i="3"/>
  <c r="AY38" i="3"/>
  <c r="BD6" i="3"/>
  <c r="AY249" i="3"/>
  <c r="BP6" i="3"/>
  <c r="AY220" i="3"/>
  <c r="AY567" i="3"/>
  <c r="AY434" i="3"/>
  <c r="AY270" i="3"/>
  <c r="AY532" i="3"/>
  <c r="AY353" i="3"/>
  <c r="AY426" i="3"/>
  <c r="AY482" i="3"/>
  <c r="AY277" i="3"/>
  <c r="AY295" i="3"/>
  <c r="AY224" i="3"/>
  <c r="AY259" i="3"/>
  <c r="AY319" i="3"/>
  <c r="AY208" i="3"/>
  <c r="AY71" i="3"/>
  <c r="AY495" i="3"/>
  <c r="AY547" i="3"/>
  <c r="AY507" i="3"/>
  <c r="AY164" i="3"/>
  <c r="AY119" i="3"/>
  <c r="AY535" i="3"/>
  <c r="AY97" i="3"/>
  <c r="AY349" i="3"/>
  <c r="AY379" i="3"/>
  <c r="AY179" i="3"/>
  <c r="AY55" i="3"/>
  <c r="AY272" i="3"/>
  <c r="AY572" i="3"/>
  <c r="AY172" i="3"/>
  <c r="AY494" i="3"/>
  <c r="AY46" i="3"/>
  <c r="AY245" i="3"/>
  <c r="AY163" i="3"/>
  <c r="AY330" i="3"/>
  <c r="BL6" i="3"/>
  <c r="AY399" i="3"/>
  <c r="AY17" i="3"/>
  <c r="AY56" i="3"/>
  <c r="AY205" i="3"/>
  <c r="AY460" i="3"/>
  <c r="BE6" i="3"/>
  <c r="AY21" i="3"/>
  <c r="BT6" i="3"/>
  <c r="AY108" i="3"/>
  <c r="AY48" i="3"/>
  <c r="AY523" i="3"/>
  <c r="AY88" i="3"/>
  <c r="AY74" i="3"/>
  <c r="AY361" i="3"/>
  <c r="AY324" i="3"/>
  <c r="AY315" i="3"/>
  <c r="AY105" i="3"/>
  <c r="AY181" i="3"/>
  <c r="AY241" i="3"/>
  <c r="AY382" i="3"/>
  <c r="AY308" i="3"/>
  <c r="AY246" i="3"/>
  <c r="AY183" i="3"/>
  <c r="AY321" i="3"/>
  <c r="AY526" i="3"/>
  <c r="AY176" i="3"/>
  <c r="AY561" i="3"/>
  <c r="AY127" i="3"/>
  <c r="AY461" i="3"/>
  <c r="AY222" i="3"/>
  <c r="AY182" i="3"/>
  <c r="AY389" i="3"/>
  <c r="AY91" i="3"/>
  <c r="AY558" i="3"/>
  <c r="AY160" i="3"/>
  <c r="AY225" i="3"/>
  <c r="AY553" i="3"/>
  <c r="BR6" i="3"/>
  <c r="AY538" i="3"/>
  <c r="AY289" i="3"/>
  <c r="AY487" i="3"/>
  <c r="AY564" i="3"/>
  <c r="AY338" i="3"/>
  <c r="AY373" i="3"/>
  <c r="AY441" i="3"/>
  <c r="AY425" i="3"/>
  <c r="AY194" i="3"/>
  <c r="AY92" i="3"/>
  <c r="AY369" i="3"/>
  <c r="AY409" i="3"/>
  <c r="AY323" i="3"/>
  <c r="AY299" i="3"/>
  <c r="AY190" i="3"/>
  <c r="AY267" i="3"/>
  <c r="AY455" i="3"/>
  <c r="AY215" i="3"/>
  <c r="AY167" i="3"/>
  <c r="AY177" i="3"/>
  <c r="AY89" i="3"/>
  <c r="AY109" i="3"/>
  <c r="AY144" i="3"/>
  <c r="AY448" i="3"/>
  <c r="AY326" i="3"/>
  <c r="AY550" i="3"/>
  <c r="AY100" i="3"/>
  <c r="AY250" i="3"/>
  <c r="AY346" i="3"/>
  <c r="AY305" i="3"/>
  <c r="AY501" i="3"/>
  <c r="AY216" i="3"/>
  <c r="AY257" i="3"/>
  <c r="AY437" i="3"/>
  <c r="AY64" i="3"/>
  <c r="AY219" i="3"/>
  <c r="AY446" i="3"/>
  <c r="AY32" i="3"/>
  <c r="AY489" i="3"/>
  <c r="AY385" i="3"/>
  <c r="AY175" i="3"/>
  <c r="AY155" i="3"/>
  <c r="AY449" i="3"/>
  <c r="AY120" i="3"/>
  <c r="AY145" i="3"/>
  <c r="AY184" i="3"/>
  <c r="AY199" i="3"/>
  <c r="AY436" i="3"/>
  <c r="AY512" i="3"/>
  <c r="AY252" i="3"/>
  <c r="AY566" i="3"/>
  <c r="AY312" i="3"/>
  <c r="AY165" i="3"/>
  <c r="AY121" i="3"/>
  <c r="AY202" i="3"/>
  <c r="AY279" i="3"/>
  <c r="AY293" i="3"/>
  <c r="AY229" i="3"/>
  <c r="AY171" i="3"/>
  <c r="AY370" i="3"/>
  <c r="AY153" i="3"/>
  <c r="AY240" i="3"/>
  <c r="AY395" i="3"/>
  <c r="AY213" i="3"/>
  <c r="AY439" i="3"/>
  <c r="AY263" i="3"/>
  <c r="AY102" i="3"/>
  <c r="AY531" i="3"/>
  <c r="AY59" i="3"/>
  <c r="AY563" i="3"/>
  <c r="AY61" i="3"/>
  <c r="AY142" i="3"/>
  <c r="AY141" i="3"/>
  <c r="AY254" i="3"/>
  <c r="AY211" i="3"/>
  <c r="AY15" i="3"/>
  <c r="AY14" i="3"/>
  <c r="AY192" i="3"/>
  <c r="AY255" i="3"/>
  <c r="AY271" i="3"/>
  <c r="AY559" i="3"/>
  <c r="AY403" i="3"/>
  <c r="AY94" i="3"/>
  <c r="AY26" i="3"/>
  <c r="AY98" i="3"/>
  <c r="AY427" i="3"/>
  <c r="AY476" i="3"/>
  <c r="AY548" i="3"/>
  <c r="AY47" i="3"/>
  <c r="AY343" i="3"/>
  <c r="AY435" i="3"/>
  <c r="AY420" i="3"/>
  <c r="AY528" i="3"/>
  <c r="AY333" i="3"/>
  <c r="AY337" i="3"/>
  <c r="AY465" i="3"/>
  <c r="AY42" i="3"/>
  <c r="AY356" i="3"/>
  <c r="AY162" i="3"/>
  <c r="AY498" i="3"/>
  <c r="AY519" i="3"/>
  <c r="AY390" i="3"/>
  <c r="AY264" i="3"/>
  <c r="AY302" i="3"/>
  <c r="AY13" i="3"/>
  <c r="AY424" i="3"/>
  <c r="AY248" i="3"/>
  <c r="BQ6" i="3"/>
  <c r="AY480" i="3"/>
  <c r="AY497" i="3"/>
  <c r="AY534" i="3"/>
  <c r="AY93" i="3"/>
  <c r="AY571" i="3"/>
  <c r="AY212" i="3"/>
  <c r="AY284" i="3"/>
  <c r="AY301" i="3"/>
  <c r="AY491" i="3"/>
  <c r="AY286" i="3"/>
  <c r="AY16" i="3"/>
  <c r="AY386" i="3"/>
  <c r="AY430" i="3"/>
  <c r="AY365" i="3"/>
  <c r="AY388" i="3"/>
  <c r="AY447" i="3"/>
  <c r="AY440" i="3"/>
  <c r="AY363" i="3"/>
  <c r="AY502" i="3"/>
  <c r="AY23" i="3"/>
  <c r="AY180" i="3"/>
  <c r="AY524" i="3"/>
  <c r="AY332" i="3"/>
  <c r="AY198" i="3"/>
  <c r="AY57" i="3"/>
  <c r="AY397" i="3"/>
  <c r="AY463" i="3"/>
  <c r="AY62" i="3"/>
  <c r="AY126" i="3"/>
  <c r="AY560" i="3"/>
  <c r="AY400" i="3"/>
  <c r="AY405" i="3"/>
  <c r="AY99" i="3"/>
  <c r="AY432" i="3"/>
  <c r="BS6" i="3"/>
  <c r="AY544" i="3"/>
  <c r="AY515" i="3"/>
  <c r="AY569" i="3"/>
  <c r="AY380" i="3"/>
  <c r="AY239" i="3"/>
  <c r="AY546" i="3"/>
  <c r="AY492" i="3"/>
  <c r="AY467" i="3"/>
  <c r="AY450" i="3"/>
  <c r="AY191" i="3"/>
  <c r="AY266" i="3"/>
  <c r="AY472" i="3"/>
  <c r="AY151" i="3"/>
  <c r="AY174" i="3"/>
  <c r="AY68" i="3"/>
  <c r="AY113" i="3"/>
  <c r="AY313" i="3"/>
  <c r="BM6" i="3"/>
  <c r="AY488" i="3"/>
  <c r="AY444" i="3"/>
  <c r="AY570" i="3"/>
  <c r="AY508" i="3"/>
  <c r="AY398" i="3"/>
  <c r="AY438" i="3"/>
  <c r="AY411" i="3"/>
  <c r="AY314" i="3"/>
  <c r="AY471" i="3"/>
  <c r="AY456" i="3"/>
  <c r="AY375" i="3"/>
  <c r="AY60" i="3"/>
  <c r="AY189" i="3"/>
  <c r="AY110" i="3"/>
  <c r="AY237" i="3"/>
  <c r="AY477" i="3"/>
  <c r="AY231" i="3"/>
  <c r="AY462" i="3"/>
  <c r="AY269" i="3"/>
  <c r="AY481" i="3"/>
  <c r="AY148" i="3"/>
  <c r="AY307" i="3"/>
  <c r="AY357" i="3"/>
  <c r="AY568" i="3"/>
  <c r="AY348" i="3"/>
  <c r="AY316" i="3"/>
  <c r="AY475" i="3"/>
  <c r="AY452" i="3"/>
  <c r="AY268" i="3"/>
  <c r="AY129" i="3"/>
  <c r="AY106" i="3"/>
  <c r="AY422" i="3"/>
  <c r="AY39" i="3"/>
  <c r="AY168" i="3"/>
  <c r="AY31" i="3"/>
  <c r="AY65" i="3"/>
  <c r="AY30" i="3"/>
  <c r="AY555" i="3"/>
  <c r="AY236" i="3"/>
  <c r="AY408" i="3"/>
  <c r="AY25" i="3"/>
  <c r="BH6" i="3"/>
  <c r="AY34" i="3"/>
  <c r="AY44" i="3"/>
  <c r="AY22" i="3"/>
  <c r="AY407" i="3"/>
  <c r="AY66" i="3"/>
  <c r="AY540" i="3"/>
  <c r="AY479" i="3"/>
  <c r="AY122" i="3"/>
  <c r="AY274" i="3"/>
  <c r="AY156" i="3"/>
  <c r="AY96" i="3"/>
  <c r="AY360" i="3"/>
  <c r="AY90" i="3"/>
  <c r="AY285" i="3"/>
  <c r="AY557" i="3"/>
  <c r="AY130" i="3"/>
  <c r="AY509" i="3"/>
  <c r="BB6" i="3"/>
  <c r="AY79" i="3"/>
  <c r="AY466" i="3"/>
  <c r="D3" i="6"/>
  <c r="AY169" i="3"/>
  <c r="AY278" i="3"/>
  <c r="AY187" i="3"/>
  <c r="AY320" i="3"/>
  <c r="AY138" i="3"/>
  <c r="AY518" i="3"/>
  <c r="AY185" i="3"/>
  <c r="AY235" i="3"/>
  <c r="AY545" i="3"/>
  <c r="AY298" i="3"/>
  <c r="AY173" i="3"/>
  <c r="AY292" i="3"/>
  <c r="AY300" i="3"/>
  <c r="AY51" i="3"/>
  <c r="AY136" i="3"/>
  <c r="AY49" i="3"/>
  <c r="AY178" i="3"/>
  <c r="AY118" i="3"/>
  <c r="AY161" i="3"/>
  <c r="AY429" i="3"/>
  <c r="AY28" i="3"/>
  <c r="AY493" i="3"/>
  <c r="AY158" i="3"/>
  <c r="AY500" i="3"/>
  <c r="AY242" i="3"/>
  <c r="AY139" i="3"/>
  <c r="AY275" i="3"/>
  <c r="AY233" i="3"/>
  <c r="AY351" i="3"/>
  <c r="AY125" i="3"/>
  <c r="AY260" i="3"/>
  <c r="AY134" i="3"/>
  <c r="AY37" i="3"/>
  <c r="AY336" i="3"/>
  <c r="AY112" i="3"/>
  <c r="AY393" i="3"/>
  <c r="AY19" i="3"/>
  <c r="AY529" i="3"/>
  <c r="AY217" i="3"/>
  <c r="AY170" i="3"/>
  <c r="AY116" i="3"/>
  <c r="AY486" i="3"/>
  <c r="AY234" i="3"/>
  <c r="AY265" i="3"/>
  <c r="AY230" i="3"/>
  <c r="AY188" i="3"/>
  <c r="AY516" i="3"/>
  <c r="AY117" i="3"/>
  <c r="AY341" i="3"/>
  <c r="AY86" i="3"/>
  <c r="AY218" i="3"/>
  <c r="AY288" i="3"/>
  <c r="AY562" i="3"/>
  <c r="AY552" i="3"/>
  <c r="AY325" i="3"/>
  <c r="AY484" i="3"/>
  <c r="AY364" i="3"/>
  <c r="AY457" i="3"/>
  <c r="AY556" i="3"/>
  <c r="AY378" i="3"/>
  <c r="AY329" i="3"/>
  <c r="AY137" i="3"/>
  <c r="AY358" i="3"/>
  <c r="AY404" i="3"/>
  <c r="AY478" i="3"/>
  <c r="AY334" i="3"/>
  <c r="AY554" i="3"/>
  <c r="AY251" i="3"/>
  <c r="AY419" i="3"/>
  <c r="AY496" i="3"/>
  <c r="AY203" i="3"/>
  <c r="AY72" i="3"/>
  <c r="AY253" i="3"/>
  <c r="AY445" i="3"/>
  <c r="AY207" i="3"/>
  <c r="AY29" i="3"/>
  <c r="AY415" i="3"/>
  <c r="AY63" i="3"/>
  <c r="AY195" i="3"/>
  <c r="AY339" i="3"/>
  <c r="AY514" i="3"/>
  <c r="AY522" i="3"/>
  <c r="AY297" i="3"/>
  <c r="AY513" i="3"/>
  <c r="AY511" i="3"/>
  <c r="AY421" i="3"/>
  <c r="AY406" i="3"/>
  <c r="AY565" i="3"/>
  <c r="AY331" i="3"/>
  <c r="AY243" i="3"/>
  <c r="AY83" i="3"/>
  <c r="AY335" i="3"/>
  <c r="AY166" i="3"/>
  <c r="AY401" i="3"/>
  <c r="AY33" i="3"/>
  <c r="AY345" i="3"/>
  <c r="AY504" i="3"/>
  <c r="AY342" i="3"/>
  <c r="AY469" i="3"/>
  <c r="C18" i="11"/>
  <c r="C17" i="11"/>
  <c r="C19" i="11" s="1"/>
  <c r="C20" i="11" s="1"/>
  <c r="C21" i="11" s="1"/>
  <c r="C22" i="11" s="1"/>
  <c r="C23" i="11" s="1"/>
  <c r="B2" i="11" s="1"/>
  <c r="K22" i="6"/>
  <c r="K25" i="6"/>
  <c r="M25" i="6" s="1"/>
  <c r="I25" i="6" s="1"/>
  <c r="S25" i="6" s="1"/>
  <c r="K19" i="6"/>
  <c r="K20" i="6"/>
  <c r="K24" i="6"/>
  <c r="M24" i="6" s="1"/>
  <c r="I24" i="6" s="1"/>
  <c r="S24" i="6" s="1"/>
  <c r="K21" i="6"/>
  <c r="K23" i="6"/>
  <c r="K26" i="6"/>
  <c r="M26" i="6" s="1"/>
  <c r="I26" i="6" s="1"/>
  <c r="S26" i="6" s="1"/>
  <c r="E31" i="6"/>
  <c r="J26" i="75"/>
  <c r="J24" i="75"/>
  <c r="D9" i="59"/>
  <c r="C8" i="59"/>
  <c r="C14" i="43"/>
  <c r="C17" i="43"/>
  <c r="J26" i="76"/>
  <c r="J24" i="76"/>
  <c r="G33" i="46"/>
  <c r="I33" i="46" s="1"/>
  <c r="C27" i="46" s="1"/>
  <c r="E6" i="3"/>
  <c r="J26" i="74"/>
  <c r="J24" i="74"/>
  <c r="H65" i="40"/>
  <c r="G67" i="40"/>
  <c r="H70" i="39"/>
  <c r="G72" i="39"/>
  <c r="E29" i="46"/>
  <c r="C26" i="46" s="1"/>
  <c r="B2" i="46" s="1"/>
  <c r="H7" i="34"/>
  <c r="U7" i="34" s="1"/>
  <c r="S7" i="21"/>
  <c r="AA7" i="21"/>
  <c r="R48" i="21" s="1"/>
  <c r="AA7" i="33"/>
  <c r="R48" i="33" s="1"/>
  <c r="S7" i="33"/>
  <c r="S7" i="34"/>
  <c r="AA7" i="34"/>
  <c r="R49" i="34" s="1"/>
  <c r="I52" i="33"/>
  <c r="J52" i="33" s="1"/>
  <c r="I52" i="21"/>
  <c r="J52" i="21" s="1"/>
  <c r="AB7" i="33"/>
  <c r="T48" i="33" s="1"/>
  <c r="G48" i="33" s="1"/>
  <c r="U7" i="33"/>
  <c r="G52" i="21"/>
  <c r="H52" i="21" s="1"/>
  <c r="G53" i="21"/>
  <c r="H53" i="21" s="1"/>
  <c r="J7" i="34"/>
  <c r="E4" i="67"/>
  <c r="D77" i="9"/>
  <c r="N75" i="9" s="1"/>
  <c r="C19" i="9"/>
  <c r="F41" i="76"/>
  <c r="F41" i="73"/>
  <c r="F41" i="75"/>
  <c r="B7" i="67"/>
  <c r="F41" i="74"/>
  <c r="E7" i="67"/>
  <c r="L43" i="9" l="1"/>
  <c r="F68" i="73"/>
  <c r="F68" i="75"/>
  <c r="F68" i="74"/>
  <c r="F68" i="76"/>
  <c r="J29" i="74"/>
  <c r="J29" i="76"/>
  <c r="J29" i="75"/>
  <c r="J29" i="73"/>
  <c r="C18" i="43"/>
  <c r="C19" i="43" s="1"/>
  <c r="C25" i="43" s="1"/>
  <c r="C24" i="43" s="1"/>
  <c r="C7" i="59"/>
  <c r="T8" i="59"/>
  <c r="D8" i="59"/>
  <c r="M22" i="6"/>
  <c r="I22" i="6" s="1"/>
  <c r="S22" i="6" s="1"/>
  <c r="S9" i="1"/>
  <c r="B5" i="11"/>
  <c r="B3" i="11"/>
  <c r="B4" i="11"/>
  <c r="C6" i="66"/>
  <c r="C7" i="66"/>
  <c r="C8" i="66"/>
  <c r="D13" i="11"/>
  <c r="C13" i="11" s="1"/>
  <c r="D22" i="12"/>
  <c r="C22" i="12" s="1"/>
  <c r="C20" i="12" s="1"/>
  <c r="M23" i="6"/>
  <c r="I23" i="6" s="1"/>
  <c r="S23" i="6" s="1"/>
  <c r="S10" i="1"/>
  <c r="C22" i="4"/>
  <c r="D12" i="6"/>
  <c r="K38" i="9"/>
  <c r="C14" i="66" s="1"/>
  <c r="D15" i="6"/>
  <c r="D21" i="6"/>
  <c r="H25" i="6"/>
  <c r="E46" i="9"/>
  <c r="D9" i="6"/>
  <c r="D10" i="6"/>
  <c r="D5" i="6"/>
  <c r="D29" i="6"/>
  <c r="H21" i="6"/>
  <c r="H22" i="6"/>
  <c r="E44" i="9"/>
  <c r="D6" i="6"/>
  <c r="H26" i="6"/>
  <c r="E63" i="40"/>
  <c r="D19" i="6"/>
  <c r="H23" i="6"/>
  <c r="D8" i="6"/>
  <c r="D16" i="6" s="1"/>
  <c r="D11" i="6"/>
  <c r="D22" i="6"/>
  <c r="R22" i="6" s="1"/>
  <c r="D14" i="6"/>
  <c r="F46" i="9"/>
  <c r="D13" i="6"/>
  <c r="D28" i="6"/>
  <c r="D30" i="6" s="1"/>
  <c r="D20" i="6"/>
  <c r="D23" i="6"/>
  <c r="F45" i="9"/>
  <c r="D25" i="6"/>
  <c r="R25" i="6" s="1"/>
  <c r="F44" i="9"/>
  <c r="E68" i="39"/>
  <c r="D24" i="6"/>
  <c r="R24" i="6" s="1"/>
  <c r="D26" i="6"/>
  <c r="R26" i="6" s="1"/>
  <c r="E45" i="9"/>
  <c r="H24" i="6"/>
  <c r="D19" i="12"/>
  <c r="C19" i="12" s="1"/>
  <c r="C16" i="12"/>
  <c r="C18" i="12" s="1"/>
  <c r="M21" i="6"/>
  <c r="I21" i="6" s="1"/>
  <c r="S21" i="6" s="1"/>
  <c r="S8" i="1"/>
  <c r="M20" i="6"/>
  <c r="I20" i="6" s="1"/>
  <c r="S20" i="6" s="1"/>
  <c r="S7" i="1"/>
  <c r="S6" i="1"/>
  <c r="M19" i="6"/>
  <c r="K27" i="6"/>
  <c r="R12" i="1"/>
  <c r="R9" i="1"/>
  <c r="R11" i="1"/>
  <c r="R13" i="1"/>
  <c r="AB7" i="34"/>
  <c r="T49" i="34" s="1"/>
  <c r="G49" i="34" s="1"/>
  <c r="G53" i="34" s="1"/>
  <c r="H53" i="34" s="1"/>
  <c r="I70" i="39"/>
  <c r="H72" i="39"/>
  <c r="H67" i="40"/>
  <c r="I65" i="40"/>
  <c r="G52" i="33"/>
  <c r="H52" i="33" s="1"/>
  <c r="G53" i="33"/>
  <c r="H53" i="33" s="1"/>
  <c r="E49" i="34"/>
  <c r="R49" i="33"/>
  <c r="E48" i="33"/>
  <c r="R49" i="21"/>
  <c r="E48" i="21"/>
  <c r="W7" i="34"/>
  <c r="AC7" i="34"/>
  <c r="V49" i="34" s="1"/>
  <c r="I49" i="34" s="1"/>
  <c r="E3" i="67"/>
  <c r="B2" i="67"/>
  <c r="D4" i="46"/>
  <c r="B3" i="46"/>
  <c r="B4" i="46"/>
  <c r="C20" i="9"/>
  <c r="C21" i="9"/>
  <c r="C17" i="15"/>
  <c r="M23" i="44"/>
  <c r="C17" i="75"/>
  <c r="C17" i="73"/>
  <c r="F37" i="44"/>
  <c r="C17" i="74"/>
  <c r="C17" i="76"/>
  <c r="F35" i="75"/>
  <c r="M21" i="75"/>
  <c r="C22" i="43" l="1"/>
  <c r="C21" i="43" s="1"/>
  <c r="C28" i="43" s="1"/>
  <c r="C30" i="43" s="1"/>
  <c r="C32" i="43" s="1"/>
  <c r="B2" i="43" s="1"/>
  <c r="B5" i="43" s="1"/>
  <c r="F62" i="75"/>
  <c r="C61" i="75" s="1"/>
  <c r="C58" i="75" s="1"/>
  <c r="C34" i="75"/>
  <c r="J20" i="75"/>
  <c r="C23" i="12"/>
  <c r="R20" i="6"/>
  <c r="R7" i="1" s="1"/>
  <c r="R21" i="6"/>
  <c r="R8" i="1" s="1"/>
  <c r="B2" i="66"/>
  <c r="A20" i="51"/>
  <c r="B15" i="63" s="1"/>
  <c r="N5" i="54"/>
  <c r="B43" i="63" s="1"/>
  <c r="A6" i="64"/>
  <c r="A20" i="64"/>
  <c r="A6" i="51"/>
  <c r="B7" i="63" s="1"/>
  <c r="I19" i="6"/>
  <c r="M27" i="6"/>
  <c r="T9" i="1"/>
  <c r="T6" i="1"/>
  <c r="S16" i="1"/>
  <c r="T7" i="1"/>
  <c r="T10" i="1"/>
  <c r="T8" i="1"/>
  <c r="R23" i="6"/>
  <c r="R10" i="1" s="1"/>
  <c r="H20" i="6"/>
  <c r="D27" i="6"/>
  <c r="D31" i="6" s="1"/>
  <c r="D7" i="59"/>
  <c r="C6" i="59"/>
  <c r="L57" i="73"/>
  <c r="R50" i="34"/>
  <c r="C50" i="34" s="1"/>
  <c r="U9" i="1" s="1"/>
  <c r="J65" i="40"/>
  <c r="I67" i="40"/>
  <c r="I72" i="39"/>
  <c r="J70" i="39"/>
  <c r="J22" i="44"/>
  <c r="C36" i="44"/>
  <c r="I53" i="34"/>
  <c r="J53" i="34" s="1"/>
  <c r="I54" i="34"/>
  <c r="J54" i="34" s="1"/>
  <c r="E53" i="21"/>
  <c r="F53" i="21" s="1"/>
  <c r="E52" i="21"/>
  <c r="F52" i="21" s="1"/>
  <c r="I53" i="21"/>
  <c r="J53" i="21" s="1"/>
  <c r="G54" i="34"/>
  <c r="H54" i="34" s="1"/>
  <c r="C48" i="21"/>
  <c r="C49" i="21"/>
  <c r="E52" i="33"/>
  <c r="F52" i="33" s="1"/>
  <c r="E53" i="33"/>
  <c r="F53" i="33" s="1"/>
  <c r="I53" i="33"/>
  <c r="J53" i="33" s="1"/>
  <c r="E54" i="34"/>
  <c r="F54" i="34" s="1"/>
  <c r="E53" i="34"/>
  <c r="F53" i="34" s="1"/>
  <c r="C49" i="33"/>
  <c r="C48" i="33"/>
  <c r="I6" i="6"/>
  <c r="I5" i="6"/>
  <c r="B3" i="67"/>
  <c r="B4" i="67"/>
  <c r="C14" i="75"/>
  <c r="C33" i="15"/>
  <c r="C14" i="73"/>
  <c r="M21" i="76"/>
  <c r="C14" i="15"/>
  <c r="M21" i="74"/>
  <c r="C14" i="74"/>
  <c r="F35" i="74"/>
  <c r="F35" i="73"/>
  <c r="F35" i="76"/>
  <c r="M21" i="73"/>
  <c r="F6" i="75"/>
  <c r="C14" i="76"/>
  <c r="B4" i="43" l="1"/>
  <c r="B3" i="43"/>
  <c r="J20" i="76"/>
  <c r="F62" i="76"/>
  <c r="C61" i="76" s="1"/>
  <c r="C58" i="76" s="1"/>
  <c r="C34" i="76"/>
  <c r="C18" i="74"/>
  <c r="C15" i="74"/>
  <c r="C15" i="76"/>
  <c r="C18" i="76"/>
  <c r="C18" i="73"/>
  <c r="C15" i="73"/>
  <c r="C15" i="15"/>
  <c r="C18" i="15"/>
  <c r="J20" i="74"/>
  <c r="F62" i="74"/>
  <c r="C61" i="74" s="1"/>
  <c r="C58" i="74" s="1"/>
  <c r="C34" i="74"/>
  <c r="F62" i="73"/>
  <c r="C61" i="73" s="1"/>
  <c r="C58" i="73" s="1"/>
  <c r="C34" i="73"/>
  <c r="J20" i="73"/>
  <c r="C15" i="75"/>
  <c r="C18" i="75"/>
  <c r="B3" i="21"/>
  <c r="B2" i="21" s="1"/>
  <c r="U6" i="1"/>
  <c r="T13" i="1"/>
  <c r="T11" i="1"/>
  <c r="T12" i="1"/>
  <c r="T16" i="1"/>
  <c r="D7" i="66"/>
  <c r="D6" i="66"/>
  <c r="D8" i="66"/>
  <c r="D6" i="59"/>
  <c r="C5" i="59"/>
  <c r="S19" i="6"/>
  <c r="S27" i="6" s="1"/>
  <c r="I27" i="6"/>
  <c r="H19" i="6"/>
  <c r="N19" i="33"/>
  <c r="N20" i="33"/>
  <c r="N21" i="33"/>
  <c r="N18" i="33"/>
  <c r="C6" i="75"/>
  <c r="E30" i="68"/>
  <c r="B3" i="33"/>
  <c r="B2" i="33" s="1"/>
  <c r="C49" i="34"/>
  <c r="B3" i="34"/>
  <c r="B2" i="34" s="1"/>
  <c r="J67" i="40"/>
  <c r="K65" i="40"/>
  <c r="J72" i="39"/>
  <c r="K70" i="39"/>
  <c r="J59" i="15"/>
  <c r="J60" i="15" s="1"/>
  <c r="Q49" i="15" s="1"/>
  <c r="C16" i="44"/>
  <c r="F6" i="15"/>
  <c r="C60" i="15"/>
  <c r="C19" i="74" l="1"/>
  <c r="C19" i="15"/>
  <c r="C20" i="15" s="1"/>
  <c r="C23" i="15" s="1"/>
  <c r="C19" i="75"/>
  <c r="C20" i="75" s="1"/>
  <c r="C26" i="75" s="1"/>
  <c r="C19" i="73"/>
  <c r="C20" i="73" s="1"/>
  <c r="C26" i="73" s="1"/>
  <c r="C19" i="76"/>
  <c r="C20" i="76" s="1"/>
  <c r="C20" i="44"/>
  <c r="C17" i="44"/>
  <c r="C6" i="15"/>
  <c r="D5" i="59"/>
  <c r="M20" i="46"/>
  <c r="C20" i="74"/>
  <c r="C26" i="74" s="1"/>
  <c r="N23" i="33"/>
  <c r="U7" i="1" s="1"/>
  <c r="N22" i="33"/>
  <c r="U8" i="1" s="1"/>
  <c r="H27" i="6"/>
  <c r="R19" i="6"/>
  <c r="U10" i="1"/>
  <c r="E27" i="68"/>
  <c r="C32" i="75"/>
  <c r="C31" i="75" s="1"/>
  <c r="C10" i="75"/>
  <c r="C5" i="75" s="1"/>
  <c r="C38" i="75" s="1"/>
  <c r="K72" i="39"/>
  <c r="L70" i="39"/>
  <c r="L65" i="40"/>
  <c r="K67" i="40"/>
  <c r="F6" i="74"/>
  <c r="F6" i="73"/>
  <c r="F6" i="76"/>
  <c r="C21" i="44" l="1"/>
  <c r="C22" i="44" s="1"/>
  <c r="C26" i="76"/>
  <c r="C23" i="76"/>
  <c r="C23" i="74"/>
  <c r="C29" i="74" s="1"/>
  <c r="C36" i="74" s="1"/>
  <c r="C23" i="75"/>
  <c r="C29" i="75" s="1"/>
  <c r="C56" i="75" s="1"/>
  <c r="C63" i="75" s="1"/>
  <c r="C6" i="76"/>
  <c r="C6" i="73"/>
  <c r="C32" i="73" s="1"/>
  <c r="C31" i="73" s="1"/>
  <c r="C23" i="73"/>
  <c r="C29" i="73" s="1"/>
  <c r="E31" i="68"/>
  <c r="R27" i="6"/>
  <c r="R6" i="1"/>
  <c r="C26" i="15"/>
  <c r="C29" i="15" s="1"/>
  <c r="E28" i="68"/>
  <c r="C32" i="15"/>
  <c r="C10" i="15"/>
  <c r="C5" i="15" s="1"/>
  <c r="C38" i="15" s="1"/>
  <c r="C6" i="74"/>
  <c r="E29" i="68"/>
  <c r="L46" i="15"/>
  <c r="M70" i="39"/>
  <c r="L72" i="39"/>
  <c r="L67" i="40"/>
  <c r="M65" i="40"/>
  <c r="M21" i="15"/>
  <c r="F35" i="15"/>
  <c r="C28" i="44" l="1"/>
  <c r="C25" i="44"/>
  <c r="J14" i="75"/>
  <c r="J22" i="75" s="1"/>
  <c r="Q50" i="75"/>
  <c r="C13" i="75"/>
  <c r="C37" i="75" s="1"/>
  <c r="J19" i="75"/>
  <c r="J17" i="75" s="1"/>
  <c r="C29" i="76"/>
  <c r="Q50" i="76" s="1"/>
  <c r="C10" i="73"/>
  <c r="C5" i="73" s="1"/>
  <c r="C38" i="73" s="1"/>
  <c r="C36" i="75"/>
  <c r="C56" i="74"/>
  <c r="C63" i="74" s="1"/>
  <c r="J14" i="74"/>
  <c r="J22" i="74" s="1"/>
  <c r="Q50" i="74"/>
  <c r="J19" i="74"/>
  <c r="J17" i="74" s="1"/>
  <c r="C13" i="74"/>
  <c r="C37" i="74" s="1"/>
  <c r="J20" i="15"/>
  <c r="F62" i="15"/>
  <c r="C61" i="15" s="1"/>
  <c r="C58" i="15" s="1"/>
  <c r="C34" i="15"/>
  <c r="C31" i="15" s="1"/>
  <c r="Q50" i="15"/>
  <c r="C56" i="15"/>
  <c r="C63" i="15" s="1"/>
  <c r="J14" i="15"/>
  <c r="C36" i="15"/>
  <c r="C13" i="15"/>
  <c r="J19" i="15"/>
  <c r="R16" i="1"/>
  <c r="J19" i="73"/>
  <c r="J17" i="73" s="1"/>
  <c r="J14" i="73"/>
  <c r="C56" i="73"/>
  <c r="C63" i="73" s="1"/>
  <c r="C36" i="73"/>
  <c r="C13" i="73"/>
  <c r="Q50" i="73"/>
  <c r="Q71" i="75"/>
  <c r="C32" i="76"/>
  <c r="C31" i="76" s="1"/>
  <c r="C10" i="76"/>
  <c r="C5" i="76" s="1"/>
  <c r="C38" i="76" s="1"/>
  <c r="C32" i="74"/>
  <c r="C31" i="74" s="1"/>
  <c r="C10" i="74"/>
  <c r="C5" i="74" s="1"/>
  <c r="C38" i="74" s="1"/>
  <c r="M67" i="40"/>
  <c r="H9" i="40" s="1"/>
  <c r="N65" i="40"/>
  <c r="N67" i="40" s="1"/>
  <c r="J9" i="39"/>
  <c r="M72" i="39"/>
  <c r="F9" i="39" s="1"/>
  <c r="N70" i="39"/>
  <c r="N72" i="39" s="1"/>
  <c r="J35" i="75" l="1"/>
  <c r="J13" i="75"/>
  <c r="J23" i="75" s="1"/>
  <c r="J13" i="74"/>
  <c r="J23" i="74" s="1"/>
  <c r="J16" i="75"/>
  <c r="J25" i="75" s="1"/>
  <c r="C55" i="75"/>
  <c r="C64" i="75" s="1"/>
  <c r="C57" i="75" s="1"/>
  <c r="C66" i="75" s="1"/>
  <c r="C67" i="75" s="1"/>
  <c r="C70" i="75" s="1"/>
  <c r="C31" i="44"/>
  <c r="C30" i="75"/>
  <c r="C39" i="75" s="1"/>
  <c r="Q70" i="75" s="1"/>
  <c r="Q69" i="75" s="1"/>
  <c r="C13" i="76"/>
  <c r="J19" i="76"/>
  <c r="J17" i="76" s="1"/>
  <c r="C56" i="76"/>
  <c r="C63" i="76" s="1"/>
  <c r="C36" i="76"/>
  <c r="J14" i="76"/>
  <c r="J35" i="74"/>
  <c r="C55" i="74"/>
  <c r="C64" i="74" s="1"/>
  <c r="C57" i="74" s="1"/>
  <c r="C66" i="74" s="1"/>
  <c r="C67" i="74" s="1"/>
  <c r="C70" i="74" s="1"/>
  <c r="Q71" i="74"/>
  <c r="J17" i="15"/>
  <c r="J16" i="74"/>
  <c r="J25" i="74" s="1"/>
  <c r="J22" i="73"/>
  <c r="J13" i="73"/>
  <c r="J23" i="73" s="1"/>
  <c r="C37" i="15"/>
  <c r="C30" i="15" s="1"/>
  <c r="C39" i="15" s="1"/>
  <c r="C55" i="15"/>
  <c r="C64" i="15" s="1"/>
  <c r="C57" i="15" s="1"/>
  <c r="C66" i="15" s="1"/>
  <c r="C67" i="15" s="1"/>
  <c r="J35" i="15"/>
  <c r="Q71" i="15"/>
  <c r="J22" i="15"/>
  <c r="J13" i="15"/>
  <c r="J23" i="15" s="1"/>
  <c r="C37" i="73"/>
  <c r="C30" i="73" s="1"/>
  <c r="C39" i="73" s="1"/>
  <c r="C55" i="73"/>
  <c r="C64" i="73" s="1"/>
  <c r="C57" i="73" s="1"/>
  <c r="C66" i="73" s="1"/>
  <c r="C67" i="73" s="1"/>
  <c r="Q71" i="73"/>
  <c r="J35" i="73"/>
  <c r="C30" i="74"/>
  <c r="C39" i="74" s="1"/>
  <c r="Q70" i="74" s="1"/>
  <c r="AA9" i="39"/>
  <c r="R49" i="39" s="1"/>
  <c r="S9" i="39"/>
  <c r="H9" i="39"/>
  <c r="F9" i="40"/>
  <c r="J9" i="40"/>
  <c r="W9" i="39"/>
  <c r="AC9" i="39"/>
  <c r="V49" i="39" s="1"/>
  <c r="I49" i="39" s="1"/>
  <c r="U9" i="40"/>
  <c r="AB9" i="40"/>
  <c r="T44" i="40" s="1"/>
  <c r="G44" i="40" s="1"/>
  <c r="L51" i="75"/>
  <c r="C15" i="44" l="1"/>
  <c r="C38" i="44"/>
  <c r="J21" i="44"/>
  <c r="J19" i="44" s="1"/>
  <c r="Q51" i="44"/>
  <c r="J16" i="44"/>
  <c r="C35" i="44"/>
  <c r="C33" i="44" s="1"/>
  <c r="Q69" i="74"/>
  <c r="J39" i="75"/>
  <c r="J40" i="75" s="1"/>
  <c r="C40" i="75"/>
  <c r="Q66" i="75" s="1"/>
  <c r="Q76" i="75" s="1"/>
  <c r="J22" i="76"/>
  <c r="J13" i="76"/>
  <c r="J23" i="76" s="1"/>
  <c r="J35" i="76"/>
  <c r="Q71" i="76"/>
  <c r="C37" i="76"/>
  <c r="C30" i="76" s="1"/>
  <c r="C39" i="76" s="1"/>
  <c r="Q70" i="76" s="1"/>
  <c r="C55" i="76"/>
  <c r="C64" i="76" s="1"/>
  <c r="C57" i="76" s="1"/>
  <c r="C66" i="76" s="1"/>
  <c r="C67" i="76" s="1"/>
  <c r="C70" i="76" s="1"/>
  <c r="J16" i="73"/>
  <c r="J25" i="73" s="1"/>
  <c r="J16" i="15"/>
  <c r="J25" i="15" s="1"/>
  <c r="Q68" i="75"/>
  <c r="J39" i="73"/>
  <c r="J40" i="73" s="1"/>
  <c r="Q70" i="73"/>
  <c r="Q69" i="73" s="1"/>
  <c r="C40" i="73"/>
  <c r="C40" i="15"/>
  <c r="C46" i="15" s="1"/>
  <c r="Q70" i="15"/>
  <c r="Q69" i="15" s="1"/>
  <c r="C70" i="15"/>
  <c r="J39" i="15"/>
  <c r="J40" i="15" s="1"/>
  <c r="C70" i="73"/>
  <c r="C40" i="74"/>
  <c r="Q57" i="74" s="1"/>
  <c r="Q63" i="74" s="1"/>
  <c r="J39" i="74"/>
  <c r="J40" i="74" s="1"/>
  <c r="G48" i="40"/>
  <c r="H48" i="40" s="1"/>
  <c r="I53" i="39"/>
  <c r="J53" i="39" s="1"/>
  <c r="AA9" i="40"/>
  <c r="R44" i="40" s="1"/>
  <c r="S9" i="40"/>
  <c r="AC9" i="40"/>
  <c r="V44" i="40" s="1"/>
  <c r="I44" i="40" s="1"/>
  <c r="W9" i="40"/>
  <c r="AB9" i="39"/>
  <c r="T49" i="39" s="1"/>
  <c r="G49" i="39" s="1"/>
  <c r="U9" i="39"/>
  <c r="E49" i="39"/>
  <c r="R50" i="39"/>
  <c r="L51" i="15"/>
  <c r="L51" i="73"/>
  <c r="L51" i="74"/>
  <c r="L51" i="76"/>
  <c r="C43" i="75" l="1"/>
  <c r="B2" i="75"/>
  <c r="F10" i="12" s="1"/>
  <c r="C46" i="75"/>
  <c r="Q48" i="75"/>
  <c r="Q54" i="75" s="1"/>
  <c r="J42" i="75"/>
  <c r="J43" i="75" s="1"/>
  <c r="Q69" i="76"/>
  <c r="J15" i="44"/>
  <c r="J25" i="44" s="1"/>
  <c r="J24" i="44"/>
  <c r="C43" i="44"/>
  <c r="C39" i="44"/>
  <c r="C32" i="44" s="1"/>
  <c r="C42" i="44" s="1"/>
  <c r="Q72" i="44"/>
  <c r="Q57" i="75"/>
  <c r="Q63" i="75" s="1"/>
  <c r="J16" i="76"/>
  <c r="J25" i="76" s="1"/>
  <c r="J39" i="76"/>
  <c r="J40" i="76" s="1"/>
  <c r="C40" i="76"/>
  <c r="C46" i="76" s="1"/>
  <c r="Q68" i="74"/>
  <c r="Q68" i="73"/>
  <c r="Q68" i="76"/>
  <c r="L57" i="15"/>
  <c r="L60" i="15" s="1"/>
  <c r="Q68" i="15"/>
  <c r="Q66" i="76"/>
  <c r="Q76" i="76" s="1"/>
  <c r="Q57" i="15"/>
  <c r="Q66" i="15"/>
  <c r="Q48" i="15"/>
  <c r="Q54" i="15" s="1"/>
  <c r="C43" i="15"/>
  <c r="B2" i="15"/>
  <c r="J42" i="15"/>
  <c r="J43" i="15" s="1"/>
  <c r="B3" i="75"/>
  <c r="F30" i="68" s="1"/>
  <c r="Q57" i="73"/>
  <c r="Q63" i="73" s="1"/>
  <c r="C43" i="73"/>
  <c r="Q66" i="73"/>
  <c r="Q76" i="73" s="1"/>
  <c r="B2" i="73"/>
  <c r="Q48" i="73"/>
  <c r="Q54" i="73" s="1"/>
  <c r="J42" i="73"/>
  <c r="J43" i="73" s="1"/>
  <c r="C46" i="73"/>
  <c r="Q66" i="74"/>
  <c r="Q76" i="74" s="1"/>
  <c r="C46" i="74"/>
  <c r="J42" i="74"/>
  <c r="J43" i="74" s="1"/>
  <c r="B2" i="74"/>
  <c r="B3" i="74" s="1"/>
  <c r="F29" i="68" s="1"/>
  <c r="C43" i="74"/>
  <c r="Q48" i="74"/>
  <c r="Q54" i="74" s="1"/>
  <c r="E53" i="39"/>
  <c r="F53" i="39" s="1"/>
  <c r="E54" i="39"/>
  <c r="F54" i="39" s="1"/>
  <c r="C50" i="39"/>
  <c r="C49" i="39"/>
  <c r="I54" i="39"/>
  <c r="J54" i="39" s="1"/>
  <c r="G53" i="39"/>
  <c r="H53" i="39" s="1"/>
  <c r="G54" i="39"/>
  <c r="H54" i="39" s="1"/>
  <c r="I48" i="40"/>
  <c r="J48" i="40" s="1"/>
  <c r="R45" i="40"/>
  <c r="E44" i="40"/>
  <c r="G49" i="40"/>
  <c r="H49" i="40" s="1"/>
  <c r="B2" i="76" l="1"/>
  <c r="B3" i="76" s="1"/>
  <c r="F31" i="68" s="1"/>
  <c r="Q48" i="76"/>
  <c r="Q54" i="76" s="1"/>
  <c r="Q71" i="44"/>
  <c r="Q70" i="44" s="1"/>
  <c r="C44" i="44"/>
  <c r="C45" i="44" s="1"/>
  <c r="J18" i="44"/>
  <c r="J27" i="44" s="1"/>
  <c r="Q57" i="76"/>
  <c r="Q63" i="76" s="1"/>
  <c r="J42" i="76"/>
  <c r="J43" i="76" s="1"/>
  <c r="C43" i="76"/>
  <c r="B3" i="15"/>
  <c r="F27" i="68" s="1"/>
  <c r="C10" i="12"/>
  <c r="D10" i="12"/>
  <c r="B3" i="73"/>
  <c r="F28" i="68" s="1"/>
  <c r="Q67" i="15"/>
  <c r="Q76" i="15" s="1"/>
  <c r="Q58" i="15"/>
  <c r="Q63" i="15" s="1"/>
  <c r="E10" i="12"/>
  <c r="C45" i="40"/>
  <c r="C44" i="40"/>
  <c r="E49" i="40"/>
  <c r="F49" i="40" s="1"/>
  <c r="E48" i="40"/>
  <c r="F48" i="40" s="1"/>
  <c r="I49" i="40"/>
  <c r="J49" i="40" s="1"/>
  <c r="B63" i="39"/>
  <c r="F63" i="39" s="1"/>
  <c r="B67" i="39"/>
  <c r="F67" i="39" s="1"/>
  <c r="B65" i="39"/>
  <c r="F65" i="39" s="1"/>
  <c r="B61" i="39"/>
  <c r="F61" i="39" s="1"/>
  <c r="B58" i="39"/>
  <c r="F58" i="39" s="1"/>
  <c r="B59" i="39"/>
  <c r="F59" i="39" s="1"/>
  <c r="B66" i="39"/>
  <c r="F66" i="39" s="1"/>
  <c r="B62" i="39"/>
  <c r="F62" i="39" s="1"/>
  <c r="B64" i="39"/>
  <c r="F64" i="39" s="1"/>
  <c r="B60" i="39"/>
  <c r="F60" i="39" s="1"/>
  <c r="F68" i="39"/>
  <c r="B2" i="39" s="1"/>
  <c r="G10" i="12" l="1"/>
  <c r="C6" i="12" s="1"/>
  <c r="C29" i="12" s="1"/>
  <c r="B2" i="44"/>
  <c r="L52" i="44"/>
  <c r="L47" i="44"/>
  <c r="B4" i="39"/>
  <c r="B3" i="39"/>
  <c r="B5" i="39"/>
  <c r="B56" i="40"/>
  <c r="F56" i="40" s="1"/>
  <c r="B60" i="40"/>
  <c r="F60" i="40" s="1"/>
  <c r="B53" i="40"/>
  <c r="F53" i="40" s="1"/>
  <c r="B62" i="40"/>
  <c r="F62" i="40" s="1"/>
  <c r="B59" i="40"/>
  <c r="F59" i="40" s="1"/>
  <c r="F63" i="40"/>
  <c r="B2" i="40" s="1"/>
  <c r="B61" i="40"/>
  <c r="F61" i="40" s="1"/>
  <c r="B55" i="40"/>
  <c r="F55" i="40" s="1"/>
  <c r="B57" i="40"/>
  <c r="F57" i="40" s="1"/>
  <c r="B54" i="40"/>
  <c r="F54" i="40" s="1"/>
  <c r="B58" i="40"/>
  <c r="F58" i="40" s="1"/>
  <c r="B5" i="44" l="1"/>
  <c r="B3" i="44"/>
  <c r="B4" i="44"/>
  <c r="Q69" i="44"/>
  <c r="L58" i="44"/>
  <c r="L61" i="44" s="1"/>
  <c r="C24" i="12"/>
  <c r="C35" i="12" s="1"/>
  <c r="C33" i="12" s="1"/>
  <c r="B3" i="40"/>
  <c r="B5" i="40"/>
  <c r="B4" i="40"/>
  <c r="Q59" i="44" l="1"/>
  <c r="Q64" i="44" s="1"/>
  <c r="Q68" i="44"/>
  <c r="Q77" i="44" s="1"/>
  <c r="C28" i="12"/>
  <c r="C26" i="12" s="1"/>
  <c r="C31" i="12" s="1"/>
  <c r="C30" i="12" s="1"/>
  <c r="C36" i="12" s="1"/>
  <c r="B2" i="12" s="1"/>
  <c r="D19" i="9"/>
  <c r="L44" i="9" l="1"/>
  <c r="G19" i="9"/>
  <c r="D22" i="9"/>
  <c r="B3" i="12"/>
  <c r="B4" i="12"/>
  <c r="B5" i="12"/>
  <c r="D21" i="9"/>
  <c r="D20" i="9"/>
  <c r="G20" i="9" l="1"/>
  <c r="G21" i="9"/>
  <c r="G22" i="9"/>
  <c r="C32" i="9"/>
  <c r="N43" i="9"/>
  <c r="C42" i="9" l="1"/>
  <c r="O38" i="9"/>
  <c r="C34" i="9"/>
  <c r="O43" i="9"/>
  <c r="C33" i="9"/>
  <c r="C35" i="9"/>
  <c r="F42" i="9" s="1"/>
  <c r="K26" i="9" l="1"/>
  <c r="K25" i="9"/>
  <c r="D42" i="9"/>
  <c r="Q5" i="54" s="1"/>
  <c r="B47" i="63" s="1"/>
  <c r="N38" i="9"/>
  <c r="K28" i="9" s="1"/>
  <c r="E42" i="9"/>
  <c r="P5" i="54" s="1"/>
  <c r="B46" i="63" s="1"/>
  <c r="M38" i="9"/>
  <c r="K27" i="9" s="1"/>
  <c r="D14" i="66"/>
  <c r="R5" i="54"/>
  <c r="B48" i="63" s="1"/>
  <c r="N68" i="9"/>
  <c r="D63" i="9"/>
  <c r="B5" i="66" l="1"/>
  <c r="F14" i="66"/>
  <c r="E14" i="66"/>
  <c r="D73" i="9"/>
  <c r="N73" i="9" s="1"/>
  <c r="C103" i="9"/>
  <c r="C82" i="9"/>
  <c r="C81" i="9" s="1"/>
  <c r="C85" i="9" s="1"/>
  <c r="C86" i="9" s="1"/>
  <c r="D72" i="9" s="1"/>
  <c r="D71" i="9"/>
  <c r="D66" i="9" s="1"/>
  <c r="N72" i="9" s="1"/>
  <c r="C96" i="9"/>
  <c r="C91" i="9" s="1"/>
  <c r="C111" i="9"/>
  <c r="C104" i="9" s="1"/>
  <c r="D70" i="9"/>
  <c r="C90" i="9"/>
  <c r="C97" i="9" s="1"/>
  <c r="C98" i="9" l="1"/>
  <c r="E98" i="9" s="1"/>
  <c r="E99" i="9" s="1"/>
  <c r="C113" i="9"/>
  <c r="C5" i="66"/>
  <c r="D5" i="66"/>
  <c r="C99" i="9" l="1"/>
  <c r="C114" i="9"/>
  <c r="E114" i="9" s="1"/>
  <c r="E115" i="9" s="1"/>
  <c r="C115" i="9"/>
  <c r="D76" i="9" s="1"/>
  <c r="D74" i="9" s="1"/>
  <c r="N74" i="9" s="1"/>
  <c r="O77" i="9" s="1"/>
  <c r="O78" i="9" l="1"/>
  <c r="O79" i="9"/>
  <c r="Q77"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<sst xmlns="http://schemas.openxmlformats.org/spreadsheetml/2006/main" count="9195" uniqueCount="3419">
  <si>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</si>
  <si>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</si>
  <si>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</si>
  <si>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</si>
  <si>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</si>
  <si>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</si>
  <si>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</si>
  <si>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</si>
  <si>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</si>
  <si>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</si>
  <si>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</si>
  <si>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</si>
  <si>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</si>
  <si>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</si>
  <si>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</si>
  <si>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</si>
  <si>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</si>
  <si>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</si>
  <si>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</si>
  <si>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</si>
  <si>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</si>
  <si>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</si>
  <si>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</si>
  <si>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</si>
  <si>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</si>
  <si>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</si>
  <si>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</si>
  <si>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</si>
  <si>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</si>
  <si>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</si>
  <si>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</si>
  <si>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</si>
  <si>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</si>
  <si>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</si>
  <si>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</si>
  <si>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</si>
  <si>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</si>
  <si>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</si>
  <si>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</si>
  <si>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</si>
  <si>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</si>
  <si>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</si>
  <si>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</si>
  <si>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</si>
  <si>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</si>
  <si>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</si>
  <si>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</si>
  <si>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</si>
  <si>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</si>
  <si>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</si>
  <si>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</si>
  <si>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</si>
  <si>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</si>
  <si>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</si>
  <si>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</si>
  <si>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</si>
  <si>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</si>
  <si>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</si>
  <si>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</si>
  <si>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</si>
  <si>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</si>
  <si>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</si>
  <si>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</si>
  <si>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</si>
  <si>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</si>
  <si>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</si>
  <si>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</si>
  <si>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</si>
  <si>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</si>
  <si>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</si>
  <si>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</si>
  <si>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</si>
  <si>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</si>
  <si>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</si>
  <si>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</si>
  <si>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</si>
  <si>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</si>
  <si>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</si>
  <si>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</si>
  <si>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</si>
  <si>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</si>
  <si>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</si>
  <si>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</si>
  <si>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</si>
  <si>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</si>
  <si>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</si>
  <si>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</si>
  <si>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</si>
  <si>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</si>
  <si>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</si>
  <si>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</si>
  <si>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</si>
  <si>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</si>
  <si>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</si>
  <si>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</si>
  <si>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</si>
  <si>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</si>
  <si>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</si>
  <si>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</si>
  <si>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</si>
  <si>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</si>
  <si>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</si>
  <si>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</si>
  <si>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</si>
  <si>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</si>
  <si>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</si>
  <si>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</si>
  <si>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</si>
  <si>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</si>
  <si>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</si>
  <si>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</si>
  <si>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</si>
  <si>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</si>
  <si>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</si>
  <si>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</si>
  <si>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</si>
  <si>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</si>
  <si>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</si>
  <si>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</si>
  <si>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</si>
  <si>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</si>
  <si>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</si>
  <si>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</si>
  <si>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</si>
  <si>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</si>
  <si>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</si>
  <si>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</si>
  <si>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</si>
  <si>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</si>
  <si>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</si>
  <si>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</si>
  <si>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</si>
  <si>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</si>
  <si>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</si>
  <si>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</si>
  <si>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</si>
  <si>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</si>
  <si>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</si>
  <si>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</si>
  <si>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</si>
  <si>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</si>
  <si>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</si>
  <si>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</si>
  <si>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</si>
  <si>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</si>
  <si>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</si>
  <si>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</si>
  <si>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</si>
  <si>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</si>
  <si>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</si>
  <si>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</si>
  <si>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</si>
  <si>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</si>
  <si>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</si>
  <si>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</si>
  <si>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</si>
  <si>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</si>
  <si>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</si>
  <si>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</si>
  <si>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</si>
  <si>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</si>
  <si>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</si>
  <si>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</si>
  <si>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</si>
  <si>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</si>
  <si>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</si>
  <si>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</si>
  <si>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</si>
  <si>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</si>
  <si>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</si>
  <si>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</si>
  <si>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</si>
  <si>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</si>
  <si>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</si>
  <si>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</si>
  <si>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</si>
  <si>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</si>
  <si>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</si>
  <si>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</si>
  <si>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</si>
  <si>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</si>
  <si>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</si>
  <si>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</si>
  <si>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</si>
  <si>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</si>
  <si>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</si>
  <si>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</si>
  <si>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</si>
  <si>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</si>
  <si>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</si>
  <si>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</si>
  <si>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</si>
  <si>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</si>
  <si>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</si>
  <si>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</si>
  <si>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</si>
  <si>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</si>
  <si>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</si>
  <si>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</si>
  <si>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</si>
  <si>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</si>
  <si>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</si>
  <si>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</si>
  <si>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</si>
  <si>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</si>
  <si>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</si>
  <si>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</si>
  <si>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</si>
  <si>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</si>
  <si>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</si>
  <si>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</si>
  <si>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</si>
  <si>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</si>
  <si>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</si>
  <si>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</si>
  <si>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</si>
  <si>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</si>
  <si>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</si>
  <si>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</si>
  <si>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</si>
  <si>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</si>
  <si>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</si>
  <si>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</si>
  <si>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</si>
  <si>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</si>
  <si>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</si>
  <si>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</si>
  <si>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</si>
  <si>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</si>
  <si>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</si>
  <si>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</si>
  <si>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</si>
  <si>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</si>
  <si>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</si>
  <si>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</si>
  <si>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</si>
  <si>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</si>
  <si>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</si>
  <si>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</si>
  <si>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</si>
  <si>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</si>
  <si>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</si>
  <si>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</si>
  <si>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</si>
  <si>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</si>
  <si>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</si>
  <si>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</si>
  <si>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</si>
  <si>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</si>
  <si>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</si>
  <si>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</si>
  <si>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</si>
  <si>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</si>
  <si>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</si>
  <si>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</si>
  <si>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</si>
  <si>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</si>
  <si>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</si>
  <si>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</si>
  <si>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</si>
  <si>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</si>
  <si>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</si>
  <si>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</si>
  <si>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</si>
  <si>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</si>
  <si>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</si>
  <si>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</si>
  <si>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</si>
  <si>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</si>
  <si>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</si>
  <si>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</si>
  <si>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</si>
  <si>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</si>
  <si>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</si>
  <si>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</si>
  <si>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</si>
  <si>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</si>
  <si>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</si>
  <si>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</si>
  <si>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</si>
  <si>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</si>
  <si>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</si>
  <si>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</si>
  <si>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</si>
  <si>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</si>
  <si>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</si>
  <si>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</si>
  <si>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</si>
  <si>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</si>
  <si>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</si>
  <si>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</si>
  <si>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</si>
  <si>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</si>
  <si>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</si>
  <si>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</si>
  <si>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</si>
  <si>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</si>
  <si>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</si>
  <si>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</si>
  <si>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</si>
  <si>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</si>
  <si>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</si>
  <si>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</si>
  <si>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</si>
  <si>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</si>
  <si>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</si>
  <si>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</si>
  <si>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</si>
  <si>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</si>
  <si>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</si>
  <si>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</si>
  <si>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</si>
  <si>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</si>
  <si>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</si>
  <si>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</si>
  <si>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</si>
  <si>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</si>
  <si>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</si>
  <si>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</si>
  <si>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</si>
  <si>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</si>
  <si>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</si>
  <si>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</si>
  <si>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</si>
  <si>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</si>
  <si>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</si>
  <si>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</si>
  <si>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</si>
  <si>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</si>
  <si>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</si>
  <si>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</si>
  <si>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</si>
  <si>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</si>
  <si>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</si>
  <si>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</si>
  <si>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</si>
  <si>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</si>
  <si>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</si>
  <si>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</si>
  <si>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</si>
  <si>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</si>
  <si>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</si>
  <si>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</si>
  <si>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</si>
  <si>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</si>
  <si>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</si>
  <si>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</si>
  <si>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</si>
  <si>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</si>
  <si>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</si>
  <si>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</si>
  <si>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</si>
  <si>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</si>
  <si>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</si>
  <si>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</si>
  <si>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</si>
  <si>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</si>
  <si>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</si>
  <si>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</si>
  <si>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</si>
  <si>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</si>
  <si>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</si>
  <si>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</si>
  <si>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</si>
  <si>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</si>
  <si>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</si>
  <si>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</si>
  <si>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</si>
  <si>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</si>
  <si>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</si>
  <si>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</si>
  <si>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</si>
  <si>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</si>
  <si>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</si>
  <si>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</si>
  <si>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</si>
  <si>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</si>
  <si>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</si>
  <si>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</si>
  <si>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</si>
  <si>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</si>
  <si>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</si>
  <si>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</si>
  <si>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</si>
  <si>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</si>
  <si>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</si>
  <si>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</si>
  <si>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</si>
  <si>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</si>
  <si>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</si>
  <si>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</si>
  <si>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</si>
  <si>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</si>
  <si>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</si>
  <si>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</si>
  <si>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</si>
  <si>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</si>
  <si>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</si>
  <si>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</si>
  <si>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</si>
  <si>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</si>
  <si>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</si>
  <si>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</si>
  <si>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</si>
  <si>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</si>
  <si>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</si>
  <si>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</si>
  <si>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</si>
  <si>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</si>
  <si>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</si>
  <si>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</si>
  <si>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</si>
  <si>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</si>
  <si>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</si>
  <si>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</si>
  <si>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</si>
  <si>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</si>
  <si>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</si>
  <si>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</si>
  <si>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</si>
  <si>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</si>
  <si>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</si>
  <si>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</si>
  <si>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</si>
  <si>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</si>
  <si>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</si>
  <si>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</si>
  <si>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</si>
  <si>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</si>
  <si>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</si>
  <si>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</si>
  <si>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</si>
  <si>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</si>
  <si>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</si>
  <si>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</si>
  <si>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</si>
  <si>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</si>
  <si>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</si>
  <si>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</si>
  <si>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</si>
  <si>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</si>
  <si>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</si>
  <si>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</si>
  <si>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</si>
  <si>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</si>
  <si>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</si>
  <si>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</si>
  <si>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</si>
  <si>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</si>
  <si>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</si>
  <si>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</si>
  <si>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</si>
  <si>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</si>
  <si>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</si>
  <si>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</si>
  <si>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</si>
  <si>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</si>
  <si>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</si>
  <si>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</si>
  <si>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</si>
  <si>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</si>
  <si>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</si>
  <si>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</si>
  <si>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</si>
  <si>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</si>
  <si>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</si>
  <si>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</si>
  <si>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</si>
  <si>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</si>
  <si>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</si>
  <si>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</si>
  <si>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</si>
  <si>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</si>
  <si>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</si>
  <si>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</si>
  <si>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</si>
  <si>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</si>
  <si>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</si>
  <si>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</si>
  <si>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</si>
  <si>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</si>
  <si>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</si>
  <si>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</si>
  <si>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</si>
  <si>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</si>
  <si>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</si>
  <si>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</si>
  <si>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</si>
  <si>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</si>
  <si>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</si>
  <si>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</si>
  <si>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</si>
  <si>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</si>
  <si>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</si>
  <si>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</si>
  <si>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</si>
  <si>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</si>
  <si>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</si>
  <si>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</si>
  <si>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</si>
  <si>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</si>
  <si>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</si>
  <si>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</si>
  <si>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</si>
  <si>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</si>
  <si>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</si>
  <si>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</si>
  <si>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</si>
  <si>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</si>
  <si>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</si>
  <si>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</si>
  <si>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</si>
  <si>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</si>
  <si>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</si>
  <si>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</si>
  <si>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</si>
  <si>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</si>
  <si>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</si>
  <si>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</si>
  <si>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</si>
  <si>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</si>
  <si>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</si>
  <si>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</si>
  <si>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</si>
  <si>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</si>
  <si>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</si>
  <si>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</si>
  <si>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</si>
  <si>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</si>
  <si>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</si>
  <si>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</si>
  <si>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</si>
  <si>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</si>
  <si>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</si>
  <si>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</si>
  <si>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</si>
  <si>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</si>
  <si>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</si>
  <si>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</si>
  <si>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</si>
  <si>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</si>
  <si>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</si>
  <si>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</si>
  <si>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</si>
  <si>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</si>
  <si>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</si>
  <si>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</si>
  <si>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</si>
  <si>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</si>
  <si>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</si>
  <si>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</si>
  <si>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</si>
  <si>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</si>
  <si>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</si>
  <si>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</si>
  <si>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</si>
  <si>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</si>
  <si>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</si>
  <si>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</si>
  <si>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</si>
  <si>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</si>
  <si>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</si>
  <si>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</si>
  <si>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</si>
  <si>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</si>
  <si>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</si>
  <si>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</si>
  <si>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</si>
  <si>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</si>
  <si>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</si>
  <si>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</si>
  <si>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</si>
  <si>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</si>
  <si>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</si>
  <si>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</si>
  <si>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</si>
  <si>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</si>
  <si>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</si>
  <si>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</si>
  <si>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</si>
  <si>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</si>
  <si>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</si>
  <si>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</si>
  <si>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</si>
  <si>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</si>
  <si>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</si>
  <si>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</si>
  <si>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</si>
  <si>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</si>
  <si>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</si>
  <si>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</si>
  <si>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</si>
  <si>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</si>
  <si>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</si>
  <si>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</si>
  <si>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</si>
  <si>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</si>
  <si>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</si>
  <si>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</si>
  <si>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</si>
  <si>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</si>
  <si>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</si>
  <si>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</si>
  <si>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</si>
  <si>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</si>
  <si>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</si>
  <si>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</si>
  <si>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</si>
  <si>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</si>
  <si>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</si>
  <si>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</si>
  <si>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</si>
  <si>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</si>
  <si>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</si>
  <si>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</si>
  <si>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</si>
  <si>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</si>
  <si>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</si>
  <si>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</si>
  <si>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</si>
  <si>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</si>
  <si>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</si>
  <si>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</si>
  <si>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</si>
  <si>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</si>
  <si>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</si>
  <si>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</si>
  <si>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</si>
  <si>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</si>
  <si>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</si>
  <si>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</si>
  <si>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</si>
  <si>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</si>
  <si>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</si>
  <si>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</si>
  <si>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</si>
  <si>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</si>
  <si>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</si>
  <si>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</si>
  <si>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</si>
  <si>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</si>
  <si>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</si>
  <si>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</si>
  <si>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</si>
  <si>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</si>
  <si>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</si>
  <si>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</si>
  <si>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</si>
  <si>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</si>
  <si>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</si>
  <si>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</si>
  <si>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</si>
  <si>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</si>
  <si>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</si>
  <si>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</si>
  <si>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</si>
  <si>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</si>
  <si>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</si>
  <si>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</si>
  <si>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</si>
  <si>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</si>
  <si>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</si>
  <si>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</si>
  <si>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</si>
  <si>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</si>
  <si>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</si>
  <si>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</si>
  <si>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</si>
  <si>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</si>
  <si>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</si>
  <si>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</si>
  <si>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</si>
  <si>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</si>
  <si>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</si>
  <si>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</si>
  <si>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</si>
  <si>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</si>
  <si>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</si>
  <si>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</si>
  <si>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</si>
  <si>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</si>
  <si>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</si>
  <si>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</si>
  <si>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</si>
  <si>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</si>
  <si>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</si>
  <si>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</si>
  <si>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</si>
  <si>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</si>
  <si>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</si>
  <si>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</si>
  <si>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</si>
  <si>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</si>
  <si>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</si>
  <si>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</si>
  <si>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</si>
  <si>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</si>
  <si>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</si>
  <si>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</si>
  <si>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</si>
  <si>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</si>
  <si>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</si>
  <si>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</si>
  <si>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</si>
  <si>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</si>
  <si>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</si>
  <si>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</si>
  <si>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</si>
  <si>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</si>
  <si>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</si>
  <si>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</si>
  <si>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</si>
  <si>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</si>
  <si>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</si>
  <si>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</si>
  <si>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</si>
  <si>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</si>
  <si>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</si>
  <si>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</si>
  <si>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</si>
  <si>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</si>
  <si>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</si>
  <si>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</si>
  <si>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</si>
  <si>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</si>
  <si>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</si>
  <si>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</si>
  <si>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</si>
  <si>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</si>
  <si>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</si>
  <si>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</si>
  <si>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</si>
  <si>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</si>
  <si>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</si>
  <si>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</si>
  <si>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</si>
  <si>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</si>
  <si>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</si>
  <si>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</si>
  <si>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</si>
  <si>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</si>
  <si>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</si>
  <si>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</si>
  <si>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</si>
  <si>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</si>
  <si>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</si>
  <si>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</si>
  <si>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</si>
  <si>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</si>
  <si>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</si>
  <si>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</si>
  <si>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</si>
  <si>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</si>
  <si>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</si>
  <si>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</si>
  <si>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</si>
  <si>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</si>
  <si>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</si>
  <si>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</si>
  <si>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</si>
  <si>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</si>
  <si>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</si>
  <si>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</si>
  <si>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</si>
  <si>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</si>
  <si>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</si>
  <si>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</si>
  <si>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</si>
  <si>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</si>
  <si>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</si>
  <si>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</si>
  <si>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</si>
  <si>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</si>
  <si>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</si>
  <si>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</si>
  <si>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</si>
  <si>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</si>
  <si>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</si>
  <si>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</si>
  <si>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</si>
  <si>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</si>
  <si>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</si>
  <si>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</si>
  <si>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</si>
  <si>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</si>
  <si>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</si>
  <si>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</si>
  <si>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</si>
  <si>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</si>
  <si>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</si>
  <si>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</si>
  <si>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</si>
  <si>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</si>
  <si>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</si>
  <si>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</si>
  <si>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</si>
  <si>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</si>
  <si>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</si>
  <si>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</si>
  <si>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</si>
  <si>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</si>
  <si>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</si>
  <si>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</si>
  <si>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</si>
  <si>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</si>
  <si>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</si>
  <si>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</si>
  <si>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</si>
  <si>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</si>
  <si>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</si>
  <si>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</si>
  <si>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</si>
  <si>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</si>
  <si>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</si>
  <si>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</si>
  <si>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</si>
  <si>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</si>
  <si>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</si>
  <si>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</si>
  <si>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</si>
  <si>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</si>
  <si>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</si>
  <si>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</si>
  <si>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</si>
  <si>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</si>
  <si>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</si>
  <si>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</si>
  <si>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</si>
  <si>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</si>
  <si>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</si>
  <si>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</si>
  <si>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</si>
  <si>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</si>
  <si>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</si>
  <si>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</si>
  <si>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</si>
  <si>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</si>
  <si>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</si>
  <si>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</si>
  <si>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</si>
  <si>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</si>
  <si>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</si>
  <si>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</si>
  <si>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</si>
  <si>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</si>
  <si>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</si>
  <si>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</si>
  <si>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</si>
  <si>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</si>
  <si>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</si>
  <si>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</si>
  <si>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</si>
  <si>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</si>
  <si>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</si>
  <si>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</si>
  <si>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</si>
  <si>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</si>
  <si>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</si>
  <si>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</si>
  <si>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</si>
  <si>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</si>
  <si>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</si>
  <si>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</si>
  <si>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</si>
  <si>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</si>
  <si>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</si>
  <si>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</si>
  <si>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</si>
  <si>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</si>
  <si>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</si>
  <si>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</si>
  <si>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</si>
  <si>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</si>
  <si>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</si>
  <si>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</si>
  <si>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</si>
  <si>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</si>
  <si>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</si>
  <si>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</si>
  <si>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</si>
  <si>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</si>
  <si>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</si>
  <si>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</si>
  <si>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</si>
  <si>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</si>
  <si>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</si>
  <si>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</si>
  <si>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</si>
  <si>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</si>
  <si>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</si>
  <si>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</si>
  <si>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</si>
  <si>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</si>
  <si>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</si>
  <si>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</si>
  <si>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</si>
  <si>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</si>
  <si>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</si>
  <si>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</si>
  <si>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</si>
  <si>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</si>
  <si>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</si>
  <si>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</si>
  <si>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</si>
  <si>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</si>
  <si>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</si>
  <si>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</si>
  <si>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</si>
  <si>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</si>
  <si>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</si>
  <si>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</si>
  <si>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</si>
  <si>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</si>
  <si>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</si>
  <si>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</si>
  <si>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</si>
  <si>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</si>
  <si>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</si>
  <si>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</si>
  <si>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</si>
  <si>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</si>
  <si>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</si>
  <si>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</si>
  <si>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</si>
  <si>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</si>
  <si>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</si>
  <si>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</si>
  <si>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</si>
  <si>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</si>
  <si>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</si>
  <si>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</si>
  <si>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</si>
  <si>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</si>
  <si>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</si>
  <si>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</si>
  <si>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</si>
  <si>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</si>
  <si>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</si>
  <si>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</si>
  <si>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</si>
  <si>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</si>
  <si>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</si>
  <si>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</si>
  <si>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</si>
  <si>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</si>
  <si>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</si>
  <si>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</si>
  <si>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</si>
  <si>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</si>
  <si>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</si>
  <si>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</si>
  <si>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</si>
  <si>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</si>
  <si>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</si>
  <si>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</si>
  <si>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</si>
  <si>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</si>
  <si>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</si>
  <si>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</si>
  <si>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</si>
  <si>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</si>
  <si>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</si>
  <si>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</si>
  <si>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</si>
  <si>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</si>
  <si>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</si>
  <si>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</si>
  <si>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</si>
  <si>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</si>
  <si>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</si>
  <si>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</si>
  <si>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</si>
  <si>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</si>
  <si>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</si>
  <si>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</si>
  <si>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</si>
  <si>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</si>
  <si>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</si>
  <si>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</si>
  <si>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</si>
  <si>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</si>
  <si>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</si>
  <si>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</si>
  <si>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</si>
  <si>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</si>
  <si>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</si>
  <si>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</si>
  <si>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</si>
  <si>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</si>
  <si>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</si>
  <si>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</si>
  <si>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</si>
  <si>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</si>
  <si>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</si>
  <si>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</si>
  <si>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</si>
  <si>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</si>
  <si>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</si>
  <si>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</si>
  <si>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</si>
  <si>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</si>
  <si>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</si>
  <si>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</si>
  <si>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</si>
  <si>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</si>
  <si>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</si>
  <si>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</si>
  <si>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</si>
  <si>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</si>
  <si>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</si>
  <si>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</si>
  <si>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</si>
  <si>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</si>
  <si>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</si>
  <si>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</si>
  <si>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</si>
  <si>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</si>
  <si>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</si>
  <si>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</si>
  <si>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</si>
  <si>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</si>
  <si>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</si>
  <si>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</si>
  <si>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</si>
  <si>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</si>
  <si>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</si>
  <si>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</si>
  <si>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</si>
  <si>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</si>
  <si>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</si>
  <si>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</si>
  <si>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</si>
  <si>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</si>
  <si>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</si>
  <si>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</si>
  <si>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</si>
  <si>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</si>
  <si>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</si>
  <si>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</si>
  <si>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</si>
  <si>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</si>
  <si>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</si>
  <si>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</si>
  <si>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</si>
  <si>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</si>
  <si>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</si>
  <si>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</si>
  <si>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</si>
  <si>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</si>
  <si>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</si>
  <si>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</si>
  <si>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</si>
  <si>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</si>
  <si>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</si>
  <si>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</si>
  <si>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</si>
  <si>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</si>
  <si>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</si>
  <si>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</si>
  <si>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</si>
  <si>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</si>
  <si>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</si>
  <si>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</si>
  <si>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</si>
  <si>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</si>
  <si>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</si>
  <si>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</si>
  <si>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</si>
  <si>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</si>
  <si>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</si>
  <si>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</si>
  <si>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</si>
  <si>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</si>
  <si>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</si>
  <si>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</si>
  <si>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</si>
  <si>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</si>
  <si>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</si>
  <si>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</si>
  <si>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</si>
  <si>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</si>
  <si>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</si>
  <si>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</si>
  <si>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</si>
  <si>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</si>
  <si>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</si>
  <si>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</si>
  <si>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</si>
  <si>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</si>
  <si>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</si>
  <si>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</si>
  <si>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</si>
  <si>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</si>
  <si>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</si>
  <si>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</si>
  <si>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</si>
  <si>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</si>
  <si>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</si>
  <si>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</si>
  <si>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</si>
  <si>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</si>
  <si>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</si>
  <si>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</si>
  <si>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</si>
  <si>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</si>
  <si>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</si>
  <si>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</si>
  <si>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</si>
  <si>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</si>
  <si>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</si>
  <si>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</si>
  <si>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</si>
  <si>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</si>
  <si>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</si>
  <si>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</si>
  <si>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</si>
  <si>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</si>
  <si>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</si>
  <si>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</si>
  <si>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</si>
  <si>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</si>
  <si>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</si>
  <si>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</si>
  <si>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</si>
  <si>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</si>
  <si>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</si>
  <si>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</si>
  <si>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</si>
  <si>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</si>
  <si>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</si>
  <si>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</si>
  <si>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</si>
  <si>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</si>
  <si>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</si>
  <si>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</si>
  <si>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</si>
  <si>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</si>
  <si>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</si>
  <si>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</si>
  <si>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</si>
  <si>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</si>
  <si>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</si>
  <si>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</si>
  <si>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</si>
  <si>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</si>
  <si>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</si>
  <si>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</si>
  <si>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</si>
  <si>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</si>
  <si>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</si>
  <si>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</si>
  <si>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</si>
  <si>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</si>
  <si>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</si>
  <si>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</si>
  <si>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</si>
  <si>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</si>
  <si>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</si>
  <si>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</si>
  <si>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</si>
  <si>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</si>
  <si>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</si>
  <si>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</si>
  <si>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</si>
  <si>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</si>
  <si>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</si>
  <si>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</si>
  <si>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</si>
  <si>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</si>
  <si>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</si>
  <si>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</si>
  <si>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</si>
  <si>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</si>
  <si>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</si>
  <si>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</si>
  <si>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</si>
  <si>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</si>
  <si>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</si>
  <si>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</si>
  <si>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</si>
  <si>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</si>
  <si>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</si>
  <si>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</si>
  <si>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</si>
  <si>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</si>
  <si>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</si>
  <si>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</si>
  <si>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</si>
  <si>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</si>
  <si>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</si>
  <si>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</si>
  <si>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</si>
  <si>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</si>
  <si>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</si>
  <si>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</si>
  <si>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</si>
  <si>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</si>
  <si>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</si>
  <si>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</si>
  <si>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</si>
  <si>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</si>
  <si>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</si>
  <si>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</si>
  <si>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</si>
  <si>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</si>
  <si>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</si>
  <si>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</si>
  <si>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</si>
  <si>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</si>
  <si>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</si>
  <si>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</si>
  <si>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</si>
  <si>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</si>
  <si>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</si>
  <si>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</si>
  <si>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</si>
  <si>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</si>
  <si>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</si>
  <si>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</si>
  <si>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</si>
  <si>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</si>
  <si>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</si>
  <si>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</si>
  <si>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</si>
  <si>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</si>
  <si>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</si>
  <si>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</si>
  <si>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</si>
  <si>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</si>
  <si>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</si>
  <si>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</si>
  <si>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</si>
  <si>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</si>
  <si>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</si>
  <si>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</si>
  <si>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</si>
  <si>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</si>
  <si>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</si>
  <si>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</si>
  <si>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</si>
  <si>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</si>
  <si>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</si>
  <si>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</si>
  <si>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</si>
  <si>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</si>
  <si>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</si>
  <si>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</si>
  <si>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</si>
  <si>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</si>
  <si>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</si>
  <si>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</si>
  <si>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</si>
  <si>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</si>
  <si>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</si>
  <si>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</si>
  <si>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</si>
  <si>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</si>
  <si>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</si>
  <si>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</si>
  <si>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</si>
  <si>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</si>
  <si>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</si>
  <si>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</si>
  <si>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</si>
  <si>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</si>
  <si>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</si>
  <si>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</si>
  <si>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</si>
  <si>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</si>
  <si>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</si>
  <si>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</si>
  <si>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</si>
  <si>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</si>
  <si>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</si>
  <si>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</si>
  <si>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</si>
  <si>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</si>
  <si>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</si>
  <si>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</si>
  <si>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</si>
  <si>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</si>
  <si>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</si>
  <si>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</si>
  <si>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</si>
  <si>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</si>
  <si>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</si>
  <si>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</si>
  <si>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</si>
  <si>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</si>
  <si>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</si>
  <si>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</si>
  <si>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</si>
  <si>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</si>
  <si>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</si>
  <si>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</si>
  <si>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</si>
  <si>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</si>
  <si>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</si>
  <si>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</si>
  <si>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</si>
  <si>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</si>
  <si>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</si>
  <si>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</si>
  <si>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</si>
  <si>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</si>
  <si>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</si>
  <si>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</si>
  <si>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</si>
  <si>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</si>
  <si>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</si>
  <si>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</si>
  <si>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</si>
  <si>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</si>
  <si>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</si>
  <si>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</si>
  <si>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</si>
  <si>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</si>
  <si>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</si>
  <si>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</si>
  <si>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</si>
  <si>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</si>
  <si>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</si>
  <si>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</si>
  <si>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</si>
  <si>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</si>
  <si>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</si>
  <si>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</si>
  <si>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</si>
  <si>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</si>
  <si>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</si>
  <si>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</si>
  <si>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</si>
  <si>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</si>
  <si>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</si>
  <si>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</si>
  <si>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</si>
  <si>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</si>
  <si>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</si>
  <si>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</si>
  <si>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</si>
  <si>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</si>
  <si>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</si>
  <si>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</si>
  <si>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</si>
  <si>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</si>
  <si>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</si>
  <si>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</si>
  <si>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</si>
  <si>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</si>
  <si>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</si>
  <si>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</si>
  <si>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</si>
  <si>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</si>
  <si>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</si>
  <si>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</si>
  <si>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</si>
  <si>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</si>
  <si>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</si>
  <si>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</si>
  <si>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</si>
  <si>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</si>
  <si>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</si>
  <si>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</si>
  <si>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</si>
  <si>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</si>
  <si>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</si>
  <si>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</si>
  <si>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</si>
  <si>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</si>
  <si>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</si>
  <si>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</si>
  <si>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</si>
  <si>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</si>
  <si>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</si>
  <si>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</si>
  <si>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</si>
  <si>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</si>
  <si>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</si>
  <si>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</si>
  <si>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</si>
  <si>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</si>
  <si>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</si>
  <si>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</si>
  <si>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</si>
  <si>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</si>
  <si>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</si>
  <si>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</si>
  <si>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</si>
  <si>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</si>
  <si>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</si>
  <si>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</si>
  <si>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</si>
  <si>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</si>
  <si>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</si>
  <si>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</si>
  <si>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</si>
  <si>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</si>
  <si>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</si>
  <si>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</si>
  <si>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</si>
  <si>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</si>
  <si>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</si>
  <si>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</si>
  <si>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</si>
  <si>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</si>
  <si>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</si>
  <si>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</si>
  <si>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</si>
  <si>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</si>
  <si>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</si>
  <si>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</si>
  <si>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</si>
  <si>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</si>
  <si>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</si>
  <si>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</si>
  <si>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</si>
  <si>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</si>
  <si>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</si>
  <si>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</si>
  <si>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</si>
  <si>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</si>
  <si>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</si>
  <si>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</si>
  <si>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</si>
  <si>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</si>
  <si>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</si>
  <si>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</si>
  <si>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</si>
  <si>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</si>
  <si>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</si>
  <si>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</si>
  <si>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</si>
  <si>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</si>
  <si>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</si>
  <si>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</si>
  <si>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</si>
  <si>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</si>
  <si>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</si>
  <si>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</si>
  <si>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</si>
  <si>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</si>
  <si>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</si>
  <si>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</si>
  <si>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</si>
  <si>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</si>
  <si>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</si>
  <si>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</si>
  <si>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</si>
  <si>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</si>
  <si>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</si>
  <si>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</si>
  <si>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</si>
  <si>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</si>
  <si>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</si>
  <si>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</si>
  <si>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</si>
  <si>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</si>
  <si>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</si>
  <si>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</si>
  <si>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</si>
  <si>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</si>
  <si>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</si>
  <si>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</si>
  <si>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</si>
  <si>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</si>
  <si>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</si>
  <si>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</si>
  <si>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</si>
  <si>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</si>
  <si>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</si>
  <si>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</si>
  <si>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</si>
  <si>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</si>
  <si>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</si>
  <si>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</si>
  <si>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</si>
  <si>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</si>
  <si>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</si>
  <si>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</si>
  <si>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</si>
  <si>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</si>
  <si>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</si>
  <si>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</si>
  <si>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</si>
  <si>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</si>
  <si>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</si>
  <si>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</si>
  <si>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</si>
  <si>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</si>
  <si>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</si>
  <si>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</si>
  <si>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</si>
  <si>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</si>
  <si>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</si>
  <si>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</si>
  <si>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</si>
  <si>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</si>
  <si>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</si>
  <si>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</si>
  <si>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</si>
  <si>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</si>
  <si>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</si>
  <si>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</si>
  <si>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</si>
  <si>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</si>
  <si>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</si>
  <si>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</si>
  <si>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</si>
  <si>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</si>
  <si>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</si>
  <si>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</si>
  <si>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</si>
  <si>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</si>
  <si>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</si>
  <si>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</si>
  <si>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</si>
  <si>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</si>
  <si>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</si>
  <si>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</si>
  <si>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</si>
  <si>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</si>
  <si>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</si>
  <si>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</si>
  <si>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</si>
  <si>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</si>
  <si>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</si>
  <si>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</si>
  <si>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</si>
  <si>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</si>
  <si>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</si>
  <si>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</si>
  <si>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</si>
  <si>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</si>
  <si>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</si>
  <si>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</si>
  <si>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</si>
  <si>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</si>
  <si>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</si>
  <si>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</si>
  <si>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</si>
  <si>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</si>
  <si>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</si>
  <si>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</si>
  <si>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</si>
  <si>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</si>
  <si>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</si>
  <si>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</si>
  <si>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</si>
  <si>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</si>
  <si>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</si>
  <si>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</si>
  <si>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</si>
  <si>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</si>
  <si>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</si>
  <si>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</si>
  <si>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</si>
  <si>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</si>
  <si>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</si>
  <si>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</si>
  <si>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</si>
  <si>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</si>
  <si>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</si>
  <si>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</si>
  <si>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</si>
  <si>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</si>
  <si>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</si>
  <si>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</si>
  <si>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</si>
  <si>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</si>
  <si>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</si>
  <si>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</si>
  <si>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</si>
  <si>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</si>
  <si>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</si>
  <si>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</si>
  <si>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</si>
  <si>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</si>
  <si>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</si>
  <si>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</si>
  <si>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</si>
  <si>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</si>
  <si>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</si>
  <si>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</si>
  <si>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</si>
  <si>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</si>
  <si>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</si>
  <si>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</si>
  <si>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</si>
  <si>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</si>
  <si>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</si>
  <si>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</si>
  <si>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</si>
  <si>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</si>
  <si>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</si>
  <si>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</si>
  <si>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</si>
  <si>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</si>
  <si>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</si>
  <si>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</si>
  <si>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</si>
  <si>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</si>
  <si>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</si>
  <si>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</si>
  <si>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</si>
  <si>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</si>
  <si>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</si>
  <si>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</si>
  <si>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</si>
  <si>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</si>
  <si>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</si>
  <si>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</si>
  <si>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</si>
  <si>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</si>
  <si>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</si>
  <si>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</si>
  <si>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</si>
  <si>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</si>
  <si>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</si>
  <si>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</si>
  <si>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</si>
  <si>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</si>
  <si>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</si>
  <si>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</si>
  <si>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</si>
  <si>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</si>
  <si>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</si>
  <si>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</si>
  <si>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</si>
  <si>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</si>
  <si>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</si>
  <si>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</si>
  <si>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</si>
  <si>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</si>
  <si>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</si>
  <si>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</si>
  <si>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</si>
  <si>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</si>
  <si>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</si>
  <si>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</si>
  <si>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</si>
  <si>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</si>
  <si>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</si>
  <si>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</si>
  <si>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</si>
  <si>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</si>
  <si>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</si>
  <si>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</si>
  <si>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</si>
  <si>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</si>
  <si>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</si>
  <si>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</si>
  <si>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</si>
  <si>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</si>
  <si>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</si>
  <si>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</si>
  <si>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</si>
  <si>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</si>
  <si>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</si>
  <si>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</si>
  <si>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</si>
  <si>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</si>
  <si>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</si>
  <si>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</si>
  <si>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</si>
  <si>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</si>
  <si>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</si>
  <si>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</si>
  <si>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</si>
  <si>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</si>
  <si>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</si>
  <si>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</si>
  <si>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</si>
  <si>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</si>
  <si>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</si>
  <si>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</si>
  <si>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</si>
  <si>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</si>
  <si>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</si>
  <si>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</si>
  <si>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</si>
  <si>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</si>
  <si>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</si>
  <si>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</si>
  <si>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</si>
  <si>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</si>
  <si>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</si>
  <si>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</si>
  <si>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</si>
  <si>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</si>
  <si>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</si>
  <si>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</si>
  <si>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</si>
  <si>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</si>
  <si>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</si>
  <si>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</si>
  <si>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</si>
  <si>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</si>
  <si>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</si>
  <si>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</si>
  <si>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</si>
  <si>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</si>
  <si>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</si>
  <si>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</si>
  <si>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</si>
  <si>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</si>
  <si>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</si>
  <si>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</si>
  <si>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</si>
  <si>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</si>
  <si>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</si>
  <si>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</si>
  <si>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</si>
  <si>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</si>
  <si>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</si>
  <si>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</si>
  <si>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</si>
  <si>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</si>
  <si>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</si>
  <si>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</si>
  <si>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</si>
  <si>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</si>
  <si>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</si>
  <si>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</si>
  <si>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</si>
  <si>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</si>
  <si>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</si>
  <si>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</si>
  <si>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</si>
  <si>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</si>
  <si>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</si>
  <si>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</si>
  <si>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</si>
  <si>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</si>
  <si>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</si>
  <si>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</si>
  <si>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</si>
  <si>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</si>
  <si>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</si>
  <si>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</si>
  <si>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</si>
  <si>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</si>
  <si>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</si>
  <si>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</si>
  <si>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</si>
  <si>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</si>
  <si>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</si>
  <si>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</si>
  <si>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</si>
  <si>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</si>
  <si>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</si>
  <si>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</si>
  <si>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</si>
  <si>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</si>
  <si>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</si>
  <si>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</si>
  <si>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</si>
  <si>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</si>
  <si>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</si>
  <si>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</si>
  <si>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</si>
  <si>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</si>
  <si>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</si>
  <si>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</si>
  <si>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</si>
  <si>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</si>
  <si>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</si>
  <si>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</si>
  <si>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</si>
  <si>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</si>
  <si>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</si>
  <si>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</si>
  <si>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</si>
  <si>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</si>
  <si>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</si>
  <si>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</si>
  <si>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</si>
  <si>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</si>
  <si>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</si>
  <si>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</si>
  <si>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</si>
  <si>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</si>
  <si>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</si>
  <si>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</si>
  <si>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</si>
  <si>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</si>
  <si>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</si>
  <si>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</si>
  <si>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</si>
  <si>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</si>
  <si>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</si>
  <si>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</si>
  <si>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</si>
  <si>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</si>
  <si>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</si>
  <si>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</si>
  <si>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</si>
  <si>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</si>
  <si>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</si>
  <si>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</si>
  <si>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</si>
  <si>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</si>
  <si>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</si>
  <si>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</si>
  <si>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</si>
  <si>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</si>
  <si>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</si>
  <si>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</si>
  <si>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</si>
  <si>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</si>
  <si>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</si>
  <si>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</si>
  <si>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</si>
  <si>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</si>
  <si>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</si>
  <si>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</si>
  <si>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</si>
  <si>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</si>
  <si>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</si>
  <si>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</si>
  <si>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</si>
  <si>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</si>
  <si>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</si>
  <si>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</si>
  <si>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</si>
  <si>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</si>
  <si>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</si>
  <si>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</si>
  <si>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</si>
  <si>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</si>
  <si>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</si>
  <si>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</si>
  <si>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</si>
  <si>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</si>
  <si>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</si>
  <si>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</si>
  <si>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</si>
  <si>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</si>
  <si>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</si>
  <si>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</si>
  <si>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</si>
  <si>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</si>
  <si>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</si>
  <si>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</si>
  <si>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</si>
  <si>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</si>
  <si>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</si>
  <si>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</si>
  <si>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</si>
  <si>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</si>
  <si>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</si>
  <si>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</si>
  <si>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</si>
  <si>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</si>
  <si>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</si>
  <si>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</si>
  <si>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</si>
  <si>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</si>
  <si>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</si>
  <si>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</si>
  <si>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</si>
  <si>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</si>
  <si>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</si>
  <si>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</si>
  <si>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</si>
  <si>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</si>
  <si>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</si>
  <si>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</si>
  <si>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</si>
  <si>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</si>
  <si>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</si>
  <si>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</si>
  <si>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</si>
  <si>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</si>
  <si>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</si>
  <si>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</si>
  <si>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</si>
  <si>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</si>
  <si>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</si>
  <si>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</si>
  <si>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</si>
  <si>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</si>
  <si>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</si>
  <si>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</si>
  <si>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</si>
  <si>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</si>
  <si>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</si>
  <si>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</si>
  <si>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</si>
  <si>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</si>
  <si>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</si>
  <si>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</si>
  <si>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</si>
  <si>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</si>
  <si>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</si>
  <si>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</si>
  <si>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</si>
  <si>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</si>
  <si>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</si>
  <si>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</si>
  <si>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</si>
  <si>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</si>
  <si>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</si>
  <si>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</si>
  <si>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</si>
  <si>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</si>
  <si>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</si>
  <si>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</si>
  <si>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</si>
  <si>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</si>
  <si>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</si>
  <si>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</si>
  <si>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</si>
  <si>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</si>
  <si>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</si>
  <si>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</si>
  <si>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</si>
  <si>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</si>
  <si>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</si>
  <si>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</si>
  <si>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</si>
  <si>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</si>
  <si>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</si>
  <si>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</si>
  <si>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</si>
  <si>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</si>
  <si>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</si>
  <si>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</si>
  <si>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</si>
  <si>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</si>
  <si>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</si>
  <si>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</si>
  <si>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</si>
  <si>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</si>
  <si>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</si>
  <si>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</si>
  <si>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</si>
  <si>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</si>
  <si>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</si>
  <si>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</si>
  <si>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</si>
  <si>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</si>
  <si>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</si>
  <si>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</si>
  <si>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</si>
  <si>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</si>
  <si>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</si>
  <si>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</si>
  <si>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</si>
  <si>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</si>
  <si>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</si>
  <si>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</si>
  <si>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</si>
  <si>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</si>
  <si>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</si>
  <si>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</si>
  <si>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</si>
  <si>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</si>
  <si>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</si>
  <si>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</si>
  <si>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</si>
  <si>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</si>
  <si>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</si>
  <si>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</si>
  <si>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</si>
  <si>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</si>
  <si>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</si>
  <si>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</si>
  <si>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</si>
  <si>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</si>
  <si>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</si>
  <si>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</si>
  <si>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</si>
  <si>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</si>
  <si>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</si>
  <si>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</si>
  <si>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</si>
  <si>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</si>
  <si>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</si>
  <si>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</si>
  <si>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</si>
  <si>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</si>
  <si>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</si>
  <si>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</si>
  <si>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</si>
  <si>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</si>
  <si>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</si>
  <si>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</si>
  <si>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</si>
  <si>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</si>
  <si>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</si>
  <si>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</si>
  <si>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</si>
  <si>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</si>
  <si>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</si>
  <si>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</si>
  <si>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</si>
  <si>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</si>
  <si>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</si>
  <si>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</si>
  <si>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</si>
  <si>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</si>
  <si>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</si>
  <si>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</si>
  <si>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</si>
  <si>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</si>
  <si>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</si>
  <si>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</si>
  <si>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</si>
  <si>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</si>
  <si>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</si>
  <si>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</si>
  <si>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</si>
  <si>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</si>
  <si>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</si>
  <si>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</si>
  <si>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</si>
  <si>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</si>
  <si>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</si>
  <si>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</si>
  <si>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</si>
  <si>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</si>
  <si>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</si>
  <si>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</si>
  <si>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</si>
  <si>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</si>
  <si>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</si>
  <si>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</si>
  <si>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</si>
  <si>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</si>
  <si>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</si>
  <si>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</si>
  <si>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</si>
  <si>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</si>
  <si>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</si>
  <si>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</si>
  <si>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</si>
  <si>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</si>
  <si>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</si>
  <si>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</si>
  <si>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</si>
  <si>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</si>
  <si>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</si>
  <si>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</si>
  <si>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</si>
  <si>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</si>
  <si>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</si>
  <si>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</si>
  <si>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</si>
  <si>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</si>
  <si>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</si>
  <si>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</si>
  <si>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</si>
  <si>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</si>
  <si>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</si>
  <si>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</si>
  <si>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</si>
  <si>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</si>
  <si>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</si>
  <si>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</si>
  <si>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</si>
  <si>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</si>
  <si>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</si>
  <si>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</si>
  <si>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</si>
  <si>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</si>
  <si>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</si>
  <si>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</si>
  <si>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</si>
  <si>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</si>
  <si>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</si>
  <si>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</si>
  <si>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</si>
  <si>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</si>
  <si>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</si>
  <si>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</si>
  <si>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</si>
  <si>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</si>
  <si>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</si>
  <si>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</si>
  <si>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</si>
  <si>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</si>
  <si>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</si>
  <si>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</si>
  <si>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</si>
  <si>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</si>
  <si>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</si>
  <si>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</si>
  <si>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</si>
  <si>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</si>
  <si>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</si>
  <si>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</si>
  <si>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</si>
  <si>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</si>
  <si>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</si>
  <si>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</si>
  <si>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</si>
  <si>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</si>
  <si>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</si>
  <si>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</si>
  <si>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</si>
  <si>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</si>
  <si>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</si>
  <si>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</si>
  <si>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</si>
  <si>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</si>
  <si>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</si>
  <si>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</si>
  <si>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</si>
  <si>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</si>
  <si>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</si>
  <si>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</si>
  <si>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</si>
  <si>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</si>
  <si>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</si>
  <si>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</si>
  <si>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</si>
  <si>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</si>
  <si>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</si>
  <si>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</si>
  <si>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</si>
  <si>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</si>
  <si>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</si>
  <si>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</si>
  <si>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</si>
  <si>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</si>
  <si>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</si>
  <si>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</si>
  <si>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</si>
  <si>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</si>
  <si>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</si>
  <si>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</si>
  <si>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</si>
  <si>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</si>
  <si>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</si>
  <si>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</si>
  <si>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</si>
  <si>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</si>
  <si>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</si>
  <si>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</si>
  <si>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</si>
  <si>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</si>
  <si>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</si>
  <si>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</si>
  <si>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</si>
  <si>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</si>
  <si>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</si>
  <si>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</si>
  <si>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</si>
  <si>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</si>
  <si>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</si>
  <si>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</si>
  <si>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</si>
  <si>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</si>
  <si>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</si>
  <si>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</si>
  <si>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</si>
  <si>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</si>
  <si>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</si>
  <si>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</si>
  <si>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</si>
  <si>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</si>
  <si>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</si>
  <si>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</si>
  <si>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</si>
  <si>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</si>
  <si>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</si>
  <si>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</si>
  <si>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</si>
  <si>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</si>
  <si>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</si>
  <si>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</si>
  <si>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</si>
  <si>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</si>
  <si>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</si>
  <si>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</si>
  <si>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</si>
  <si>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</si>
  <si>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</si>
  <si>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</si>
  <si>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</si>
  <si>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</si>
  <si>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</si>
  <si>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</si>
  <si>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</si>
  <si>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</si>
  <si>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</si>
  <si>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</si>
  <si>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</si>
  <si>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</si>
  <si>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</si>
  <si>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</si>
  <si>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</si>
  <si>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</si>
  <si>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</si>
  <si>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</si>
  <si>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</si>
  <si>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</si>
  <si>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</si>
  <si>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</si>
  <si>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</si>
  <si>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</si>
  <si>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</si>
  <si>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</si>
  <si>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</si>
  <si>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</si>
  <si>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</si>
  <si>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</si>
  <si>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</si>
  <si>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</si>
  <si>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</si>
  <si>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</si>
  <si>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</si>
  <si>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</si>
  <si>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</si>
  <si>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</si>
  <si>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</si>
  <si>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</si>
  <si>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</si>
  <si>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</si>
  <si>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</si>
  <si>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</si>
  <si>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</si>
  <si>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</si>
  <si>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</si>
  <si>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</si>
  <si>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</si>
  <si>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</si>
  <si>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</si>
  <si>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</si>
  <si>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</si>
  <si>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</si>
  <si>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</si>
  <si>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</si>
  <si>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</si>
  <si>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</si>
  <si>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</si>
  <si>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</si>
  <si>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</si>
  <si>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</si>
  <si>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</si>
  <si>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</si>
  <si>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</si>
  <si>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</si>
  <si>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</si>
  <si>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</si>
  <si>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</si>
  <si>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</si>
  <si>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</si>
  <si>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</si>
  <si>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</si>
  <si>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</si>
  <si>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</si>
  <si>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</si>
  <si>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</si>
  <si>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</si>
  <si>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</si>
  <si>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</si>
  <si>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</si>
  <si>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</si>
  <si>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</si>
  <si>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</si>
  <si>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</si>
  <si>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</si>
  <si>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</si>
  <si>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</si>
  <si>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</si>
  <si>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</si>
  <si>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</si>
  <si>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</si>
  <si>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</si>
  <si>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</si>
  <si>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</si>
  <si>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</si>
  <si>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</si>
  <si>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</si>
  <si>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</si>
  <si>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</si>
  <si>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</si>
  <si>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</si>
  <si>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</si>
  <si>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</si>
  <si>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</si>
  <si>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</si>
  <si>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</si>
  <si>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</si>
  <si>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</si>
  <si>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</si>
  <si>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</si>
  <si>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</si>
  <si>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</si>
  <si>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</si>
  <si>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</si>
  <si>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</si>
  <si>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</si>
  <si>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</si>
  <si>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</si>
  <si>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</si>
  <si>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</si>
  <si>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</si>
  <si>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</si>
  <si>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</si>
  <si>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</si>
  <si>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</si>
  <si>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</si>
  <si>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</si>
  <si>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</si>
  <si>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</si>
  <si>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</si>
  <si>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</si>
  <si>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</si>
  <si>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</si>
  <si>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</si>
  <si>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</si>
  <si>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</si>
  <si>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</si>
  <si>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</si>
  <si>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</si>
  <si>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</si>
  <si>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</si>
  <si>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</si>
  <si>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</si>
  <si>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</si>
  <si>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</si>
  <si>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</si>
  <si>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</si>
  <si>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</si>
  <si>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</si>
  <si>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</si>
  <si>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</si>
  <si>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</si>
  <si>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</si>
  <si>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</si>
  <si>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</si>
  <si>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</si>
  <si>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</si>
  <si>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</si>
  <si>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</si>
  <si>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</si>
  <si>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</si>
  <si>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</si>
  <si>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</si>
  <si>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</si>
  <si>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</si>
  <si>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</si>
  <si>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</si>
  <si>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</si>
  <si>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</si>
  <si>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</si>
  <si>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</si>
  <si>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</si>
  <si>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</si>
  <si>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</si>
  <si>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</si>
  <si>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</si>
  <si>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</si>
  <si>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</si>
  <si>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</si>
  <si>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</si>
  <si>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</si>
  <si>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</si>
  <si>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</si>
  <si>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</si>
  <si>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</si>
  <si>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</si>
  <si>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</si>
  <si>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</si>
  <si>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</si>
  <si>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</si>
  <si>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</si>
  <si>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</si>
  <si>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</si>
  <si>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</si>
  <si>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</si>
  <si>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</si>
  <si>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</si>
  <si>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</si>
  <si>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</si>
  <si>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</si>
  <si>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</si>
  <si>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</si>
  <si>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</si>
  <si>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</si>
  <si>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</si>
  <si>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</si>
  <si>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</si>
  <si>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</si>
  <si>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</si>
  <si>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</si>
  <si>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</si>
  <si>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</si>
  <si>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</si>
  <si>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</si>
  <si>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</si>
  <si>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</si>
  <si>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</si>
  <si>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</si>
  <si>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</si>
  <si>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</si>
  <si>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</si>
  <si>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</si>
  <si>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</si>
  <si>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</si>
  <si>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</si>
  <si>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</si>
  <si>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</si>
  <si>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</si>
  <si>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</si>
  <si>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</si>
  <si>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</si>
  <si>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</si>
  <si>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</si>
  <si>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</si>
  <si>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</si>
  <si>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</si>
  <si>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</si>
  <si>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</si>
  <si>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</si>
  <si>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</si>
  <si>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</si>
  <si>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</si>
  <si>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</si>
  <si>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</si>
  <si>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</si>
  <si>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</si>
  <si>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</si>
  <si>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</si>
  <si>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</si>
  <si>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</si>
  <si>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</si>
  <si>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</si>
  <si>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</si>
  <si>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</si>
  <si>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</si>
  <si>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</si>
  <si>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</si>
  <si>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</si>
  <si>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</si>
  <si>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</si>
  <si>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</si>
  <si>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</si>
  <si>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</si>
  <si>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</si>
  <si>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</si>
  <si>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</si>
  <si>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</si>
  <si>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</si>
  <si>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</si>
  <si>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</si>
  <si>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</si>
  <si>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</si>
  <si>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</si>
  <si>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</si>
  <si>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</si>
  <si>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</si>
  <si>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</si>
  <si>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</si>
  <si>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</si>
  <si>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</si>
  <si>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</si>
  <si>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</si>
  <si>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</si>
  <si>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</si>
  <si>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</si>
  <si>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</si>
  <si>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</si>
  <si>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</si>
  <si>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</si>
  <si>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</si>
  <si>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</si>
  <si>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</si>
  <si>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</si>
  <si>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</si>
  <si>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</si>
  <si>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</si>
  <si>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</si>
  <si>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</si>
  <si>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</si>
  <si>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</si>
  <si>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</si>
  <si>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</si>
  <si>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</si>
  <si>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</si>
  <si>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</si>
  <si>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</si>
  <si>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</si>
  <si>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</si>
  <si>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</si>
  <si>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</si>
  <si>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</si>
  <si>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</si>
  <si>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</si>
  <si>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</si>
  <si>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</si>
  <si>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</si>
  <si>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</si>
  <si>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</si>
  <si>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</si>
  <si>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</si>
  <si>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</si>
  <si>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</si>
  <si>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</si>
  <si>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</si>
  <si>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</si>
  <si>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</si>
  <si>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</si>
  <si>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</si>
  <si>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</si>
  <si>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</si>
  <si>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</si>
  <si>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</si>
  <si>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</si>
  <si>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</si>
  <si>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</si>
  <si>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</si>
  <si>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</si>
  <si>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</si>
  <si>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</si>
  <si>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</si>
  <si>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</si>
  <si>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</si>
  <si>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</si>
  <si>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</si>
  <si>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</si>
  <si>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</si>
  <si>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</si>
  <si>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</si>
  <si>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</si>
  <si>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</si>
  <si>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</si>
  <si>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</si>
  <si>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</si>
  <si>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</si>
  <si>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</si>
  <si>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</si>
  <si>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</si>
  <si>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</si>
  <si>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</si>
  <si>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</si>
  <si>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</si>
  <si>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</si>
  <si>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</si>
  <si>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</si>
  <si>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</si>
  <si>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</si>
  <si>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</si>
  <si>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</si>
  <si>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</si>
  <si>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</si>
  <si>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</si>
  <si>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</si>
  <si>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</si>
  <si>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</si>
  <si>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</si>
  <si>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</si>
  <si>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</si>
  <si>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</si>
  <si>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</si>
  <si>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</si>
  <si>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</si>
  <si>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</si>
  <si>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</si>
  <si>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</si>
  <si>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</si>
  <si>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</si>
  <si>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</si>
  <si>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</si>
  <si>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</si>
  <si>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</si>
  <si>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</si>
  <si>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</si>
  <si>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</si>
  <si>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</si>
  <si>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</si>
  <si>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</si>
  <si>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</si>
  <si>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</si>
  <si>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</si>
  <si>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</si>
  <si>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</si>
  <si>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</si>
  <si>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</si>
  <si>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</si>
  <si>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</si>
  <si>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</si>
  <si>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</si>
  <si>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</si>
  <si>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</si>
  <si>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</si>
  <si>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</si>
  <si>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</si>
  <si>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</si>
  <si>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</si>
  <si>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</si>
  <si>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</si>
  <si>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</si>
  <si>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</si>
  <si>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</si>
  <si>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</si>
  <si>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</si>
  <si>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</si>
  <si>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</si>
  <si>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</si>
  <si>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</si>
  <si>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</si>
  <si>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</si>
  <si>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</si>
  <si>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</si>
  <si>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</si>
  <si>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</si>
  <si>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</si>
  <si>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</si>
  <si>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</si>
  <si>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</si>
  <si>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</si>
  <si>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</si>
  <si>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</si>
  <si>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</si>
  <si>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</si>
  <si>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</si>
  <si>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</si>
  <si>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</si>
  <si>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</si>
  <si>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</si>
  <si>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</si>
  <si>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</si>
  <si>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</si>
  <si>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</si>
  <si>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</si>
  <si>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</si>
  <si>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</si>
  <si>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</si>
  <si>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</si>
  <si>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</si>
  <si>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</si>
  <si>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</si>
  <si>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</si>
  <si>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</si>
  <si>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</si>
  <si>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</si>
  <si>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</si>
  <si>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</si>
  <si>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</si>
  <si>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</si>
  <si>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</si>
  <si>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</si>
  <si>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</si>
  <si>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</si>
  <si>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</si>
  <si>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</si>
  <si>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</si>
  <si>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</si>
  <si>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</si>
  <si>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</si>
  <si>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</si>
  <si>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</si>
  <si>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</si>
  <si>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</si>
  <si>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</si>
  <si>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</si>
  <si>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</si>
  <si>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</si>
  <si>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</si>
  <si>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</si>
  <si>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</si>
  <si>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</si>
  <si>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</si>
  <si>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</si>
  <si>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</si>
  <si>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</si>
  <si>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</si>
  <si>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</si>
  <si>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</si>
  <si>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</si>
  <si>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</si>
  <si>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</si>
  <si>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</si>
  <si>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</si>
  <si>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</si>
  <si>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</si>
  <si>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</si>
  <si>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</si>
  <si>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</si>
  <si>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</si>
  <si>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</si>
  <si>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</si>
  <si>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</si>
  <si>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</si>
  <si>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</si>
  <si>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</si>
  <si>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</si>
  <si>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</si>
  <si>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</si>
  <si>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</si>
  <si>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</si>
  <si>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</si>
  <si>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</si>
  <si>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</si>
  <si>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</si>
  <si>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</si>
  <si>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</si>
  <si>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</si>
  <si>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</si>
  <si>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</si>
  <si>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</si>
  <si>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</si>
  <si>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</si>
  <si>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</si>
  <si>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</si>
  <si>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</si>
  <si>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</si>
  <si>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</si>
  <si>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</si>
  <si>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</si>
  <si>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</si>
  <si>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</si>
  <si>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</si>
  <si>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</si>
  <si>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</si>
  <si>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</si>
  <si>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</si>
  <si>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</si>
  <si>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</si>
  <si>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</si>
  <si>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</si>
  <si>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</si>
  <si>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</si>
  <si>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</si>
  <si>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</si>
  <si>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</si>
  <si>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</si>
  <si>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</si>
  <si>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</si>
  <si>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</si>
  <si>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</si>
  <si>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</si>
  <si>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</si>
  <si>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</si>
  <si>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</si>
  <si>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</si>
  <si>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</si>
  <si>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</si>
  <si>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</si>
  <si>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</si>
  <si>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</si>
  <si>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</si>
  <si>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</si>
  <si>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</si>
  <si>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</si>
  <si>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</si>
  <si>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</si>
  <si>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</si>
  <si>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</si>
  <si>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</si>
  <si>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</si>
  <si>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</si>
  <si>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</si>
  <si>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</si>
  <si>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</si>
  <si>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</si>
  <si>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</si>
  <si>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</si>
  <si>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</si>
  <si>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</si>
  <si>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</si>
  <si>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</si>
  <si>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</si>
  <si>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</si>
  <si>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</si>
  <si>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</si>
  <si>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</si>
  <si>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</si>
  <si>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</si>
  <si>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</si>
  <si>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</si>
  <si>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</si>
  <si>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</si>
  <si>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</si>
  <si>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</si>
  <si>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</si>
  <si>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</si>
  <si>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</si>
  <si>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</si>
  <si>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</si>
  <si>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</si>
  <si>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</si>
  <si>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</si>
  <si>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</si>
  <si>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</si>
  <si>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</si>
  <si>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</si>
  <si>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</si>
  <si>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</si>
  <si>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</si>
  <si>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</si>
  <si>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</si>
  <si>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</si>
  <si>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</si>
  <si>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</si>
  <si>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</si>
  <si>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</si>
  <si>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</si>
  <si>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</si>
  <si>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</si>
  <si>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</si>
  <si>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</si>
  <si>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</si>
  <si>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</si>
  <si>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</si>
  <si>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</si>
  <si>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</si>
  <si>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</si>
  <si>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</si>
  <si>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</si>
  <si>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</si>
  <si>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</si>
  <si>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</si>
  <si>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</si>
  <si>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</si>
  <si>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</si>
  <si>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</si>
  <si>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</si>
  <si>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</si>
  <si>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</si>
  <si>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</si>
  <si>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</si>
  <si>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</si>
  <si>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</si>
  <si>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</si>
  <si>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</si>
  <si>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</si>
  <si>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</si>
  <si>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</si>
  <si>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</si>
  <si>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</si>
  <si>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</si>
  <si>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</si>
  <si>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</si>
  <si>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</si>
  <si>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</si>
  <si>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</si>
  <si>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</si>
  <si>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</si>
  <si>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</si>
  <si>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</si>
  <si>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</si>
  <si>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</si>
  <si>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</si>
  <si>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</si>
  <si>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</si>
  <si>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</si>
  <si>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</si>
  <si>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</si>
  <si>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</si>
  <si>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</si>
  <si>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</si>
  <si>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</si>
  <si>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</si>
  <si>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</si>
  <si>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</si>
  <si>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</si>
  <si>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</si>
  <si>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</si>
  <si>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</si>
  <si>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</si>
  <si>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</si>
  <si>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</si>
  <si>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</si>
  <si>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</si>
  <si>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</si>
  <si>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</si>
  <si>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</si>
  <si>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</si>
  <si>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</si>
  <si>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</si>
  <si>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</si>
  <si>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</si>
  <si>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</si>
  <si>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</si>
  <si>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</si>
  <si>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</si>
  <si>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</si>
  <si>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</si>
  <si>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</si>
  <si>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</si>
  <si>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</si>
  <si>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</si>
  <si>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</si>
  <si>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</si>
  <si>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</si>
  <si>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</si>
  <si>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</si>
  <si>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</si>
  <si>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</si>
  <si>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</si>
  <si>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</si>
  <si>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</si>
  <si>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</si>
  <si>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</si>
  <si>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</si>
  <si>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</si>
  <si>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</si>
  <si>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</si>
  <si>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</si>
  <si>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</si>
  <si>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</si>
  <si>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</si>
  <si>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</si>
  <si>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</si>
  <si>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</si>
  <si>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</si>
  <si>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</si>
  <si>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</si>
  <si>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</si>
  <si>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</si>
  <si>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</si>
  <si>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</si>
  <si>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</si>
  <si>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</si>
  <si>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</si>
  <si>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</si>
  <si>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</si>
  <si>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</si>
  <si>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</si>
  <si>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</si>
  <si>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</si>
  <si>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</si>
  <si>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</si>
  <si>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</si>
  <si>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</si>
  <si>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</si>
  <si>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</si>
  <si>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</si>
  <si>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</si>
  <si>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</si>
  <si>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</si>
  <si>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</si>
  <si>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</si>
  <si>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</si>
  <si>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</si>
  <si>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</si>
  <si>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</si>
  <si>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</si>
  <si>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</si>
  <si>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</si>
  <si>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</si>
  <si>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</si>
  <si>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</si>
  <si>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</si>
  <si>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2019-1</t>
    <phoneticPr fontId="4" type="noConversion"/>
  </si>
  <si>
    <t>2019-2</t>
    <phoneticPr fontId="4" type="noConversion"/>
  </si>
  <si>
    <t>2019-3</t>
    <phoneticPr fontId="4" type="noConversion"/>
  </si>
  <si>
    <t>2019-4</t>
    <phoneticPr fontId="4" type="noConversion"/>
  </si>
  <si>
    <t>2019A-027</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</si>
  <si>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</si>
  <si>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</si>
  <si>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</si>
  <si>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</si>
  <si>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</si>
  <si>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</si>
  <si>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</si>
  <si>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</si>
  <si>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</si>
  <si>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</si>
  <si>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</si>
  <si>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</si>
  <si>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</si>
  <si>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延期至2020年底</t>
    <phoneticPr fontId="4" type="noConversion"/>
  </si>
  <si>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</si>
  <si>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</si>
  <si>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</si>
  <si>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</si>
  <si>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</si>
  <si>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</si>
  <si>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</si>
  <si>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</si>
  <si>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</si>
  <si>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</si>
  <si>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</si>
  <si>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</si>
  <si>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</si>
  <si>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</si>
  <si>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</si>
  <si>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</si>
  <si>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</si>
  <si>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</si>
  <si>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</si>
  <si>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</si>
  <si>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t>
    </r>
    <r>
      <rPr>
        <b/>
        <sz val="10"/>
        <color rgb="FFFF0000"/>
        <rFont val="仿宋_GB2312"/>
        <family val="3"/>
        <charset val="134"/>
      </rPr>
      <t>地下商业不考虑路线价修正★</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</si>
  <si>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</si>
  <si>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</si>
  <si>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</si>
  <si>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</si>
  <si>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</si>
  <si>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</si>
  <si>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</si>
  <si>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街区编号</t>
    <phoneticPr fontId="229" type="noConversion"/>
  </si>
  <si>
    <t>宗地编号</t>
    <phoneticPr fontId="229" type="noConversion"/>
  </si>
  <si>
    <t>地块编号</t>
    <phoneticPr fontId="229" type="noConversion"/>
  </si>
  <si>
    <t>用地性质代码</t>
    <phoneticPr fontId="229" type="noConversion"/>
  </si>
  <si>
    <t>用地面积（㎡）</t>
    <phoneticPr fontId="229" type="noConversion"/>
  </si>
  <si>
    <t>用地性质</t>
    <phoneticPr fontId="229" type="noConversion"/>
  </si>
  <si>
    <t>容积率</t>
    <phoneticPr fontId="229" type="noConversion"/>
  </si>
  <si>
    <t>配套设施</t>
    <phoneticPr fontId="229" type="noConversion"/>
  </si>
  <si>
    <t>备注</t>
    <phoneticPr fontId="229" type="noConversion"/>
  </si>
  <si>
    <t>建筑面积（㎡）</t>
    <phoneticPr fontId="229" type="noConversion"/>
  </si>
  <si>
    <t>RX01-04</t>
    <phoneticPr fontId="229" type="noConversion"/>
  </si>
  <si>
    <t>xarx-0039宗地</t>
    <phoneticPr fontId="229" type="noConversion"/>
  </si>
  <si>
    <t>RX01-04-03</t>
  </si>
  <si>
    <t>F1</t>
    <phoneticPr fontId="229" type="noConversion"/>
  </si>
  <si>
    <t>一类综合用地</t>
    <phoneticPr fontId="229" type="noConversion"/>
  </si>
  <si>
    <t>——</t>
    <phoneticPr fontId="229" type="noConversion"/>
  </si>
  <si>
    <t>RX01-04-04</t>
  </si>
  <si>
    <t>RX01-04-05</t>
  </si>
  <si>
    <t>RX01-04-06</t>
  </si>
  <si>
    <t>R1</t>
    <phoneticPr fontId="229" type="noConversion"/>
  </si>
  <si>
    <t>住宅用地</t>
    <phoneticPr fontId="229" type="noConversion"/>
  </si>
  <si>
    <t>RX01-04-07</t>
  </si>
  <si>
    <t>RX01-04-08</t>
  </si>
  <si>
    <t>RX01-04-09</t>
  </si>
  <si>
    <t>xarx-0040宗地</t>
    <phoneticPr fontId="229" type="noConversion"/>
  </si>
  <si>
    <t>RX01-04-11</t>
  </si>
  <si>
    <t>RX01-04-13</t>
  </si>
  <si>
    <t>RX01-04-14</t>
  </si>
  <si>
    <t>RX01-04-15</t>
  </si>
  <si>
    <t>G1</t>
    <phoneticPr fontId="229" type="noConversion"/>
  </si>
  <si>
    <t>城市公园绿地</t>
    <phoneticPr fontId="229" type="noConversion"/>
  </si>
  <si>
    <t>室外运动场地</t>
    <phoneticPr fontId="229" type="noConversion"/>
  </si>
  <si>
    <t>RX01-04-16</t>
  </si>
  <si>
    <t>R9</t>
    <phoneticPr fontId="229" type="noConversion"/>
  </si>
  <si>
    <t>居住配套设施用地</t>
    <phoneticPr fontId="229" type="noConversion"/>
  </si>
  <si>
    <t>幼儿园</t>
    <phoneticPr fontId="229" type="noConversion"/>
  </si>
  <si>
    <t>12班</t>
    <phoneticPr fontId="229" type="noConversion"/>
  </si>
  <si>
    <t>RX01-04-17</t>
  </si>
  <si>
    <t>RX01-04-18</t>
  </si>
  <si>
    <t>B1</t>
    <phoneticPr fontId="229" type="noConversion"/>
  </si>
  <si>
    <t>商业用地</t>
    <phoneticPr fontId="229" type="noConversion"/>
  </si>
  <si>
    <t>RX01-04-21</t>
  </si>
  <si>
    <t>RX01-04-22</t>
  </si>
  <si>
    <t>社区卫生服务站、文化活动站、街坊政务服务站、物业与管理用房、便民商业网点、康养中心、服务创业场、邮政所</t>
    <phoneticPr fontId="229" type="noConversion"/>
  </si>
  <si>
    <t>评估公司</t>
    <phoneticPr fontId="229" type="noConversion"/>
  </si>
  <si>
    <t>片区所属</t>
    <phoneticPr fontId="229" type="noConversion"/>
  </si>
  <si>
    <t>街区编号</t>
  </si>
  <si>
    <t>房建类（二级开发）用地面积（公顷）</t>
    <phoneticPr fontId="229" type="noConversion"/>
  </si>
  <si>
    <t>有建筑的房建用地面积-不含邻里游园
（公顷）</t>
    <phoneticPr fontId="229" type="noConversion"/>
  </si>
  <si>
    <t>房建类绿地面积（公顷）</t>
    <phoneticPr fontId="229" type="noConversion"/>
  </si>
  <si>
    <t>地上建筑面积
（万平方米）</t>
  </si>
  <si>
    <t>地下建筑面积
（万平方米）</t>
    <phoneticPr fontId="229" type="noConversion"/>
  </si>
  <si>
    <t>居住功能</t>
    <phoneticPr fontId="229" type="noConversion"/>
  </si>
  <si>
    <t>就业功能</t>
    <phoneticPr fontId="229" type="noConversion"/>
  </si>
  <si>
    <t>商业服务业功能</t>
    <phoneticPr fontId="229" type="noConversion"/>
  </si>
  <si>
    <t>地上地下住宅建筑面积</t>
    <phoneticPr fontId="229" type="noConversion"/>
  </si>
  <si>
    <t>地上
住宅建筑</t>
    <phoneticPr fontId="229" type="noConversion"/>
  </si>
  <si>
    <t>住宅
地下面积</t>
    <phoneticPr fontId="229" type="noConversion"/>
  </si>
  <si>
    <t>公服配套地上建筑面积
（万平方米）</t>
    <phoneticPr fontId="229" type="noConversion"/>
  </si>
  <si>
    <t>社区级公共服务配套</t>
    <phoneticPr fontId="229" type="noConversion"/>
  </si>
  <si>
    <t>邻里级公共服务配套</t>
    <phoneticPr fontId="229" type="noConversion"/>
  </si>
  <si>
    <t>幼儿园</t>
    <phoneticPr fontId="229" type="noConversion"/>
  </si>
  <si>
    <t>配套设施
地下面积</t>
    <phoneticPr fontId="229" type="noConversion"/>
  </si>
  <si>
    <t>商业办公公寓地上建筑面积
（万平方米）</t>
    <phoneticPr fontId="229" type="noConversion"/>
  </si>
  <si>
    <t>R类
底商</t>
    <phoneticPr fontId="229" type="noConversion"/>
  </si>
  <si>
    <t>F类（除邻里中心外）
底商
（20%）</t>
    <phoneticPr fontId="229" type="noConversion"/>
  </si>
  <si>
    <t>F类（除邻里中心外）
办公
（30%）</t>
    <phoneticPr fontId="229" type="noConversion"/>
  </si>
  <si>
    <t>F类（除邻里中心外）
公寓
（50%）</t>
    <phoneticPr fontId="229" type="noConversion"/>
  </si>
  <si>
    <t>F类(邻里中心)
底商
（40%）</t>
    <phoneticPr fontId="229" type="noConversion"/>
  </si>
  <si>
    <t>F类(邻里中心)
办公
（60%）</t>
    <phoneticPr fontId="229" type="noConversion"/>
  </si>
  <si>
    <t>F类
底商办公公寓
地下面积</t>
    <phoneticPr fontId="229" type="noConversion"/>
  </si>
  <si>
    <t>独立办公</t>
    <phoneticPr fontId="229" type="noConversion"/>
  </si>
  <si>
    <t>独立商业</t>
    <phoneticPr fontId="229" type="noConversion"/>
  </si>
  <si>
    <t>独立商业
地下面积</t>
    <phoneticPr fontId="229" type="noConversion"/>
  </si>
  <si>
    <t>康正</t>
    <phoneticPr fontId="229" type="noConversion"/>
  </si>
  <si>
    <t>出让片区</t>
    <phoneticPr fontId="229" type="noConversion"/>
  </si>
  <si>
    <t>RX01-04</t>
    <phoneticPr fontId="229" type="noConversion"/>
  </si>
  <si>
    <t>RX01-05</t>
    <phoneticPr fontId="229" type="noConversion"/>
  </si>
  <si>
    <t>安置片区</t>
    <phoneticPr fontId="229" type="noConversion"/>
  </si>
  <si>
    <t>RX01-01</t>
    <phoneticPr fontId="229" type="noConversion"/>
  </si>
  <si>
    <t>——</t>
    <phoneticPr fontId="229" type="noConversion"/>
  </si>
  <si>
    <t>RX01-02</t>
    <phoneticPr fontId="229" type="noConversion"/>
  </si>
  <si>
    <t>RX01-03</t>
    <phoneticPr fontId="229" type="noConversion"/>
  </si>
  <si>
    <t>RX02-01</t>
    <phoneticPr fontId="229" type="noConversion"/>
  </si>
  <si>
    <t>备注：1、房建类绿地包含所有邻里游园；2、其他市政类地下空间包括地下连通道空间</t>
    <phoneticPr fontId="229" type="noConversion"/>
  </si>
  <si>
    <t>备注：房建类（二级开发）用地面积包含：R1/R9/F1/A类/B1/B2用地及房建类绿地。不包含：U类供应设施用地/S类交通运输用地
城市建设用地面积=总用地-防护绿地-风景游憩绿地</t>
    <phoneticPr fontId="229" type="noConversion"/>
  </si>
  <si>
    <t xml:space="preserve">                    </t>
  </si>
  <si>
    <t/>
  </si>
  <si>
    <t>2020-09</t>
  </si>
  <si>
    <t>2020-08</t>
  </si>
  <si>
    <t>2020-07</t>
  </si>
  <si>
    <t>2020-06</t>
  </si>
  <si>
    <t>2020-05</t>
  </si>
  <si>
    <t>2020-04</t>
  </si>
  <si>
    <t>2020-03</t>
  </si>
  <si>
    <t>2020-02</t>
  </si>
  <si>
    <t>2020-01</t>
  </si>
  <si>
    <t>2019-12</t>
  </si>
  <si>
    <t>2019-11</t>
  </si>
  <si>
    <t>2019-10</t>
  </si>
  <si>
    <t xml:space="preserve">                </t>
  </si>
  <si>
    <t>区县</t>
  </si>
  <si>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天</t>
    </r>
    <r>
      <rPr>
        <sz val="10"/>
        <rFont val="Arial"/>
        <family val="2"/>
      </rPr>
      <t xml:space="preserve">)   </t>
    </r>
    <phoneticPr fontId="229" type="noConversion"/>
  </si>
  <si>
    <r>
      <rPr>
        <sz val="10"/>
        <rFont val="宋体"/>
        <family val="3"/>
        <charset val="134"/>
      </rPr>
      <t>平米租金</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r>
      <rPr>
        <sz val="10"/>
        <rFont val="宋体"/>
        <family val="3"/>
        <charset val="134"/>
      </rPr>
      <t>月</t>
    </r>
    <r>
      <rPr>
        <sz val="10"/>
        <rFont val="Arial"/>
        <family val="2"/>
      </rPr>
      <t xml:space="preserve">)   </t>
    </r>
    <phoneticPr fontId="229" type="noConversion"/>
  </si>
  <si>
    <r>
      <rPr>
        <sz val="10"/>
        <rFont val="宋体"/>
        <family val="3"/>
        <charset val="134"/>
      </rPr>
      <t>平米租金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</si>
  <si>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套均租金</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套</t>
    </r>
    <r>
      <rPr>
        <sz val="11"/>
        <color theme="1"/>
        <rFont val="宋体"/>
        <family val="3"/>
        <charset val="134"/>
        <scheme val="minor"/>
      </rPr>
      <t>·</t>
    </r>
    <r>
      <rPr>
        <sz val="10"/>
        <rFont val="宋体"/>
        <family val="3"/>
        <charset val="134"/>
      </rPr>
      <t>月</t>
    </r>
    <r>
      <rPr>
        <sz val="11"/>
        <color theme="1"/>
        <rFont val="宋体"/>
        <family val="3"/>
        <charset val="134"/>
        <scheme val="minor"/>
      </rPr>
      <t xml:space="preserve">)                                                                                                                                    </t>
    </r>
    <phoneticPr fontId="4" type="noConversion"/>
  </si>
  <si>
    <r>
      <rPr>
        <sz val="10"/>
        <rFont val="宋体"/>
        <family val="3"/>
        <charset val="134"/>
      </rPr>
      <t>参考售价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 xml:space="preserve">)                                                                                                                                    </t>
    </r>
    <phoneticPr fontId="4" type="noConversion"/>
  </si>
  <si>
    <r>
      <rPr>
        <sz val="10"/>
        <rFont val="宋体"/>
        <family val="3"/>
        <charset val="134"/>
      </rPr>
      <t>租售比</t>
    </r>
    <r>
      <rPr>
        <sz val="11"/>
        <color theme="1"/>
        <rFont val="宋体"/>
        <family val="3"/>
        <charset val="134"/>
        <scheme val="minor"/>
      </rPr>
      <t xml:space="preserve">                                                                                                                                    </t>
    </r>
    <phoneticPr fontId="4" type="noConversion"/>
  </si>
  <si>
    <t>和平区</t>
  </si>
  <si>
    <t>1:810</t>
  </si>
  <si>
    <t>1:835</t>
  </si>
  <si>
    <t>1:841</t>
  </si>
  <si>
    <t>1:832</t>
  </si>
  <si>
    <t>1:814</t>
  </si>
  <si>
    <t>1:820</t>
  </si>
  <si>
    <t>1:800</t>
  </si>
  <si>
    <t>1:794</t>
  </si>
  <si>
    <t>1:790</t>
  </si>
  <si>
    <t>1:777</t>
  </si>
  <si>
    <t>1:776</t>
  </si>
  <si>
    <t>1:767</t>
  </si>
  <si>
    <t>南开区</t>
  </si>
  <si>
    <t>1:599</t>
  </si>
  <si>
    <t>1:608</t>
  </si>
  <si>
    <t>1:618</t>
  </si>
  <si>
    <t>1:616</t>
  </si>
  <si>
    <t>1:602</t>
  </si>
  <si>
    <t>1:594</t>
  </si>
  <si>
    <t>1:629</t>
  </si>
  <si>
    <t>1:626</t>
  </si>
  <si>
    <t>1:617</t>
  </si>
  <si>
    <t>1:576</t>
  </si>
  <si>
    <t>1:583</t>
  </si>
  <si>
    <t>1:562</t>
  </si>
  <si>
    <t>河西区</t>
  </si>
  <si>
    <t>1:669</t>
  </si>
  <si>
    <t>1:675</t>
  </si>
  <si>
    <t>1:683</t>
  </si>
  <si>
    <t>1:665</t>
  </si>
  <si>
    <t>1:659</t>
  </si>
  <si>
    <t>1:653</t>
  </si>
  <si>
    <t>1:658</t>
  </si>
  <si>
    <t>1:657</t>
  </si>
  <si>
    <t>1:624</t>
  </si>
  <si>
    <t>1:637</t>
  </si>
  <si>
    <t>1:622</t>
  </si>
  <si>
    <t>河东区</t>
  </si>
  <si>
    <t>1:542</t>
  </si>
  <si>
    <t>1:561</t>
  </si>
  <si>
    <t>1:567</t>
  </si>
  <si>
    <t>1:548</t>
  </si>
  <si>
    <t>1:540</t>
  </si>
  <si>
    <t>1:579</t>
  </si>
  <si>
    <t>1:572</t>
  </si>
  <si>
    <t>1:554</t>
  </si>
  <si>
    <t>1:547</t>
  </si>
  <si>
    <t>1:512</t>
  </si>
  <si>
    <t>红桥区</t>
  </si>
  <si>
    <t>1:597</t>
  </si>
  <si>
    <t>1:603</t>
  </si>
  <si>
    <t>1:598</t>
  </si>
  <si>
    <t>1:574</t>
  </si>
  <si>
    <t>1:566</t>
  </si>
  <si>
    <t>1:627</t>
  </si>
  <si>
    <t>1:591</t>
  </si>
  <si>
    <t>1:565</t>
  </si>
  <si>
    <t>1:538</t>
  </si>
  <si>
    <t>河北区</t>
  </si>
  <si>
    <t>1:587</t>
  </si>
  <si>
    <t>1:595</t>
  </si>
  <si>
    <t>1:589</t>
  </si>
  <si>
    <t>1:612</t>
  </si>
  <si>
    <t>1:593</t>
  </si>
  <si>
    <t>1:578</t>
  </si>
  <si>
    <t>宝坻区</t>
  </si>
  <si>
    <t>1:271</t>
  </si>
  <si>
    <t>1:284</t>
  </si>
  <si>
    <t>1:222</t>
  </si>
  <si>
    <t>1:242</t>
  </si>
  <si>
    <t>1:344</t>
  </si>
  <si>
    <t>1:372</t>
  </si>
  <si>
    <t>1:387</t>
  </si>
  <si>
    <t>1:410</t>
  </si>
  <si>
    <t>1:333</t>
  </si>
  <si>
    <t>1:389</t>
  </si>
  <si>
    <t>1:339</t>
  </si>
  <si>
    <t>西青区</t>
  </si>
  <si>
    <t>1:636</t>
  </si>
  <si>
    <t>1:621</t>
  </si>
  <si>
    <t>1:614</t>
  </si>
  <si>
    <t>1:580</t>
  </si>
  <si>
    <t>1:611</t>
  </si>
  <si>
    <t>1:575</t>
  </si>
  <si>
    <t>1:524</t>
  </si>
  <si>
    <t>东丽区</t>
  </si>
  <si>
    <t>1:563</t>
  </si>
  <si>
    <t>1:557</t>
  </si>
  <si>
    <t>1:539</t>
  </si>
  <si>
    <t>1:530</t>
  </si>
  <si>
    <t>1:528</t>
  </si>
  <si>
    <t>1:537</t>
  </si>
  <si>
    <t>1:521</t>
  </si>
  <si>
    <t>1:515</t>
  </si>
  <si>
    <t>1:520</t>
  </si>
  <si>
    <t>1:517</t>
  </si>
  <si>
    <t>北辰区</t>
  </si>
  <si>
    <t>1:596</t>
  </si>
  <si>
    <t>1:615</t>
  </si>
  <si>
    <t>1:584</t>
  </si>
  <si>
    <t>1:605</t>
  </si>
  <si>
    <t>1:559</t>
  </si>
  <si>
    <t>1:568</t>
  </si>
  <si>
    <t>宁河区</t>
  </si>
  <si>
    <t>1:425</t>
  </si>
  <si>
    <t>1:301</t>
  </si>
  <si>
    <t>1:481</t>
  </si>
  <si>
    <t>1:452</t>
  </si>
  <si>
    <t>1:395</t>
  </si>
  <si>
    <t>1:441</t>
  </si>
  <si>
    <t>1:469</t>
  </si>
  <si>
    <t>1:421</t>
  </si>
  <si>
    <t>1:485</t>
  </si>
  <si>
    <t>1:354</t>
  </si>
  <si>
    <t>1:419</t>
  </si>
  <si>
    <t>津南区</t>
  </si>
  <si>
    <t>1:641</t>
  </si>
  <si>
    <t>1:685</t>
  </si>
  <si>
    <t>1:681</t>
  </si>
  <si>
    <t>1:688</t>
  </si>
  <si>
    <t>1:674</t>
  </si>
  <si>
    <t>1:677</t>
  </si>
  <si>
    <t>1:682</t>
  </si>
  <si>
    <t>1:690</t>
  </si>
  <si>
    <t>1:645</t>
  </si>
  <si>
    <t>1:610</t>
  </si>
  <si>
    <t>滨海新区</t>
  </si>
  <si>
    <t>1:628</t>
  </si>
  <si>
    <t>1:643</t>
  </si>
  <si>
    <t>1:635</t>
  </si>
  <si>
    <t>1:625</t>
  </si>
  <si>
    <t>1:601</t>
  </si>
  <si>
    <t>1:632</t>
  </si>
  <si>
    <t>1:620</t>
  </si>
  <si>
    <t>蓟州区</t>
  </si>
  <si>
    <t>1:396</t>
  </si>
  <si>
    <t>1:385</t>
  </si>
  <si>
    <t>1:374</t>
  </si>
  <si>
    <t>1:376</t>
  </si>
  <si>
    <t>1:332</t>
  </si>
  <si>
    <t>1:303</t>
  </si>
  <si>
    <t>1:394</t>
  </si>
  <si>
    <t>1:356</t>
  </si>
  <si>
    <t>1:361</t>
  </si>
  <si>
    <t>1:366</t>
  </si>
  <si>
    <t>1:399</t>
  </si>
  <si>
    <t>静海区</t>
  </si>
  <si>
    <t>1:586</t>
  </si>
  <si>
    <t>1:634</t>
  </si>
  <si>
    <t>1:640</t>
  </si>
  <si>
    <t>1:648</t>
  </si>
  <si>
    <t>1:655</t>
  </si>
  <si>
    <t>1:585</t>
  </si>
  <si>
    <t>武清区</t>
  </si>
  <si>
    <t>1:833</t>
  </si>
  <si>
    <t>1:825</t>
  </si>
  <si>
    <t>1:854</t>
  </si>
  <si>
    <t>1:829</t>
  </si>
  <si>
    <t>1:867</t>
  </si>
  <si>
    <t>1:874</t>
  </si>
  <si>
    <t>1:856</t>
  </si>
  <si>
    <t>1:907</t>
  </si>
  <si>
    <t>1:827</t>
  </si>
  <si>
    <t>1:786</t>
  </si>
  <si>
    <t>天津和平区</t>
    <phoneticPr fontId="4" type="noConversion"/>
  </si>
  <si>
    <t>天津南开区</t>
    <phoneticPr fontId="4" type="noConversion"/>
  </si>
  <si>
    <t>天津河西区</t>
    <phoneticPr fontId="4" type="noConversion"/>
  </si>
  <si>
    <t>正常</t>
  </si>
  <si>
    <t>住宅</t>
    <phoneticPr fontId="22" type="noConversion"/>
  </si>
  <si>
    <t>60-70（含）</t>
  </si>
  <si>
    <t>现状差，未来好</t>
    <phoneticPr fontId="4" type="noConversion"/>
  </si>
  <si>
    <t>现状差，未来较好</t>
    <phoneticPr fontId="4" type="noConversion"/>
  </si>
  <si>
    <t>七桶</t>
    <phoneticPr fontId="4" type="noConversion"/>
  </si>
  <si>
    <t>现状一般，未来较好</t>
    <phoneticPr fontId="4" type="noConversion"/>
  </si>
  <si>
    <t>好</t>
  </si>
  <si>
    <t>七通</t>
  </si>
  <si>
    <t>较好</t>
  </si>
  <si>
    <t>一般</t>
  </si>
  <si>
    <t>高层</t>
  </si>
  <si>
    <t>高层</t>
    <phoneticPr fontId="22" type="noConversion"/>
  </si>
  <si>
    <t>精装修</t>
  </si>
  <si>
    <t>精装修</t>
    <phoneticPr fontId="22" type="noConversion"/>
  </si>
  <si>
    <t>普通装修</t>
  </si>
  <si>
    <t>普通装修</t>
    <phoneticPr fontId="22" type="noConversion"/>
  </si>
  <si>
    <t>精装修</t>
    <phoneticPr fontId="22" type="noConversion"/>
  </si>
  <si>
    <t>普通装修</t>
    <phoneticPr fontId="22" type="noConversion"/>
  </si>
  <si>
    <t>物业公司管理</t>
  </si>
  <si>
    <t>物业公司管理</t>
    <phoneticPr fontId="22" type="noConversion"/>
  </si>
  <si>
    <t>七通</t>
    <phoneticPr fontId="22" type="noConversion"/>
  </si>
  <si>
    <t>平层</t>
    <phoneticPr fontId="22" type="noConversion"/>
  </si>
  <si>
    <t>规划实施优先程度</t>
    <phoneticPr fontId="22" type="noConversion"/>
  </si>
  <si>
    <t>已实施</t>
    <phoneticPr fontId="22" type="noConversion"/>
  </si>
  <si>
    <t>待实施</t>
    <phoneticPr fontId="22"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</si>
  <si>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</si>
  <si>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序号</t>
    <phoneticPr fontId="4" type="noConversion"/>
  </si>
  <si>
    <t>所属市/区</t>
    <phoneticPr fontId="4" type="noConversion"/>
  </si>
  <si>
    <t>写字楼名称</t>
    <phoneticPr fontId="4" type="noConversion"/>
  </si>
  <si>
    <t>位置</t>
    <phoneticPr fontId="4" type="noConversion"/>
  </si>
  <si>
    <t>承租人</t>
    <phoneticPr fontId="4" type="noConversion"/>
  </si>
  <si>
    <t>出租时间</t>
    <phoneticPr fontId="4" type="noConversion"/>
  </si>
  <si>
    <t>年租金/月租金</t>
    <phoneticPr fontId="4" type="noConversion"/>
  </si>
  <si>
    <t>建筑面积</t>
    <phoneticPr fontId="4" type="noConversion"/>
  </si>
  <si>
    <t>日租金</t>
    <phoneticPr fontId="4" type="noConversion"/>
  </si>
  <si>
    <t>总楼层</t>
    <phoneticPr fontId="4" type="noConversion"/>
  </si>
  <si>
    <t>出租层次</t>
    <phoneticPr fontId="4" type="noConversion"/>
  </si>
  <si>
    <t>房屋类型</t>
    <phoneticPr fontId="4" type="noConversion"/>
  </si>
  <si>
    <t>装修情况</t>
    <phoneticPr fontId="4" type="noConversion"/>
  </si>
  <si>
    <t>雄安新区</t>
    <phoneticPr fontId="4" type="noConversion"/>
  </si>
  <si>
    <t>——</t>
    <phoneticPr fontId="4" type="noConversion"/>
  </si>
  <si>
    <t>容城县板正南大街</t>
    <phoneticPr fontId="4" type="noConversion"/>
  </si>
  <si>
    <t>中煤建设</t>
    <phoneticPr fontId="4" type="noConversion"/>
  </si>
  <si>
    <t>砖混</t>
    <phoneticPr fontId="4" type="noConversion"/>
  </si>
  <si>
    <t>京兆集团</t>
    <phoneticPr fontId="4" type="noConversion"/>
  </si>
  <si>
    <t>中国铁建</t>
    <phoneticPr fontId="4" type="noConversion"/>
  </si>
  <si>
    <t>容城县板正大街</t>
    <phoneticPr fontId="4" type="noConversion"/>
  </si>
  <si>
    <t>建邦电力</t>
    <phoneticPr fontId="4" type="noConversion"/>
  </si>
  <si>
    <t>中交三局</t>
    <phoneticPr fontId="4" type="noConversion"/>
  </si>
  <si>
    <t>A</t>
    <phoneticPr fontId="229" type="noConversion"/>
  </si>
  <si>
    <t>万达广场</t>
    <phoneticPr fontId="4" type="noConversion"/>
  </si>
  <si>
    <t>西美五洲大厦</t>
    <phoneticPr fontId="4" type="noConversion"/>
  </si>
  <si>
    <t>华润万象</t>
    <phoneticPr fontId="4" type="noConversion"/>
  </si>
  <si>
    <t>石家庄</t>
    <phoneticPr fontId="4" type="noConversion"/>
  </si>
  <si>
    <t>商务办公</t>
  </si>
  <si>
    <t>商务办公</t>
    <phoneticPr fontId="28" type="noConversion"/>
  </si>
  <si>
    <t>30-40（含）</t>
  </si>
  <si>
    <t>写字楼</t>
  </si>
  <si>
    <t>写字楼</t>
    <phoneticPr fontId="28" type="noConversion"/>
  </si>
  <si>
    <t>钢混</t>
  </si>
  <si>
    <t>钢混</t>
    <phoneticPr fontId="28" type="noConversion"/>
  </si>
  <si>
    <t>精装修</t>
    <phoneticPr fontId="28" type="noConversion"/>
  </si>
  <si>
    <t>普通装修</t>
    <phoneticPr fontId="28" type="noConversion"/>
  </si>
  <si>
    <t>待实施</t>
    <phoneticPr fontId="28" type="noConversion"/>
  </si>
  <si>
    <t>已实施</t>
    <phoneticPr fontId="28" type="noConversion"/>
  </si>
  <si>
    <t>普通装修</t>
    <phoneticPr fontId="28" type="noConversion"/>
  </si>
  <si>
    <t>标准层高</t>
  </si>
  <si>
    <t>标准层高</t>
    <phoneticPr fontId="28" type="noConversion"/>
  </si>
  <si>
    <r>
      <rPr>
        <b/>
        <sz val="11"/>
        <rFont val="仿宋_GB2312"/>
        <family val="3"/>
        <charset val="134"/>
      </rPr>
      <t>估价对象</t>
    </r>
    <r>
      <rPr>
        <b/>
        <sz val="11"/>
        <color theme="9" tint="-0.249977111117893"/>
        <rFont val="仿宋_GB2312"/>
        <family val="3"/>
        <charset val="134"/>
      </rPr>
      <t>办公用房的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</si>
  <si>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誉宏路</t>
  </si>
  <si>
    <t>国际城</t>
  </si>
  <si>
    <t>同祥城</t>
  </si>
  <si>
    <t>石家庄</t>
  </si>
  <si>
    <t>商业</t>
  </si>
  <si>
    <t>商业</t>
    <phoneticPr fontId="27" type="noConversion"/>
  </si>
  <si>
    <t>现状差，未来较好</t>
  </si>
  <si>
    <t>现状差，未来较好</t>
    <phoneticPr fontId="27" type="noConversion"/>
  </si>
  <si>
    <t>较好</t>
    <phoneticPr fontId="27" type="noConversion"/>
  </si>
  <si>
    <t>独立商业</t>
  </si>
  <si>
    <t>独立商业</t>
    <phoneticPr fontId="27" type="noConversion"/>
  </si>
  <si>
    <t>住宅配套</t>
  </si>
  <si>
    <t>住宅配套</t>
    <phoneticPr fontId="27" type="noConversion"/>
  </si>
  <si>
    <t>钢混</t>
    <phoneticPr fontId="27" type="noConversion"/>
  </si>
  <si>
    <t>简单装修</t>
  </si>
  <si>
    <t>简单装修</t>
    <phoneticPr fontId="27" type="noConversion"/>
  </si>
  <si>
    <t>毛坯</t>
  </si>
  <si>
    <t>毛坯</t>
    <phoneticPr fontId="27" type="noConversion"/>
  </si>
  <si>
    <t>设施设备</t>
    <phoneticPr fontId="27" type="noConversion"/>
  </si>
  <si>
    <t>楼层</t>
    <phoneticPr fontId="27" type="noConversion"/>
  </si>
  <si>
    <t>建筑结构</t>
  </si>
  <si>
    <t>已实施</t>
    <phoneticPr fontId="27" type="noConversion"/>
  </si>
  <si>
    <t>好</t>
    <phoneticPr fontId="27" type="noConversion"/>
  </si>
  <si>
    <r>
      <t>1-2</t>
    </r>
    <r>
      <rPr>
        <sz val="11"/>
        <color indexed="8"/>
        <rFont val="宋体"/>
        <family val="3"/>
        <charset val="134"/>
      </rPr>
      <t>层</t>
    </r>
    <phoneticPr fontId="27" type="noConversion"/>
  </si>
  <si>
    <r>
      <rPr>
        <b/>
        <sz val="11"/>
        <rFont val="仿宋_GB2312"/>
        <family val="3"/>
        <charset val="134"/>
      </rPr>
      <t>估价对象</t>
    </r>
    <r>
      <rPr>
        <b/>
        <sz val="11"/>
        <color theme="9" tint="-0.249977111117893"/>
        <rFont val="仿宋_GB2312"/>
        <family val="3"/>
        <charset val="134"/>
      </rPr>
      <t>商业用房的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</si>
  <si>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出让</t>
  </si>
  <si>
    <t>市场价格</t>
  </si>
  <si>
    <t>其他：</t>
  </si>
  <si>
    <t>河北省</t>
    <phoneticPr fontId="7" type="noConversion"/>
  </si>
  <si>
    <t>企业</t>
  </si>
  <si>
    <t>公寓</t>
  </si>
  <si>
    <t>否</t>
  </si>
  <si>
    <t>地上</t>
  </si>
  <si>
    <t>普通住宅</t>
  </si>
  <si>
    <t>底商</t>
  </si>
  <si>
    <t>商业（底商）</t>
  </si>
  <si>
    <t>商业（独立）</t>
  </si>
  <si>
    <r>
      <rPr>
        <sz val="11"/>
        <color theme="1"/>
        <rFont val="宋体"/>
        <family val="3"/>
        <charset val="134"/>
      </rPr>
      <t>用途</t>
    </r>
    <phoneticPr fontId="282" type="noConversion"/>
  </si>
  <si>
    <r>
      <rPr>
        <sz val="11"/>
        <color theme="1"/>
        <rFont val="宋体"/>
        <family val="3"/>
        <charset val="134"/>
      </rPr>
      <t>分摊面积（平方米）</t>
    </r>
    <phoneticPr fontId="282" type="noConversion"/>
  </si>
  <si>
    <r>
      <rPr>
        <sz val="11"/>
        <color theme="1"/>
        <rFont val="宋体"/>
        <family val="3"/>
        <charset val="134"/>
      </rPr>
      <t>建安（元</t>
    </r>
    <r>
      <rPr>
        <sz val="11"/>
        <color theme="1"/>
        <rFont val="Arial"/>
        <family val="2"/>
      </rPr>
      <t>/</t>
    </r>
    <r>
      <rPr>
        <sz val="11"/>
        <color theme="1"/>
        <rFont val="宋体"/>
        <family val="3"/>
        <charset val="134"/>
      </rPr>
      <t>平方米）</t>
    </r>
    <phoneticPr fontId="282" type="noConversion"/>
  </si>
  <si>
    <r>
      <rPr>
        <sz val="11"/>
        <color theme="1"/>
        <rFont val="宋体"/>
        <family val="3"/>
        <charset val="134"/>
      </rPr>
      <t>住宅</t>
    </r>
    <phoneticPr fontId="282" type="noConversion"/>
  </si>
  <si>
    <r>
      <rPr>
        <sz val="11"/>
        <color theme="1"/>
        <rFont val="宋体"/>
        <family val="3"/>
        <charset val="134"/>
      </rPr>
      <t>商业（底商）</t>
    </r>
    <phoneticPr fontId="282" type="noConversion"/>
  </si>
  <si>
    <r>
      <rPr>
        <sz val="11"/>
        <color theme="1"/>
        <rFont val="宋体"/>
        <family val="3"/>
        <charset val="134"/>
      </rPr>
      <t>商业（独立）</t>
    </r>
    <phoneticPr fontId="282" type="noConversion"/>
  </si>
  <si>
    <r>
      <rPr>
        <sz val="11"/>
        <color theme="1"/>
        <rFont val="宋体"/>
        <family val="3"/>
        <charset val="134"/>
      </rPr>
      <t>办公</t>
    </r>
    <phoneticPr fontId="282" type="noConversion"/>
  </si>
  <si>
    <r>
      <rPr>
        <sz val="11"/>
        <color theme="1"/>
        <rFont val="宋体"/>
        <family val="3"/>
        <charset val="134"/>
      </rPr>
      <t>公寓</t>
    </r>
    <phoneticPr fontId="282" type="noConversion"/>
  </si>
  <si>
    <r>
      <rPr>
        <sz val="11"/>
        <color theme="1"/>
        <rFont val="宋体"/>
        <family val="3"/>
        <charset val="134"/>
      </rPr>
      <t>邻里中心</t>
    </r>
    <phoneticPr fontId="282" type="noConversion"/>
  </si>
  <si>
    <r>
      <rPr>
        <sz val="11"/>
        <color theme="1"/>
        <rFont val="宋体"/>
        <family val="3"/>
        <charset val="134"/>
      </rPr>
      <t>幼儿园</t>
    </r>
    <phoneticPr fontId="282" type="noConversion"/>
  </si>
  <si>
    <t>设备设施</t>
    <phoneticPr fontId="28" type="noConversion"/>
  </si>
  <si>
    <t>好</t>
    <phoneticPr fontId="28" type="noConversion"/>
  </si>
  <si>
    <t>较好</t>
    <phoneticPr fontId="28" type="noConversion"/>
  </si>
  <si>
    <r>
      <rPr>
        <sz val="11"/>
        <color theme="1"/>
        <rFont val="宋体"/>
        <family val="3"/>
        <charset val="134"/>
      </rPr>
      <t>不动产收益法</t>
    </r>
    <r>
      <rPr>
        <sz val="11"/>
        <color theme="1"/>
        <rFont val="Arial"/>
        <family val="2"/>
      </rPr>
      <t>-</t>
    </r>
    <r>
      <rPr>
        <sz val="11"/>
        <color theme="1"/>
        <rFont val="宋体"/>
        <family val="3"/>
        <charset val="134"/>
      </rPr>
      <t>住宅</t>
    </r>
    <phoneticPr fontId="15"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</si>
  <si>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5" type="noConversion"/>
  </si>
  <si>
    <t>不动产收益法-住宅</t>
  </si>
  <si>
    <r>
      <t>不动产收益法</t>
    </r>
    <r>
      <rPr>
        <sz val="11"/>
        <color theme="1"/>
        <rFont val="Arial"/>
        <family val="2"/>
      </rPr>
      <t>-</t>
    </r>
    <r>
      <rPr>
        <sz val="11"/>
        <color theme="1"/>
        <rFont val="宋体"/>
        <family val="3"/>
        <charset val="134"/>
      </rPr>
      <t>独商</t>
    </r>
    <phoneticPr fontId="15" type="noConversion"/>
  </si>
  <si>
    <t>不动产收益法-底商</t>
  </si>
  <si>
    <t>不动产收益法-独商</t>
  </si>
  <si>
    <t>不动产收益法-办公</t>
  </si>
  <si>
    <t>不动产收益法-公寓</t>
  </si>
  <si>
    <t>已全部缴纳</t>
  </si>
  <si>
    <t>按票据</t>
  </si>
  <si>
    <t>押一</t>
  </si>
  <si>
    <r>
      <rPr>
        <sz val="11"/>
        <color indexed="8"/>
        <rFont val="宋体"/>
        <family val="3"/>
        <charset val="134"/>
      </rPr>
      <t>不动产收益法</t>
    </r>
    <r>
      <rPr>
        <sz val="11"/>
        <color indexed="8"/>
        <rFont val="Arial"/>
        <family val="2"/>
      </rPr>
      <t>-</t>
    </r>
    <r>
      <rPr>
        <sz val="11"/>
        <color indexed="8"/>
        <rFont val="宋体"/>
        <family val="3"/>
        <charset val="134"/>
      </rPr>
      <t>底商</t>
    </r>
    <phoneticPr fontId="15" type="noConversion"/>
  </si>
  <si>
    <t>——</t>
    <phoneticPr fontId="282" type="noConversion"/>
  </si>
  <si>
    <r>
      <rPr>
        <sz val="11"/>
        <color theme="1"/>
        <rFont val="宋体"/>
        <family val="3"/>
        <charset val="134"/>
      </rPr>
      <t>租金</t>
    </r>
    <phoneticPr fontId="282" type="noConversion"/>
  </si>
  <si>
    <r>
      <rPr>
        <sz val="11"/>
        <color theme="1"/>
        <rFont val="宋体"/>
        <family val="3"/>
        <charset val="134"/>
      </rPr>
      <t>售价</t>
    </r>
    <phoneticPr fontId="282" type="noConversion"/>
  </si>
  <si>
    <r>
      <t>1</t>
    </r>
    <r>
      <rPr>
        <sz val="11"/>
        <rFont val="宋体"/>
        <family val="3"/>
        <charset val="134"/>
      </rPr>
      <t>层</t>
    </r>
    <phoneticPr fontId="27" type="noConversion"/>
  </si>
  <si>
    <r>
      <t>1</t>
    </r>
    <r>
      <rPr>
        <sz val="11"/>
        <color indexed="8"/>
        <rFont val="宋体"/>
        <family val="3"/>
        <charset val="134"/>
      </rPr>
      <t>层</t>
    </r>
    <phoneticPr fontId="27" type="noConversion"/>
  </si>
  <si>
    <r>
      <t>1-2</t>
    </r>
    <r>
      <rPr>
        <sz val="11"/>
        <rFont val="宋体"/>
        <family val="3"/>
        <charset val="134"/>
      </rPr>
      <t>层</t>
    </r>
    <phoneticPr fontId="27" type="noConversion"/>
  </si>
  <si>
    <t>所在楼层</t>
    <phoneticPr fontId="27" type="noConversion"/>
  </si>
  <si>
    <t>比例</t>
    <phoneticPr fontId="27" type="noConversion"/>
  </si>
  <si>
    <r>
      <t>1-4</t>
    </r>
    <r>
      <rPr>
        <sz val="11"/>
        <rFont val="宋体"/>
        <family val="3"/>
        <charset val="134"/>
      </rPr>
      <t>层</t>
    </r>
    <phoneticPr fontId="27" type="noConversion"/>
  </si>
  <si>
    <t>——</t>
    <phoneticPr fontId="27" type="noConversion"/>
  </si>
  <si>
    <r>
      <t>1-2</t>
    </r>
    <r>
      <rPr>
        <sz val="11"/>
        <rFont val="宋体"/>
        <family val="3"/>
        <charset val="134"/>
      </rPr>
      <t>层</t>
    </r>
    <phoneticPr fontId="27" type="noConversion"/>
  </si>
  <si>
    <t>简单装修</t>
    <phoneticPr fontId="28" type="noConversion"/>
  </si>
  <si>
    <t>毛坯</t>
    <phoneticPr fontId="28" type="noConversion"/>
  </si>
  <si>
    <t>简单装修</t>
    <phoneticPr fontId="28" type="noConversion"/>
  </si>
  <si>
    <t>成本逼近法</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</si>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</sst>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1"/>
      <name val="宋体"/>
      <family val="3"/>
      <charset val="134"/>
      <scheme val="minor"/>
    </font>
    <font>
      <sz val="9"/>
      <name val="宋体"/>
      <family val="3"/>
      <charset val="134"/>
      <scheme val="minor"/>
    </font>
    <font>
      <sz val="11"/>
      <name val="宋体"/>
      <family val="2"/>
      <scheme val="minor"/>
    </font>
    <font>
      <sz val="11"/>
      <name val="宋体"/>
      <family val="3"/>
      <charset val="134"/>
      <scheme val="minor"/>
    </font>
    <font>
      <b/>
      <sz val="10"/>
      <name val="宋体"/>
      <family val="3"/>
      <charset val="134"/>
      <scheme val="minor"/>
    </font>
    <font>
      <sz val="10"/>
      <name val="宋体"/>
      <family val="3"/>
      <charset val="134"/>
      <scheme val="minor"/>
    </font>
    <font>
      <sz val="11"/>
      <color theme="9" tint="-0.249977111117893"/>
      <name val="Arial"/>
      <family val="3"/>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7"/>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8" tint="0.79995117038483843"/>
        <bgColor indexed="64"/>
      </patternFill>
    </fill>
    <fill>
      <patternFill patternType="solid">
        <fgColor theme="9"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2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1" fillId="0" borderId="0">
      <alignment vertical="center"/>
    </xf>
    <xf numFmtId="0" fontId="87" fillId="0" borderId="0"/>
    <xf numFmtId="0" fontId="87" fillId="0" borderId="0"/>
    <xf numFmtId="0" fontId="33" fillId="0" borderId="0"/>
    <xf numFmtId="0" fontId="33" fillId="0" borderId="0"/>
    <xf numFmtId="0" fontId="146" fillId="0" borderId="0">
      <alignment vertical="center"/>
    </xf>
    <xf numFmtId="0" fontId="33" fillId="0" borderId="0"/>
    <xf numFmtId="0" fontId="1" fillId="0" borderId="0">
      <alignment vertical="center"/>
    </xf>
    <xf numFmtId="0" fontId="1" fillId="0" borderId="0">
      <alignment vertical="center"/>
    </xf>
    <xf numFmtId="0" fontId="1" fillId="0" borderId="0">
      <alignment vertical="center"/>
    </xf>
    <xf numFmtId="43" fontId="257" fillId="0" borderId="0" applyFont="0" applyFill="0" applyBorder="0" applyAlignment="0" applyProtection="0">
      <alignment vertical="center"/>
    </xf>
  </cellStyleXfs>
  <cellXfs count="3678">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0" borderId="2" xfId="14" applyFont="1" applyBorder="1" applyAlignment="1" applyProtection="1">
      <alignment horizontal="left" vertical="center" wrapText="1"/>
      <protection locked="0"/>
    </xf>
    <xf numFmtId="0" fontId="153" fillId="5" borderId="2" xfId="0"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0" fontId="269"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4"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0" fontId="165" fillId="0" borderId="0" xfId="7" applyFont="1" applyAlignment="1">
      <alignment horizontal="left" vertical="center"/>
    </xf>
    <xf numFmtId="0" fontId="165" fillId="0" borderId="0" xfId="7" applyFont="1" applyFill="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59"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168" fillId="5" borderId="0" xfId="0" applyFont="1" applyFill="1" applyProtection="1">
      <alignment vertical="center"/>
    </xf>
    <xf numFmtId="0" fontId="77" fillId="6" borderId="26"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center" vertical="center" wrapText="1"/>
      <protection locked="0"/>
    </xf>
    <xf numFmtId="0" fontId="237" fillId="13" borderId="124" xfId="13" applyFont="1" applyFill="1" applyBorder="1" applyAlignment="1" applyProtection="1">
      <alignment horizontal="left" vertical="center" wrapText="1"/>
    </xf>
    <xf numFmtId="0" fontId="237" fillId="13" borderId="128" xfId="13" applyFont="1" applyFill="1" applyBorder="1" applyAlignment="1" applyProtection="1">
      <alignment horizontal="left" vertical="center" wrapText="1"/>
    </xf>
    <xf numFmtId="0" fontId="158" fillId="0" borderId="0" xfId="10" applyFont="1" applyAlignment="1">
      <alignment horizontal="left" vertical="center"/>
    </xf>
    <xf numFmtId="0" fontId="158" fillId="0" borderId="148" xfId="10" applyFont="1" applyBorder="1" applyAlignment="1">
      <alignment horizontal="left" vertical="center"/>
    </xf>
    <xf numFmtId="0" fontId="160"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8" fillId="0" borderId="149" xfId="10" applyFont="1" applyBorder="1" applyAlignment="1">
      <alignment horizontal="left" vertical="center"/>
    </xf>
    <xf numFmtId="0" fontId="225" fillId="16" borderId="0" xfId="13" applyFont="1" applyFill="1" applyAlignment="1">
      <alignment horizontal="left" vertical="center"/>
    </xf>
    <xf numFmtId="0" fontId="150" fillId="16" borderId="0" xfId="1" applyFont="1" applyFill="1" applyAlignment="1" applyProtection="1">
      <alignment horizontal="left" vertical="center"/>
    </xf>
    <xf numFmtId="0" fontId="18" fillId="16" borderId="0" xfId="1" applyFont="1" applyFill="1" applyAlignment="1" applyProtection="1">
      <alignment horizontal="left" vertical="center"/>
    </xf>
    <xf numFmtId="0" fontId="158" fillId="16" borderId="122" xfId="10" applyFont="1" applyFill="1" applyBorder="1" applyAlignment="1">
      <alignment horizontal="left" vertical="center"/>
    </xf>
    <xf numFmtId="0" fontId="158" fillId="16" borderId="0" xfId="10" applyFont="1" applyFill="1" applyBorder="1" applyAlignment="1">
      <alignment horizontal="left" vertical="center"/>
    </xf>
    <xf numFmtId="0" fontId="239" fillId="16" borderId="0" xfId="13" applyFont="1" applyFill="1" applyBorder="1" applyAlignment="1" applyProtection="1">
      <alignment horizontal="left" vertical="center"/>
      <protection locked="0"/>
    </xf>
    <xf numFmtId="0" fontId="158" fillId="16" borderId="0" xfId="10" applyFont="1" applyFill="1" applyAlignment="1">
      <alignment horizontal="left" vertical="center"/>
    </xf>
    <xf numFmtId="0" fontId="231" fillId="16" borderId="0" xfId="13" applyFont="1" applyFill="1" applyAlignment="1">
      <alignment horizontal="left" vertical="center"/>
    </xf>
    <xf numFmtId="0" fontId="153" fillId="16" borderId="0" xfId="10" applyFont="1" applyFill="1" applyAlignment="1">
      <alignment horizontal="left" vertical="center"/>
    </xf>
    <xf numFmtId="10" fontId="153" fillId="16" borderId="0" xfId="10" applyNumberFormat="1" applyFont="1" applyFill="1" applyAlignment="1">
      <alignment horizontal="left" vertical="center"/>
    </xf>
    <xf numFmtId="0" fontId="158" fillId="0" borderId="0" xfId="10" applyFont="1" applyFill="1" applyAlignment="1">
      <alignment horizontal="left" vertical="center"/>
    </xf>
    <xf numFmtId="0" fontId="150"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8" fillId="0" borderId="122" xfId="10" applyFont="1" applyFill="1" applyBorder="1" applyAlignment="1">
      <alignment horizontal="left" vertical="center"/>
    </xf>
    <xf numFmtId="0" fontId="158" fillId="0" borderId="0" xfId="10" applyFont="1" applyFill="1" applyBorder="1" applyAlignment="1">
      <alignment horizontal="left" vertical="center"/>
    </xf>
    <xf numFmtId="0" fontId="158" fillId="0" borderId="0" xfId="10" applyFont="1" applyFill="1" applyBorder="1" applyAlignment="1" applyProtection="1">
      <alignment horizontal="left" vertical="center"/>
      <protection locked="0"/>
    </xf>
    <xf numFmtId="0" fontId="158" fillId="0" borderId="0" xfId="13" applyFont="1" applyFill="1" applyAlignment="1">
      <alignment horizontal="left" vertical="center"/>
    </xf>
    <xf numFmtId="0" fontId="153" fillId="0" borderId="0" xfId="10" applyFont="1" applyAlignment="1">
      <alignment horizontal="left" vertical="center"/>
    </xf>
    <xf numFmtId="10" fontId="153" fillId="0" borderId="0" xfId="10" applyNumberFormat="1" applyFont="1" applyAlignment="1">
      <alignment horizontal="left" vertical="center"/>
    </xf>
    <xf numFmtId="49" fontId="87" fillId="14" borderId="2" xfId="10" applyNumberFormat="1" applyFont="1" applyFill="1" applyBorder="1" applyAlignment="1" applyProtection="1">
      <alignment horizontal="left" vertical="center" wrapText="1"/>
    </xf>
    <xf numFmtId="185" fontId="239" fillId="14" borderId="0" xfId="10" applyNumberFormat="1" applyFont="1" applyFill="1" applyBorder="1" applyAlignment="1">
      <alignment horizontal="left" vertical="center"/>
    </xf>
    <xf numFmtId="0" fontId="237" fillId="14" borderId="124" xfId="10" applyFont="1" applyFill="1" applyBorder="1" applyAlignment="1" applyProtection="1">
      <alignment horizontal="left" vertical="center" wrapText="1"/>
    </xf>
    <xf numFmtId="0" fontId="239" fillId="14" borderId="0" xfId="10" applyFont="1" applyFill="1" applyBorder="1" applyAlignment="1" applyProtection="1">
      <alignment horizontal="left" vertical="center"/>
      <protection locked="0"/>
    </xf>
    <xf numFmtId="0" fontId="158" fillId="14" borderId="0" xfId="10" applyFont="1" applyFill="1" applyAlignment="1">
      <alignment horizontal="left" vertical="center"/>
    </xf>
    <xf numFmtId="10" fontId="239" fillId="14" borderId="126" xfId="10" applyNumberFormat="1" applyFont="1" applyFill="1" applyBorder="1" applyAlignment="1">
      <alignment horizontal="left" vertical="center"/>
    </xf>
    <xf numFmtId="0" fontId="158" fillId="14" borderId="122" xfId="10" applyFont="1" applyFill="1" applyBorder="1" applyAlignment="1">
      <alignment horizontal="left" vertical="center"/>
    </xf>
    <xf numFmtId="0" fontId="159" fillId="6" borderId="0" xfId="13" applyFont="1" applyFill="1" applyAlignment="1">
      <alignment horizontal="left" vertical="center"/>
    </xf>
    <xf numFmtId="0" fontId="153" fillId="14" borderId="0" xfId="10" applyFont="1" applyFill="1" applyAlignment="1">
      <alignment horizontal="left" vertical="center"/>
    </xf>
    <xf numFmtId="10" fontId="153" fillId="14" borderId="0" xfId="10" applyNumberFormat="1" applyFont="1" applyFill="1" applyAlignment="1">
      <alignment horizontal="left" vertical="center"/>
    </xf>
    <xf numFmtId="49" fontId="87" fillId="5" borderId="2" xfId="10" applyNumberFormat="1" applyFont="1" applyFill="1" applyBorder="1" applyAlignment="1" applyProtection="1">
      <alignment horizontal="left" vertical="center" wrapText="1"/>
    </xf>
    <xf numFmtId="185" fontId="153" fillId="0" borderId="0" xfId="10" applyNumberFormat="1" applyFont="1" applyAlignment="1">
      <alignment horizontal="left" vertical="center"/>
    </xf>
    <xf numFmtId="0" fontId="237" fillId="13" borderId="124" xfId="10" applyFont="1" applyFill="1" applyBorder="1" applyAlignment="1" applyProtection="1">
      <alignment horizontal="left" vertical="center" wrapText="1"/>
    </xf>
    <xf numFmtId="10" fontId="153" fillId="0" borderId="122" xfId="10" applyNumberFormat="1" applyFont="1" applyBorder="1" applyAlignment="1">
      <alignment horizontal="left" vertical="center"/>
    </xf>
    <xf numFmtId="178" fontId="153" fillId="0" borderId="0" xfId="10" applyNumberFormat="1" applyFont="1" applyAlignment="1">
      <alignment horizontal="left" vertical="center"/>
    </xf>
    <xf numFmtId="10" fontId="153" fillId="0" borderId="126" xfId="10" applyNumberFormat="1" applyFont="1" applyBorder="1" applyAlignment="1">
      <alignment horizontal="left" vertical="center"/>
    </xf>
    <xf numFmtId="10" fontId="153" fillId="0" borderId="19" xfId="10" applyNumberFormat="1" applyFont="1" applyBorder="1" applyAlignment="1">
      <alignment horizontal="left" vertical="center"/>
    </xf>
    <xf numFmtId="0" fontId="239" fillId="14" borderId="0" xfId="10" applyFont="1" applyFill="1" applyAlignment="1">
      <alignment horizontal="left" vertical="center"/>
    </xf>
    <xf numFmtId="0" fontId="237" fillId="13" borderId="128" xfId="10" applyFont="1" applyFill="1" applyBorder="1" applyAlignment="1" applyProtection="1">
      <alignment horizontal="left" vertical="center" wrapText="1"/>
    </xf>
    <xf numFmtId="0" fontId="237" fillId="12" borderId="120" xfId="10" applyFont="1" applyFill="1" applyBorder="1" applyAlignment="1" applyProtection="1">
      <alignment horizontal="left" vertical="center" wrapText="1"/>
    </xf>
    <xf numFmtId="0" fontId="237" fillId="12" borderId="121" xfId="10" applyFont="1" applyFill="1" applyBorder="1" applyAlignment="1" applyProtection="1">
      <alignment horizontal="left" vertical="center" wrapText="1"/>
    </xf>
    <xf numFmtId="185" fontId="158" fillId="12" borderId="120" xfId="13" applyNumberFormat="1" applyFont="1" applyFill="1" applyBorder="1" applyAlignment="1" applyProtection="1">
      <alignment horizontal="left" vertical="center" wrapText="1"/>
    </xf>
    <xf numFmtId="185" fontId="158" fillId="12" borderId="127" xfId="13" applyNumberFormat="1" applyFont="1" applyFill="1" applyBorder="1" applyAlignment="1" applyProtection="1">
      <alignment horizontal="left" vertical="center" wrapText="1"/>
    </xf>
    <xf numFmtId="182" fontId="153" fillId="0" borderId="122" xfId="10" applyNumberFormat="1" applyFont="1" applyBorder="1" applyAlignment="1">
      <alignment horizontal="left" vertical="center"/>
    </xf>
    <xf numFmtId="182" fontId="153" fillId="0" borderId="0" xfId="10" applyNumberFormat="1" applyFont="1" applyAlignment="1">
      <alignment horizontal="left" vertical="center"/>
    </xf>
    <xf numFmtId="0" fontId="237" fillId="12" borderId="124" xfId="10" applyFont="1" applyFill="1" applyBorder="1" applyAlignment="1" applyProtection="1">
      <alignment horizontal="left" vertical="center" wrapText="1"/>
    </xf>
    <xf numFmtId="0" fontId="237" fillId="12" borderId="128" xfId="10" applyFont="1" applyFill="1" applyBorder="1" applyAlignment="1" applyProtection="1">
      <alignment horizontal="left" vertical="center" wrapText="1"/>
    </xf>
    <xf numFmtId="185" fontId="158" fillId="12" borderId="120" xfId="13" applyNumberFormat="1" applyFont="1" applyFill="1" applyBorder="1" applyAlignment="1">
      <alignment horizontal="left" vertical="center" wrapText="1"/>
    </xf>
    <xf numFmtId="185" fontId="158" fillId="12" borderId="127" xfId="13" applyNumberFormat="1" applyFont="1" applyFill="1" applyBorder="1" applyAlignment="1">
      <alignment horizontal="left" vertical="center" wrapText="1"/>
    </xf>
    <xf numFmtId="10" fontId="153" fillId="0" borderId="132" xfId="10" applyNumberFormat="1" applyFont="1" applyBorder="1" applyAlignment="1">
      <alignment horizontal="left" vertical="center"/>
    </xf>
    <xf numFmtId="10" fontId="153" fillId="0" borderId="14" xfId="10" applyNumberFormat="1" applyFont="1" applyBorder="1" applyAlignment="1">
      <alignment horizontal="left" vertical="center"/>
    </xf>
    <xf numFmtId="10" fontId="153" fillId="0" borderId="0" xfId="10" applyNumberFormat="1" applyFont="1" applyBorder="1" applyAlignment="1">
      <alignment horizontal="left" vertical="center"/>
    </xf>
    <xf numFmtId="185" fontId="158" fillId="12" borderId="120" xfId="10" applyNumberFormat="1" applyFont="1" applyFill="1" applyBorder="1" applyAlignment="1">
      <alignment horizontal="left" vertical="center" wrapText="1"/>
    </xf>
    <xf numFmtId="185" fontId="158" fillId="12" borderId="127" xfId="10" applyNumberFormat="1" applyFont="1" applyFill="1" applyBorder="1" applyAlignment="1">
      <alignment horizontal="left" vertical="center" wrapText="1"/>
    </xf>
    <xf numFmtId="0" fontId="237" fillId="12" borderId="130" xfId="10" applyFont="1" applyFill="1" applyBorder="1" applyAlignment="1" applyProtection="1">
      <alignment horizontal="left" vertical="center" wrapText="1"/>
    </xf>
    <xf numFmtId="0" fontId="237" fillId="12" borderId="131" xfId="10" applyFont="1" applyFill="1" applyBorder="1" applyAlignment="1" applyProtection="1">
      <alignment horizontal="left" vertical="center" wrapText="1"/>
    </xf>
    <xf numFmtId="0" fontId="153" fillId="0" borderId="122" xfId="10" applyFont="1" applyBorder="1" applyAlignment="1">
      <alignment horizontal="left" vertical="center"/>
    </xf>
    <xf numFmtId="0" fontId="237" fillId="13" borderId="120" xfId="10" applyFont="1" applyFill="1" applyBorder="1" applyAlignment="1" applyProtection="1">
      <alignment horizontal="left" vertical="center" wrapText="1"/>
    </xf>
    <xf numFmtId="0" fontId="237" fillId="13" borderId="121" xfId="10" applyFont="1" applyFill="1" applyBorder="1" applyAlignment="1" applyProtection="1">
      <alignment horizontal="left" vertical="center" wrapText="1"/>
    </xf>
    <xf numFmtId="185" fontId="158" fillId="12" borderId="124" xfId="10" applyNumberFormat="1" applyFont="1" applyFill="1" applyBorder="1" applyAlignment="1">
      <alignment horizontal="left" vertical="center" wrapText="1"/>
    </xf>
    <xf numFmtId="185" fontId="158" fillId="12" borderId="133" xfId="10" applyNumberFormat="1" applyFont="1" applyFill="1" applyBorder="1" applyAlignment="1">
      <alignment horizontal="left" vertical="center" wrapText="1"/>
    </xf>
    <xf numFmtId="0" fontId="153" fillId="13" borderId="120" xfId="10" applyFont="1" applyFill="1" applyBorder="1" applyAlignment="1" applyProtection="1">
      <alignment horizontal="left" vertical="center" wrapText="1"/>
    </xf>
    <xf numFmtId="0" fontId="153" fillId="13" borderId="121" xfId="10" applyFont="1" applyFill="1" applyBorder="1" applyAlignment="1" applyProtection="1">
      <alignment horizontal="left" vertical="center" wrapText="1"/>
    </xf>
    <xf numFmtId="49" fontId="87" fillId="6" borderId="2" xfId="10" applyNumberFormat="1" applyFont="1" applyFill="1" applyBorder="1" applyAlignment="1" applyProtection="1">
      <alignment horizontal="left" vertical="center" wrapText="1"/>
    </xf>
    <xf numFmtId="185" fontId="153" fillId="6" borderId="0" xfId="10" applyNumberFormat="1" applyFont="1" applyFill="1" applyAlignment="1">
      <alignment horizontal="left" vertical="center"/>
    </xf>
    <xf numFmtId="0" fontId="153" fillId="6" borderId="124" xfId="10" applyFont="1" applyFill="1" applyBorder="1" applyAlignment="1" applyProtection="1">
      <alignment horizontal="left" vertical="center" wrapText="1"/>
    </xf>
    <xf numFmtId="0" fontId="153" fillId="6" borderId="128" xfId="10" applyFont="1" applyFill="1" applyBorder="1" applyAlignment="1" applyProtection="1">
      <alignment horizontal="left" vertical="center" wrapText="1"/>
    </xf>
    <xf numFmtId="0" fontId="153" fillId="6" borderId="0" xfId="10" applyFont="1" applyFill="1" applyAlignment="1">
      <alignment horizontal="left" vertical="center"/>
    </xf>
    <xf numFmtId="10" fontId="153" fillId="6" borderId="122" xfId="10" applyNumberFormat="1" applyFont="1" applyFill="1" applyBorder="1" applyAlignment="1">
      <alignment horizontal="left" vertical="center"/>
    </xf>
    <xf numFmtId="10" fontId="153" fillId="6" borderId="0" xfId="10" applyNumberFormat="1" applyFont="1" applyFill="1" applyAlignment="1">
      <alignment horizontal="left" vertical="center"/>
    </xf>
    <xf numFmtId="178" fontId="153" fillId="6" borderId="0" xfId="10" applyNumberFormat="1" applyFont="1" applyFill="1" applyAlignment="1">
      <alignment horizontal="left" vertical="center"/>
    </xf>
    <xf numFmtId="10" fontId="153" fillId="6" borderId="126" xfId="10" applyNumberFormat="1" applyFont="1" applyFill="1" applyBorder="1" applyAlignment="1">
      <alignment horizontal="left" vertical="center"/>
    </xf>
    <xf numFmtId="10" fontId="153" fillId="6" borderId="19" xfId="10" applyNumberFormat="1" applyFont="1" applyFill="1" applyBorder="1" applyAlignment="1">
      <alignment horizontal="left" vertical="center"/>
    </xf>
    <xf numFmtId="0" fontId="201" fillId="6" borderId="0" xfId="10" applyFont="1" applyFill="1" applyAlignment="1">
      <alignment horizontal="left" vertical="center"/>
    </xf>
    <xf numFmtId="0" fontId="153" fillId="6" borderId="0" xfId="10" applyNumberFormat="1" applyFont="1" applyFill="1" applyAlignment="1">
      <alignment horizontal="left" vertical="center"/>
    </xf>
    <xf numFmtId="0" fontId="153" fillId="12" borderId="130" xfId="10" applyFont="1" applyFill="1" applyBorder="1" applyAlignment="1" applyProtection="1">
      <alignment horizontal="left" vertical="center" wrapText="1"/>
    </xf>
    <xf numFmtId="0" fontId="153" fillId="12" borderId="131" xfId="10" applyFont="1" applyFill="1" applyBorder="1" applyAlignment="1" applyProtection="1">
      <alignment horizontal="left" vertical="center" wrapText="1"/>
    </xf>
    <xf numFmtId="14" fontId="153" fillId="0" borderId="0" xfId="10" applyNumberFormat="1" applyFont="1" applyAlignment="1">
      <alignment horizontal="left" vertical="center"/>
    </xf>
    <xf numFmtId="0" fontId="201" fillId="0" borderId="0" xfId="10" applyFont="1" applyAlignment="1">
      <alignment horizontal="left" vertical="center"/>
    </xf>
    <xf numFmtId="0" fontId="153" fillId="0" borderId="0" xfId="10" applyNumberFormat="1" applyFont="1" applyAlignment="1">
      <alignment horizontal="left" vertical="center"/>
    </xf>
    <xf numFmtId="185" fontId="158" fillId="12" borderId="130" xfId="10" applyNumberFormat="1" applyFont="1" applyFill="1" applyBorder="1" applyAlignment="1">
      <alignment horizontal="left" vertical="center" wrapText="1"/>
    </xf>
    <xf numFmtId="185" fontId="158" fillId="12" borderId="134" xfId="10" applyNumberFormat="1" applyFont="1" applyFill="1" applyBorder="1" applyAlignment="1">
      <alignment horizontal="left" vertical="center" wrapText="1"/>
    </xf>
    <xf numFmtId="185" fontId="153" fillId="14" borderId="0" xfId="10" applyNumberFormat="1" applyFont="1" applyFill="1" applyAlignment="1">
      <alignment horizontal="left" vertical="center"/>
    </xf>
    <xf numFmtId="185" fontId="153" fillId="0" borderId="61" xfId="10" applyNumberFormat="1" applyFont="1" applyBorder="1" applyAlignment="1">
      <alignment horizontal="left" vertical="center"/>
    </xf>
    <xf numFmtId="0" fontId="237" fillId="13" borderId="135" xfId="10" applyFont="1" applyFill="1" applyBorder="1" applyAlignment="1" applyProtection="1">
      <alignment horizontal="left" vertical="center" wrapText="1"/>
    </xf>
    <xf numFmtId="0" fontId="237" fillId="13" borderId="136" xfId="10" applyFont="1" applyFill="1" applyBorder="1" applyAlignment="1" applyProtection="1">
      <alignment horizontal="left" vertical="center" wrapText="1"/>
    </xf>
    <xf numFmtId="0" fontId="153" fillId="0" borderId="61" xfId="10" applyFont="1" applyBorder="1" applyAlignment="1">
      <alignment horizontal="left" vertical="center"/>
    </xf>
    <xf numFmtId="10" fontId="153" fillId="0" borderId="137" xfId="10" applyNumberFormat="1" applyFont="1" applyBorder="1" applyAlignment="1">
      <alignment horizontal="left" vertical="center"/>
    </xf>
    <xf numFmtId="10" fontId="153" fillId="0" borderId="61" xfId="10" applyNumberFormat="1" applyFont="1" applyBorder="1" applyAlignment="1">
      <alignment horizontal="left" vertical="center"/>
    </xf>
    <xf numFmtId="178" fontId="153" fillId="0" borderId="61" xfId="10" applyNumberFormat="1" applyFont="1" applyBorder="1" applyAlignment="1">
      <alignment horizontal="left" vertical="center"/>
    </xf>
    <xf numFmtId="0" fontId="237" fillId="12" borderId="138" xfId="10" applyFont="1" applyFill="1" applyBorder="1" applyAlignment="1" applyProtection="1">
      <alignment horizontal="left" vertical="center" wrapText="1"/>
    </xf>
    <xf numFmtId="0" fontId="237" fillId="12" borderId="139" xfId="10" applyFont="1" applyFill="1" applyBorder="1" applyAlignment="1" applyProtection="1">
      <alignment horizontal="left" vertical="center" wrapText="1"/>
    </xf>
    <xf numFmtId="10" fontId="153" fillId="15" borderId="122" xfId="10" applyNumberFormat="1" applyFont="1" applyFill="1" applyBorder="1" applyAlignment="1">
      <alignment horizontal="left" vertical="center"/>
    </xf>
    <xf numFmtId="10" fontId="153" fillId="15" borderId="0" xfId="10" applyNumberFormat="1" applyFont="1" applyFill="1" applyAlignment="1">
      <alignment horizontal="left" vertical="center"/>
    </xf>
    <xf numFmtId="179" fontId="153" fillId="0" borderId="0" xfId="10" applyNumberFormat="1" applyFont="1" applyAlignment="1">
      <alignment horizontal="left" vertical="center"/>
    </xf>
    <xf numFmtId="10" fontId="153" fillId="15" borderId="126" xfId="10" applyNumberFormat="1" applyFont="1" applyFill="1" applyBorder="1" applyAlignment="1">
      <alignment horizontal="left" vertical="center"/>
    </xf>
    <xf numFmtId="10" fontId="153" fillId="15" borderId="19" xfId="10" applyNumberFormat="1" applyFont="1" applyFill="1" applyBorder="1" applyAlignment="1">
      <alignment horizontal="left" vertical="center"/>
    </xf>
    <xf numFmtId="10" fontId="153" fillId="15" borderId="137" xfId="10" applyNumberFormat="1" applyFont="1" applyFill="1" applyBorder="1" applyAlignment="1">
      <alignment horizontal="left" vertical="center"/>
    </xf>
    <xf numFmtId="10" fontId="153" fillId="15" borderId="61" xfId="10" applyNumberFormat="1" applyFont="1" applyFill="1" applyBorder="1" applyAlignment="1">
      <alignment horizontal="left" vertical="center"/>
    </xf>
    <xf numFmtId="179" fontId="153" fillId="0" borderId="61" xfId="10" applyNumberFormat="1" applyFont="1" applyBorder="1" applyAlignment="1">
      <alignment horizontal="left" vertical="center"/>
    </xf>
    <xf numFmtId="0" fontId="158" fillId="13" borderId="140" xfId="10" applyFont="1" applyFill="1" applyBorder="1" applyAlignment="1">
      <alignment horizontal="left" vertical="center" wrapText="1"/>
    </xf>
    <xf numFmtId="0" fontId="158" fillId="13" borderId="141" xfId="10" applyFont="1" applyFill="1" applyBorder="1" applyAlignment="1">
      <alignment horizontal="left" vertical="center" wrapText="1"/>
    </xf>
    <xf numFmtId="181" fontId="153" fillId="0" borderId="0" xfId="10" applyNumberFormat="1" applyFont="1" applyAlignment="1">
      <alignment horizontal="left" vertical="center"/>
    </xf>
    <xf numFmtId="181" fontId="153" fillId="0" borderId="122" xfId="10" applyNumberFormat="1" applyFont="1" applyBorder="1" applyAlignment="1">
      <alignment horizontal="left" vertical="center"/>
    </xf>
    <xf numFmtId="178" fontId="153" fillId="15" borderId="0" xfId="10" applyNumberFormat="1" applyFont="1" applyFill="1" applyAlignment="1">
      <alignment horizontal="left" vertical="center"/>
    </xf>
    <xf numFmtId="0" fontId="237" fillId="13" borderId="130" xfId="10" applyFont="1" applyFill="1" applyBorder="1" applyAlignment="1" applyProtection="1">
      <alignment horizontal="left" vertical="center" wrapText="1"/>
    </xf>
    <xf numFmtId="0" fontId="158" fillId="12" borderId="130" xfId="10" applyFont="1" applyFill="1" applyBorder="1" applyAlignment="1">
      <alignment horizontal="left" vertical="center" wrapText="1"/>
    </xf>
    <xf numFmtId="0" fontId="158" fillId="12" borderId="134" xfId="10" applyFont="1" applyFill="1" applyBorder="1" applyAlignment="1">
      <alignment horizontal="left" vertical="center" wrapText="1"/>
    </xf>
    <xf numFmtId="0" fontId="237" fillId="6" borderId="124" xfId="10" applyFont="1" applyFill="1" applyBorder="1" applyAlignment="1" applyProtection="1">
      <alignment horizontal="left" vertical="center" wrapText="1"/>
    </xf>
    <xf numFmtId="181" fontId="153" fillId="6" borderId="0" xfId="10" applyNumberFormat="1" applyFont="1" applyFill="1" applyAlignment="1">
      <alignment horizontal="left" vertical="center"/>
    </xf>
    <xf numFmtId="0" fontId="153" fillId="6" borderId="122" xfId="10" applyFont="1" applyFill="1" applyBorder="1" applyAlignment="1">
      <alignment horizontal="left" vertical="center"/>
    </xf>
    <xf numFmtId="179" fontId="153" fillId="6" borderId="0" xfId="10" applyNumberFormat="1" applyFont="1" applyFill="1" applyAlignment="1">
      <alignment horizontal="left" vertical="center"/>
    </xf>
    <xf numFmtId="0" fontId="158" fillId="12" borderId="142" xfId="10" applyFont="1" applyFill="1" applyBorder="1" applyAlignment="1">
      <alignment horizontal="left" vertical="center" wrapText="1"/>
    </xf>
    <xf numFmtId="0" fontId="158" fillId="12" borderId="143" xfId="10" applyFont="1" applyFill="1" applyBorder="1" applyAlignment="1">
      <alignment horizontal="left" vertical="center" wrapText="1"/>
    </xf>
    <xf numFmtId="0" fontId="158" fillId="12" borderId="144" xfId="10" applyFont="1" applyFill="1" applyBorder="1" applyAlignment="1">
      <alignment horizontal="left" vertical="center" wrapText="1"/>
    </xf>
    <xf numFmtId="0" fontId="211" fillId="0" borderId="0" xfId="10" applyFont="1" applyAlignment="1">
      <alignment horizontal="left" vertical="center"/>
    </xf>
    <xf numFmtId="0" fontId="159" fillId="0" borderId="0" xfId="10" applyFont="1" applyAlignment="1">
      <alignment horizontal="left" vertical="center"/>
    </xf>
    <xf numFmtId="0" fontId="159" fillId="0" borderId="122" xfId="10" applyFont="1" applyBorder="1" applyAlignment="1">
      <alignment horizontal="left" vertical="center"/>
    </xf>
    <xf numFmtId="181" fontId="159" fillId="0" borderId="0" xfId="10" applyNumberFormat="1" applyFont="1" applyAlignment="1">
      <alignment horizontal="left" vertical="center"/>
    </xf>
    <xf numFmtId="181" fontId="159" fillId="0" borderId="122" xfId="10" applyNumberFormat="1" applyFont="1" applyBorder="1" applyAlignment="1">
      <alignment horizontal="left" vertical="center"/>
    </xf>
    <xf numFmtId="0" fontId="237" fillId="13" borderId="145" xfId="10" applyFont="1" applyFill="1" applyBorder="1" applyAlignment="1">
      <alignment horizontal="left" vertical="center" wrapText="1"/>
    </xf>
    <xf numFmtId="0" fontId="237" fillId="13" borderId="120" xfId="10" applyFont="1" applyFill="1" applyBorder="1" applyAlignment="1">
      <alignment horizontal="left" vertical="center" wrapText="1"/>
    </xf>
    <xf numFmtId="0" fontId="237" fillId="12" borderId="146" xfId="10" applyFont="1" applyFill="1" applyBorder="1" applyAlignment="1">
      <alignment horizontal="left" vertical="center" wrapText="1"/>
    </xf>
    <xf numFmtId="0" fontId="237" fillId="12" borderId="124" xfId="10" applyFont="1" applyFill="1" applyBorder="1" applyAlignment="1">
      <alignment horizontal="left" vertical="center" wrapText="1"/>
    </xf>
    <xf numFmtId="0" fontId="237" fillId="13" borderId="146" xfId="10" applyFont="1" applyFill="1" applyBorder="1" applyAlignment="1">
      <alignment horizontal="left" vertical="center" wrapText="1"/>
    </xf>
    <xf numFmtId="0" fontId="237" fillId="13" borderId="124" xfId="10" applyFont="1" applyFill="1" applyBorder="1" applyAlignment="1">
      <alignment horizontal="left" vertical="center" wrapText="1"/>
    </xf>
    <xf numFmtId="0" fontId="237" fillId="12" borderId="147" xfId="10" applyFont="1" applyFill="1" applyBorder="1" applyAlignment="1">
      <alignment horizontal="left" vertical="center" wrapText="1"/>
    </xf>
    <xf numFmtId="0" fontId="237" fillId="12" borderId="130" xfId="10" applyFont="1" applyFill="1" applyBorder="1" applyAlignment="1">
      <alignment horizontal="left" vertical="center" wrapText="1"/>
    </xf>
    <xf numFmtId="0" fontId="79" fillId="18" borderId="10" xfId="0" applyFont="1" applyFill="1" applyBorder="1" applyAlignment="1" applyProtection="1">
      <alignment vertical="center" wrapText="1"/>
    </xf>
    <xf numFmtId="0" fontId="79" fillId="18" borderId="4" xfId="0" applyFont="1" applyFill="1" applyBorder="1" applyAlignment="1" applyProtection="1">
      <alignment vertical="center" wrapText="1"/>
    </xf>
    <xf numFmtId="0" fontId="79" fillId="18" borderId="84" xfId="0" applyFont="1" applyFill="1" applyBorder="1" applyAlignment="1" applyProtection="1">
      <alignment vertical="center" wrapText="1"/>
    </xf>
    <xf numFmtId="0" fontId="79" fillId="18" borderId="17" xfId="0" applyFont="1" applyFill="1" applyBorder="1" applyAlignment="1" applyProtection="1">
      <alignment horizontal="left" vertical="center"/>
    </xf>
    <xf numFmtId="0" fontId="79" fillId="18" borderId="5" xfId="0" applyFont="1" applyFill="1" applyBorder="1" applyAlignment="1" applyProtection="1">
      <alignment vertical="center"/>
    </xf>
    <xf numFmtId="49" fontId="79" fillId="18" borderId="10" xfId="0" applyNumberFormat="1" applyFont="1" applyFill="1" applyBorder="1" applyAlignment="1" applyProtection="1">
      <alignment horizontal="left" vertical="center" wrapText="1"/>
    </xf>
    <xf numFmtId="0" fontId="79" fillId="18" borderId="19" xfId="0" applyFont="1" applyFill="1" applyBorder="1" applyAlignment="1" applyProtection="1">
      <alignment vertical="center" wrapText="1"/>
    </xf>
    <xf numFmtId="0" fontId="211" fillId="5" borderId="0" xfId="0" applyFont="1" applyFill="1" applyAlignment="1" applyProtection="1">
      <alignment horizontal="left" vertical="center"/>
    </xf>
    <xf numFmtId="0" fontId="76" fillId="5" borderId="21" xfId="0" applyFont="1" applyFill="1" applyBorder="1" applyAlignment="1" applyProtection="1">
      <alignment vertical="center"/>
    </xf>
    <xf numFmtId="0" fontId="86" fillId="5" borderId="63" xfId="0" applyFont="1" applyFill="1" applyBorder="1" applyAlignment="1" applyProtection="1">
      <alignment vertical="center"/>
    </xf>
    <xf numFmtId="0" fontId="83" fillId="17" borderId="0" xfId="0" applyFont="1" applyFill="1" applyAlignment="1" applyProtection="1">
      <alignment horizontal="left" vertical="center"/>
    </xf>
    <xf numFmtId="0" fontId="77" fillId="17" borderId="0" xfId="0" applyFont="1" applyFill="1" applyAlignment="1" applyProtection="1">
      <alignment horizontal="left" vertical="center"/>
    </xf>
    <xf numFmtId="10" fontId="77" fillId="17" borderId="0" xfId="0" applyNumberFormat="1" applyFont="1" applyFill="1" applyAlignment="1" applyProtection="1">
      <alignment horizontal="center" vertical="center"/>
    </xf>
    <xf numFmtId="0" fontId="83" fillId="17" borderId="0" xfId="0" applyFont="1" applyFill="1" applyProtection="1">
      <alignment vertical="center"/>
    </xf>
    <xf numFmtId="0" fontId="83" fillId="17" borderId="9" xfId="0" applyFont="1" applyFill="1" applyBorder="1" applyAlignment="1" applyProtection="1">
      <alignment horizontal="left" vertical="center" wrapText="1"/>
      <protection locked="0"/>
    </xf>
    <xf numFmtId="0" fontId="77" fillId="17" borderId="45" xfId="0" applyFont="1" applyFill="1" applyBorder="1" applyAlignment="1" applyProtection="1">
      <alignment horizontal="right" vertical="center"/>
    </xf>
    <xf numFmtId="0" fontId="77" fillId="17" borderId="44" xfId="0" applyFont="1" applyFill="1" applyBorder="1" applyAlignment="1" applyProtection="1">
      <alignment horizontal="center" vertical="center" wrapText="1"/>
    </xf>
    <xf numFmtId="10" fontId="77" fillId="17" borderId="44" xfId="0" applyNumberFormat="1" applyFont="1" applyFill="1" applyBorder="1" applyAlignment="1" applyProtection="1">
      <alignment horizontal="center" vertical="center"/>
    </xf>
    <xf numFmtId="0" fontId="96" fillId="17" borderId="48" xfId="0" applyNumberFormat="1" applyFont="1" applyFill="1" applyBorder="1" applyAlignment="1" applyProtection="1">
      <alignment horizontal="left" vertical="center" wrapText="1"/>
      <protection locked="0"/>
    </xf>
    <xf numFmtId="182" fontId="84" fillId="17" borderId="48" xfId="0" applyNumberFormat="1" applyFont="1" applyFill="1" applyBorder="1" applyAlignment="1" applyProtection="1">
      <alignment horizontal="left" vertical="center" wrapText="1"/>
      <protection locked="0"/>
    </xf>
    <xf numFmtId="177" fontId="85" fillId="5" borderId="16" xfId="0" applyNumberFormat="1" applyFont="1" applyFill="1" applyBorder="1" applyAlignment="1" applyProtection="1">
      <alignment horizontal="left" vertical="center" wrapText="1"/>
    </xf>
    <xf numFmtId="0" fontId="96" fillId="17" borderId="2" xfId="3" applyFont="1" applyFill="1" applyBorder="1" applyAlignment="1" applyProtection="1">
      <alignment horizontal="center" vertical="center" wrapText="1"/>
    </xf>
    <xf numFmtId="182" fontId="77" fillId="17" borderId="16" xfId="0" applyNumberFormat="1" applyFont="1" applyFill="1" applyBorder="1" applyAlignment="1" applyProtection="1">
      <alignment horizontal="center" vertical="center" wrapText="1"/>
    </xf>
    <xf numFmtId="0" fontId="77" fillId="17" borderId="2" xfId="0" applyFont="1" applyFill="1" applyBorder="1" applyAlignment="1" applyProtection="1">
      <alignment horizontal="center" vertical="center"/>
    </xf>
    <xf numFmtId="0" fontId="79" fillId="0" borderId="2" xfId="0" applyFont="1" applyBorder="1" applyAlignment="1" applyProtection="1">
      <alignment vertical="center" wrapText="1"/>
      <protection locked="0"/>
    </xf>
    <xf numFmtId="0" fontId="79" fillId="0" borderId="2" xfId="0" applyFont="1" applyBorder="1" applyAlignment="1" applyProtection="1">
      <alignment horizontal="center" vertical="center" wrapText="1"/>
    </xf>
    <xf numFmtId="0" fontId="123" fillId="5" borderId="0" xfId="0" applyFont="1" applyFill="1" applyAlignment="1" applyProtection="1">
      <alignment horizontal="left" vertical="center"/>
      <protection locked="0"/>
    </xf>
    <xf numFmtId="177" fontId="85" fillId="17" borderId="16" xfId="0" applyNumberFormat="1" applyFont="1" applyFill="1" applyBorder="1" applyAlignment="1" applyProtection="1">
      <alignment horizontal="left" vertical="center" wrapText="1"/>
    </xf>
    <xf numFmtId="0" fontId="79" fillId="19" borderId="21" xfId="0" applyFont="1" applyFill="1" applyBorder="1" applyAlignment="1" applyProtection="1">
      <alignment vertical="center" wrapText="1"/>
    </xf>
    <xf numFmtId="0" fontId="181" fillId="0" borderId="0" xfId="7" applyFont="1" applyAlignment="1">
      <alignment horizontal="left" vertical="center"/>
    </xf>
    <xf numFmtId="0" fontId="274" fillId="0" borderId="0" xfId="7" applyFont="1" applyAlignment="1">
      <alignment horizontal="left" vertical="center"/>
    </xf>
    <xf numFmtId="14" fontId="274" fillId="0" borderId="0" xfId="7" applyNumberFormat="1" applyFont="1" applyAlignment="1">
      <alignment horizontal="left" vertical="center"/>
    </xf>
    <xf numFmtId="0" fontId="275" fillId="0" borderId="0" xfId="7" applyFont="1" applyAlignment="1">
      <alignment horizontal="left" vertical="center"/>
    </xf>
    <xf numFmtId="0" fontId="276" fillId="0" borderId="10" xfId="7" applyFont="1" applyFill="1" applyBorder="1" applyAlignment="1">
      <alignment horizontal="left" vertical="center"/>
    </xf>
    <xf numFmtId="0" fontId="276" fillId="0" borderId="2" xfId="7" applyFont="1" applyFill="1" applyBorder="1" applyAlignment="1">
      <alignment horizontal="left" vertical="center"/>
    </xf>
    <xf numFmtId="0" fontId="276" fillId="0" borderId="5" xfId="7" applyFont="1" applyFill="1" applyBorder="1" applyAlignment="1">
      <alignment horizontal="left" vertical="center"/>
    </xf>
    <xf numFmtId="184" fontId="276" fillId="0" borderId="2" xfId="7" applyNumberFormat="1" applyFont="1" applyFill="1" applyBorder="1" applyAlignment="1">
      <alignment horizontal="left" vertical="center"/>
    </xf>
    <xf numFmtId="191" fontId="276" fillId="0" borderId="5" xfId="7" applyNumberFormat="1" applyFont="1" applyFill="1" applyBorder="1" applyAlignment="1">
      <alignment horizontal="left" vertical="center"/>
    </xf>
    <xf numFmtId="0" fontId="181" fillId="0" borderId="0" xfId="7" applyFont="1" applyFill="1" applyAlignment="1">
      <alignment horizontal="left" vertical="center"/>
    </xf>
    <xf numFmtId="0" fontId="277" fillId="0" borderId="2" xfId="7" applyFont="1" applyFill="1" applyBorder="1" applyAlignment="1">
      <alignment horizontal="left" vertical="center"/>
    </xf>
    <xf numFmtId="0" fontId="276" fillId="0" borderId="2" xfId="7" applyFont="1" applyBorder="1" applyAlignment="1">
      <alignment horizontal="left" vertical="center"/>
    </xf>
    <xf numFmtId="0" fontId="274" fillId="0" borderId="2" xfId="7" applyFont="1" applyBorder="1" applyAlignment="1">
      <alignment horizontal="left" vertical="center"/>
    </xf>
    <xf numFmtId="184" fontId="276" fillId="0" borderId="2" xfId="0" applyNumberFormat="1" applyFont="1" applyFill="1" applyBorder="1" applyAlignment="1">
      <alignment horizontal="left" vertical="center"/>
    </xf>
    <xf numFmtId="14" fontId="181" fillId="0" borderId="0" xfId="7" applyNumberFormat="1" applyFont="1" applyAlignment="1">
      <alignment horizontal="left" vertical="center"/>
    </xf>
    <xf numFmtId="0" fontId="278" fillId="0" borderId="0" xfId="7" applyFont="1" applyBorder="1" applyAlignment="1">
      <alignment horizontal="left" vertical="center"/>
    </xf>
    <xf numFmtId="0" fontId="276" fillId="0" borderId="154" xfId="7" applyFont="1" applyFill="1" applyBorder="1" applyAlignment="1">
      <alignment horizontal="left" vertical="center"/>
    </xf>
    <xf numFmtId="191" fontId="276" fillId="0" borderId="154" xfId="7" applyNumberFormat="1" applyFont="1" applyFill="1" applyBorder="1" applyAlignment="1">
      <alignment horizontal="left" vertical="center"/>
    </xf>
    <xf numFmtId="0" fontId="276" fillId="0" borderId="5" xfId="7" applyFont="1" applyBorder="1" applyAlignment="1">
      <alignment horizontal="left" vertical="center"/>
    </xf>
    <xf numFmtId="184" fontId="276" fillId="0" borderId="5" xfId="7" applyNumberFormat="1" applyFont="1" applyFill="1" applyBorder="1" applyAlignment="1">
      <alignment horizontal="left" vertical="center"/>
    </xf>
    <xf numFmtId="14" fontId="274" fillId="0" borderId="5" xfId="7" applyNumberFormat="1" applyFont="1" applyBorder="1" applyAlignment="1">
      <alignment horizontal="left" vertical="center"/>
    </xf>
    <xf numFmtId="0" fontId="274" fillId="0" borderId="154" xfId="7" applyFont="1" applyBorder="1" applyAlignment="1">
      <alignment horizontal="left" vertical="center"/>
    </xf>
    <xf numFmtId="14" fontId="181" fillId="0" borderId="156" xfId="7" applyNumberFormat="1" applyFont="1" applyBorder="1" applyAlignment="1">
      <alignment horizontal="left" vertical="center"/>
    </xf>
    <xf numFmtId="0" fontId="181" fillId="0" borderId="0" xfId="7" applyFont="1" applyBorder="1" applyAlignment="1">
      <alignment horizontal="left" vertical="center"/>
    </xf>
    <xf numFmtId="0" fontId="277" fillId="6" borderId="10" xfId="7" applyFont="1" applyFill="1" applyBorder="1" applyAlignment="1">
      <alignment horizontal="left" vertical="center"/>
    </xf>
    <xf numFmtId="0" fontId="277" fillId="6" borderId="155" xfId="7" applyFont="1" applyFill="1" applyBorder="1" applyAlignment="1">
      <alignment horizontal="left" vertical="center"/>
    </xf>
    <xf numFmtId="0" fontId="79" fillId="5" borderId="13" xfId="0" applyNumberFormat="1" applyFont="1" applyFill="1" applyBorder="1" applyAlignment="1" applyProtection="1">
      <alignment horizontal="left" vertical="center"/>
      <protection locked="0"/>
    </xf>
    <xf numFmtId="49"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vertical="center" wrapText="1"/>
      <protection locked="0"/>
    </xf>
    <xf numFmtId="0" fontId="79" fillId="5" borderId="0" xfId="0" applyFont="1" applyFill="1" applyAlignment="1" applyProtection="1">
      <alignment horizontal="center" vertical="center" wrapText="1"/>
      <protection locked="0"/>
    </xf>
    <xf numFmtId="0" fontId="79" fillId="0" borderId="0" xfId="0" applyFont="1" applyAlignment="1" applyProtection="1">
      <alignment vertical="center" wrapText="1"/>
      <protection locked="0"/>
    </xf>
    <xf numFmtId="49" fontId="79" fillId="5" borderId="13" xfId="0" applyNumberFormat="1" applyFont="1" applyFill="1" applyBorder="1" applyAlignment="1" applyProtection="1">
      <alignment horizontal="center" vertical="center" wrapText="1"/>
      <protection locked="0"/>
    </xf>
    <xf numFmtId="0" fontId="79" fillId="5" borderId="13"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vertical="center" wrapText="1"/>
      <protection locked="0"/>
    </xf>
    <xf numFmtId="0" fontId="79" fillId="5" borderId="13" xfId="0" applyFont="1" applyFill="1" applyBorder="1" applyAlignment="1" applyProtection="1">
      <alignment vertical="center" wrapText="1"/>
      <protection locked="0"/>
    </xf>
    <xf numFmtId="49" fontId="79" fillId="5" borderId="13" xfId="0" applyNumberFormat="1" applyFont="1" applyFill="1" applyBorder="1" applyAlignment="1" applyProtection="1">
      <alignment horizontal="left" vertical="center"/>
      <protection locked="0"/>
    </xf>
    <xf numFmtId="49" fontId="79" fillId="5" borderId="151" xfId="0" applyNumberFormat="1" applyFont="1" applyFill="1" applyBorder="1" applyAlignment="1" applyProtection="1">
      <alignment horizontal="center" vertical="center" wrapText="1"/>
      <protection locked="0"/>
    </xf>
    <xf numFmtId="49" fontId="79" fillId="5" borderId="150" xfId="0" applyNumberFormat="1" applyFont="1" applyFill="1" applyBorder="1" applyAlignment="1" applyProtection="1">
      <alignment horizontal="center" vertical="center" wrapText="1"/>
      <protection locked="0"/>
    </xf>
    <xf numFmtId="0" fontId="79" fillId="5" borderId="150" xfId="0" applyFont="1" applyFill="1" applyBorder="1" applyAlignment="1" applyProtection="1">
      <alignment vertical="center" wrapText="1"/>
      <protection locked="0"/>
    </xf>
    <xf numFmtId="0" fontId="79" fillId="5" borderId="150" xfId="0" applyFont="1" applyFill="1" applyBorder="1" applyAlignment="1" applyProtection="1">
      <alignment horizontal="center" vertical="center" wrapText="1"/>
      <protection locked="0"/>
    </xf>
    <xf numFmtId="0" fontId="79" fillId="0" borderId="150" xfId="0" applyFont="1" applyBorder="1" applyAlignment="1" applyProtection="1">
      <alignment vertical="center" wrapText="1"/>
      <protection locked="0"/>
    </xf>
    <xf numFmtId="49" fontId="79" fillId="5" borderId="2" xfId="0" applyNumberFormat="1" applyFont="1" applyFill="1" applyBorder="1" applyAlignment="1" applyProtection="1">
      <alignment horizontal="center" vertical="center" wrapText="1"/>
      <protection locked="0"/>
    </xf>
    <xf numFmtId="0" fontId="79" fillId="5" borderId="2" xfId="0" applyFont="1" applyFill="1" applyBorder="1" applyAlignment="1" applyProtection="1">
      <alignment horizontal="center" vertical="center" wrapText="1"/>
      <protection locked="0"/>
    </xf>
    <xf numFmtId="49" fontId="79" fillId="0" borderId="2" xfId="0" applyNumberFormat="1" applyFont="1" applyBorder="1" applyAlignment="1" applyProtection="1">
      <alignment horizontal="center" vertical="center" wrapText="1"/>
      <protection locked="0"/>
    </xf>
    <xf numFmtId="49" fontId="79" fillId="0" borderId="13" xfId="0" applyNumberFormat="1" applyFont="1" applyBorder="1" applyAlignment="1" applyProtection="1">
      <alignment horizontal="center" vertical="center" wrapText="1"/>
      <protection locked="0"/>
    </xf>
    <xf numFmtId="49" fontId="79"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5" borderId="0" xfId="0" applyFont="1" applyFill="1" applyBorder="1" applyAlignment="1" applyProtection="1">
      <alignment vertical="center" wrapText="1"/>
      <protection locked="0"/>
    </xf>
    <xf numFmtId="0" fontId="79" fillId="13" borderId="0" xfId="0" applyFont="1" applyFill="1" applyAlignment="1" applyProtection="1">
      <alignment vertical="center" wrapText="1"/>
      <protection locked="0"/>
    </xf>
    <xf numFmtId="0" fontId="79" fillId="13" borderId="0" xfId="0" applyFont="1" applyFill="1" applyBorder="1" applyAlignment="1" applyProtection="1">
      <alignment vertical="center" wrapText="1"/>
      <protection locked="0"/>
    </xf>
    <xf numFmtId="0" fontId="79" fillId="13" borderId="0" xfId="0" applyFont="1" applyFill="1" applyAlignment="1" applyProtection="1">
      <alignment horizontal="center" vertical="center" wrapText="1"/>
      <protection locked="0"/>
    </xf>
    <xf numFmtId="0" fontId="79" fillId="13" borderId="150" xfId="0" applyFont="1" applyFill="1" applyBorder="1" applyAlignment="1" applyProtection="1">
      <alignment vertical="center" wrapText="1"/>
      <protection locked="0"/>
    </xf>
    <xf numFmtId="0" fontId="79" fillId="13" borderId="0" xfId="0" applyFont="1" applyFill="1" applyBorder="1" applyAlignment="1" applyProtection="1">
      <alignment horizontal="center" vertical="center" wrapText="1"/>
      <protection locked="0"/>
    </xf>
    <xf numFmtId="0" fontId="79" fillId="13" borderId="91" xfId="0" applyFont="1" applyFill="1" applyBorder="1" applyAlignment="1" applyProtection="1">
      <alignment vertical="center" wrapText="1"/>
      <protection locked="0"/>
    </xf>
    <xf numFmtId="0" fontId="79" fillId="13" borderId="91" xfId="0" applyFont="1" applyFill="1" applyBorder="1" applyAlignment="1" applyProtection="1">
      <alignment horizontal="center" vertical="center" wrapText="1"/>
      <protection locked="0"/>
    </xf>
    <xf numFmtId="0" fontId="79" fillId="13" borderId="65" xfId="0" applyFont="1" applyFill="1" applyBorder="1" applyAlignment="1" applyProtection="1">
      <alignment vertical="center" wrapText="1"/>
      <protection locked="0"/>
    </xf>
    <xf numFmtId="0" fontId="79" fillId="13" borderId="88" xfId="0" applyFont="1" applyFill="1" applyBorder="1" applyAlignment="1" applyProtection="1">
      <alignment vertical="center" wrapText="1"/>
      <protection locked="0"/>
    </xf>
    <xf numFmtId="0" fontId="72" fillId="13" borderId="0" xfId="0" applyFont="1" applyFill="1" applyProtection="1">
      <alignment vertical="center"/>
      <protection locked="0"/>
    </xf>
    <xf numFmtId="0" fontId="72" fillId="13" borderId="0" xfId="0" applyFont="1" applyFill="1" applyBorder="1" applyProtection="1">
      <alignment vertical="center"/>
      <protection locked="0"/>
    </xf>
    <xf numFmtId="0" fontId="77" fillId="0" borderId="9" xfId="0" applyFont="1" applyFill="1" applyBorder="1" applyProtection="1">
      <alignment vertical="center"/>
      <protection locked="0"/>
    </xf>
    <xf numFmtId="0" fontId="77" fillId="0" borderId="12" xfId="0" applyFont="1" applyFill="1" applyBorder="1" applyProtection="1">
      <alignment vertical="center"/>
      <protection locked="0"/>
    </xf>
    <xf numFmtId="0" fontId="72" fillId="0" borderId="32" xfId="0" applyFont="1" applyFill="1" applyBorder="1" applyProtection="1">
      <alignment vertical="center"/>
      <protection locked="0"/>
    </xf>
    <xf numFmtId="0" fontId="72" fillId="0" borderId="25" xfId="0" applyFont="1" applyFill="1" applyBorder="1" applyProtection="1">
      <alignment vertical="center"/>
      <protection locked="0"/>
    </xf>
    <xf numFmtId="0" fontId="82" fillId="5" borderId="0" xfId="0" applyFont="1" applyFill="1" applyAlignment="1" applyProtection="1">
      <alignment vertical="center" wrapText="1"/>
    </xf>
    <xf numFmtId="0" fontId="77" fillId="13" borderId="0" xfId="0" applyFont="1" applyFill="1" applyAlignment="1" applyProtection="1">
      <alignment vertical="center"/>
      <protection locked="0"/>
    </xf>
    <xf numFmtId="180" fontId="77" fillId="13" borderId="0" xfId="0" applyNumberFormat="1" applyFont="1" applyFill="1" applyAlignment="1" applyProtection="1">
      <alignment vertical="center"/>
      <protection locked="0"/>
    </xf>
    <xf numFmtId="0" fontId="77" fillId="13"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vertical="center"/>
      <protection locked="0"/>
    </xf>
    <xf numFmtId="0" fontId="72" fillId="13" borderId="34" xfId="0" applyFont="1" applyFill="1" applyBorder="1" applyAlignment="1" applyProtection="1">
      <alignment horizontal="center" vertical="center"/>
      <protection locked="0"/>
    </xf>
    <xf numFmtId="0" fontId="150" fillId="13" borderId="0" xfId="0" applyFont="1" applyFill="1" applyAlignment="1" applyProtection="1">
      <alignment horizontal="left" vertical="center"/>
      <protection locked="0"/>
    </xf>
    <xf numFmtId="180" fontId="72" fillId="13" borderId="0" xfId="0" applyNumberFormat="1" applyFont="1" applyFill="1" applyAlignment="1" applyProtection="1">
      <alignment horizontal="center" vertical="center"/>
      <protection locked="0"/>
    </xf>
    <xf numFmtId="0" fontId="72" fillId="13" borderId="0" xfId="0" applyFont="1" applyFill="1" applyAlignment="1" applyProtection="1">
      <alignment horizontal="center" vertical="center"/>
      <protection locked="0"/>
    </xf>
    <xf numFmtId="0" fontId="150" fillId="13" borderId="0" xfId="0" applyFont="1" applyFill="1" applyAlignment="1" applyProtection="1">
      <alignment horizontal="center" vertical="center"/>
      <protection locked="0"/>
    </xf>
    <xf numFmtId="0" fontId="153" fillId="13" borderId="0" xfId="0" applyFont="1" applyFill="1" applyAlignment="1" applyProtection="1">
      <alignment vertical="center"/>
      <protection locked="0"/>
    </xf>
    <xf numFmtId="0" fontId="18" fillId="13" borderId="0" xfId="0" applyFont="1" applyFill="1" applyAlignment="1" applyProtection="1">
      <alignment horizontal="center" vertical="center"/>
      <protection locked="0"/>
    </xf>
    <xf numFmtId="180" fontId="18" fillId="13" borderId="0" xfId="0" applyNumberFormat="1" applyFont="1" applyFill="1" applyAlignment="1" applyProtection="1">
      <alignment vertical="center"/>
      <protection locked="0"/>
    </xf>
    <xf numFmtId="0" fontId="72" fillId="13" borderId="0" xfId="0" applyFont="1" applyFill="1" applyBorder="1" applyAlignment="1" applyProtection="1">
      <alignment vertical="center"/>
      <protection locked="0"/>
    </xf>
    <xf numFmtId="0" fontId="72" fillId="13" borderId="0" xfId="0" applyFont="1" applyFill="1" applyAlignment="1" applyProtection="1">
      <alignment vertical="center" wrapText="1"/>
      <protection locked="0"/>
    </xf>
    <xf numFmtId="0" fontId="203" fillId="13" borderId="0" xfId="0" applyFont="1" applyFill="1" applyAlignment="1" applyProtection="1">
      <alignment vertical="center"/>
    </xf>
    <xf numFmtId="0" fontId="202" fillId="13" borderId="0" xfId="0" applyFont="1" applyFill="1" applyAlignment="1" applyProtection="1">
      <alignment horizontal="left" vertical="center"/>
    </xf>
    <xf numFmtId="0" fontId="203" fillId="13" borderId="0" xfId="0" applyFont="1" applyFill="1" applyAlignment="1" applyProtection="1">
      <alignment horizontal="left" vertical="center"/>
    </xf>
    <xf numFmtId="0" fontId="159" fillId="13" borderId="0" xfId="0" applyFont="1" applyFill="1" applyAlignment="1" applyProtection="1">
      <alignment vertical="center"/>
    </xf>
    <xf numFmtId="180" fontId="154" fillId="13" borderId="0" xfId="0" applyNumberFormat="1" applyFont="1" applyFill="1" applyAlignment="1" applyProtection="1">
      <alignment vertical="center"/>
    </xf>
    <xf numFmtId="182" fontId="150" fillId="13" borderId="0" xfId="0" applyNumberFormat="1" applyFont="1" applyFill="1" applyAlignment="1" applyProtection="1">
      <alignment horizontal="center" vertical="center"/>
    </xf>
    <xf numFmtId="0" fontId="154" fillId="13" borderId="0" xfId="0" applyFont="1" applyFill="1" applyAlignment="1" applyProtection="1">
      <alignment horizontal="left" vertical="center"/>
    </xf>
    <xf numFmtId="0" fontId="261" fillId="13" borderId="0" xfId="0" applyFont="1" applyFill="1" applyAlignment="1" applyProtection="1">
      <alignment vertical="center"/>
    </xf>
    <xf numFmtId="0" fontId="129" fillId="0" borderId="100" xfId="0" applyFont="1" applyBorder="1" applyAlignment="1" applyProtection="1">
      <alignment horizontal="left" vertical="center" wrapText="1"/>
      <protection locked="0"/>
    </xf>
    <xf numFmtId="0" fontId="129" fillId="0" borderId="100" xfId="0" applyNumberFormat="1" applyFont="1" applyFill="1" applyBorder="1" applyAlignment="1" applyProtection="1">
      <alignment horizontal="left" vertical="center" wrapText="1"/>
      <protection locked="0"/>
    </xf>
    <xf numFmtId="0" fontId="129" fillId="0" borderId="100" xfId="0" applyFont="1" applyFill="1" applyBorder="1" applyAlignment="1" applyProtection="1">
      <alignment horizontal="left" vertical="center" wrapText="1"/>
      <protection locked="0"/>
    </xf>
    <xf numFmtId="0" fontId="129" fillId="0" borderId="101" xfId="0" applyFont="1" applyBorder="1" applyAlignment="1" applyProtection="1">
      <alignment horizontal="left" vertical="center" wrapText="1"/>
      <protection locked="0"/>
    </xf>
    <xf numFmtId="0" fontId="130" fillId="0" borderId="0" xfId="0" applyNumberFormat="1" applyFont="1" applyAlignment="1" applyProtection="1">
      <alignment horizontal="left" vertical="center"/>
      <protection locked="0"/>
    </xf>
    <xf numFmtId="0" fontId="130" fillId="0" borderId="0" xfId="0" applyFont="1" applyAlignment="1" applyProtection="1">
      <alignment horizontal="left" vertical="center"/>
      <protection locked="0"/>
    </xf>
    <xf numFmtId="0" fontId="49" fillId="5" borderId="36"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53" fillId="5" borderId="37" xfId="0" applyFont="1" applyFill="1" applyBorder="1" applyAlignment="1" applyProtection="1">
      <alignment horizontal="left" vertical="center"/>
    </xf>
    <xf numFmtId="0" fontId="53" fillId="0" borderId="0" xfId="0" applyFont="1" applyAlignment="1" applyProtection="1">
      <alignment horizontal="left" vertical="center"/>
      <protection locked="0"/>
    </xf>
    <xf numFmtId="0" fontId="49" fillId="5" borderId="53" xfId="0" applyFont="1" applyFill="1" applyBorder="1" applyAlignment="1" applyProtection="1">
      <alignment horizontal="left" vertical="center" wrapText="1"/>
    </xf>
    <xf numFmtId="0" fontId="53" fillId="5" borderId="6" xfId="0" applyFont="1" applyFill="1" applyBorder="1" applyAlignment="1" applyProtection="1">
      <alignment horizontal="left" vertical="center" wrapText="1"/>
    </xf>
    <xf numFmtId="49" fontId="53" fillId="5" borderId="0" xfId="0" applyNumberFormat="1" applyFont="1" applyFill="1" applyBorder="1" applyAlignment="1" applyProtection="1">
      <alignment horizontal="left" vertical="center" wrapText="1"/>
      <protection locked="0"/>
    </xf>
    <xf numFmtId="0" fontId="49" fillId="5" borderId="24" xfId="0" applyFont="1" applyFill="1" applyBorder="1" applyAlignment="1" applyProtection="1">
      <alignment horizontal="left" vertical="center" wrapText="1"/>
    </xf>
    <xf numFmtId="0" fontId="53" fillId="5" borderId="20" xfId="0" applyFont="1" applyFill="1" applyBorder="1" applyAlignment="1" applyProtection="1">
      <alignment horizontal="left" vertical="center" wrapText="1"/>
    </xf>
    <xf numFmtId="0" fontId="263" fillId="0" borderId="51" xfId="0" applyNumberFormat="1"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49" fontId="53" fillId="5" borderId="24"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xf>
    <xf numFmtId="0" fontId="263" fillId="0" borderId="12" xfId="0" applyFont="1" applyBorder="1" applyAlignment="1" applyProtection="1">
      <alignment horizontal="left" vertical="center" wrapText="1"/>
      <protection locked="0"/>
    </xf>
    <xf numFmtId="0" fontId="53" fillId="5" borderId="0" xfId="0" applyFont="1" applyFill="1" applyBorder="1" applyAlignment="1" applyProtection="1">
      <alignment horizontal="left" vertical="center" wrapText="1"/>
      <protection locked="0"/>
    </xf>
    <xf numFmtId="49" fontId="53" fillId="5" borderId="23" xfId="0" applyNumberFormat="1" applyFont="1" applyFill="1" applyBorder="1" applyAlignment="1" applyProtection="1">
      <alignment horizontal="left" vertical="center" wrapText="1"/>
    </xf>
    <xf numFmtId="0" fontId="53" fillId="5" borderId="47" xfId="0" applyFont="1" applyFill="1" applyBorder="1" applyAlignment="1" applyProtection="1">
      <alignment horizontal="left" vertical="center" wrapText="1"/>
    </xf>
    <xf numFmtId="0" fontId="263" fillId="0" borderId="46" xfId="0" applyNumberFormat="1" applyFont="1" applyFill="1" applyBorder="1" applyAlignment="1" applyProtection="1">
      <alignment horizontal="left" vertical="center" wrapText="1"/>
      <protection locked="0"/>
    </xf>
    <xf numFmtId="0" fontId="53" fillId="5" borderId="0" xfId="0" applyFont="1" applyFill="1" applyBorder="1" applyAlignment="1" applyProtection="1">
      <alignment horizontal="left" vertical="center"/>
      <protection locked="0"/>
    </xf>
    <xf numFmtId="0" fontId="49" fillId="5" borderId="23" xfId="0" applyFont="1" applyFill="1" applyBorder="1" applyAlignment="1" applyProtection="1">
      <alignment horizontal="left" vertical="center" wrapText="1"/>
    </xf>
    <xf numFmtId="0" fontId="53" fillId="5" borderId="44" xfId="0" applyFont="1" applyFill="1" applyBorder="1" applyAlignment="1" applyProtection="1">
      <alignment horizontal="left" vertical="center" wrapText="1"/>
    </xf>
    <xf numFmtId="0" fontId="263" fillId="0" borderId="46" xfId="0" applyFont="1" applyBorder="1" applyAlignment="1" applyProtection="1">
      <alignment horizontal="left" vertical="center"/>
      <protection locked="0"/>
    </xf>
    <xf numFmtId="0" fontId="53" fillId="0" borderId="0" xfId="0" applyFont="1" applyFill="1" applyBorder="1" applyAlignment="1" applyProtection="1">
      <alignment horizontal="left" vertical="center" wrapText="1"/>
      <protection locked="0"/>
    </xf>
    <xf numFmtId="0" fontId="53" fillId="0" borderId="0" xfId="0" applyNumberFormat="1" applyFont="1" applyFill="1" applyBorder="1" applyAlignment="1" applyProtection="1">
      <alignment horizontal="left" vertical="center" wrapText="1"/>
      <protection locked="0"/>
    </xf>
    <xf numFmtId="49" fontId="53" fillId="0" borderId="0"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9" fillId="5" borderId="0" xfId="0" applyFont="1" applyFill="1" applyBorder="1" applyAlignment="1" applyProtection="1">
      <alignment horizontal="left" vertical="center" wrapText="1"/>
      <protection locked="0"/>
    </xf>
    <xf numFmtId="0" fontId="53" fillId="5" borderId="0" xfId="0" applyNumberFormat="1" applyFont="1" applyFill="1" applyBorder="1" applyAlignment="1" applyProtection="1">
      <alignment horizontal="left" vertical="center" wrapText="1"/>
      <protection locked="0"/>
    </xf>
    <xf numFmtId="0" fontId="63" fillId="5" borderId="0" xfId="0" applyFont="1" applyFill="1" applyBorder="1" applyAlignment="1" applyProtection="1">
      <alignment horizontal="left" vertical="center"/>
    </xf>
    <xf numFmtId="0" fontId="129" fillId="0" borderId="0" xfId="0" applyFont="1" applyBorder="1" applyAlignment="1" applyProtection="1">
      <alignment horizontal="left" vertical="center" wrapText="1"/>
      <protection locked="0"/>
    </xf>
    <xf numFmtId="0" fontId="129" fillId="0" borderId="0" xfId="0" applyNumberFormat="1" applyFont="1" applyBorder="1" applyAlignment="1" applyProtection="1">
      <alignment horizontal="left" vertical="center" wrapText="1"/>
      <protection locked="0"/>
    </xf>
    <xf numFmtId="0" fontId="129" fillId="0" borderId="18" xfId="0" applyNumberFormat="1" applyFont="1" applyBorder="1" applyAlignment="1" applyProtection="1">
      <alignment horizontal="left" vertical="center" wrapText="1"/>
      <protection locked="0"/>
    </xf>
    <xf numFmtId="0" fontId="130" fillId="0" borderId="0" xfId="0" applyFont="1" applyAlignment="1" applyProtection="1">
      <alignment horizontal="left" vertical="center" wrapText="1"/>
      <protection locked="0"/>
    </xf>
    <xf numFmtId="0" fontId="130" fillId="0" borderId="0" xfId="0" applyNumberFormat="1" applyFont="1" applyFill="1" applyAlignment="1" applyProtection="1">
      <alignment horizontal="left" vertical="center" wrapText="1"/>
      <protection locked="0"/>
    </xf>
    <xf numFmtId="0" fontId="130" fillId="0" borderId="0" xfId="0" applyFont="1" applyFill="1" applyAlignment="1" applyProtection="1">
      <alignment horizontal="left" vertical="center" wrapText="1"/>
      <protection locked="0"/>
    </xf>
    <xf numFmtId="0" fontId="63" fillId="5" borderId="103" xfId="0" applyFont="1" applyFill="1" applyBorder="1" applyAlignment="1" applyProtection="1">
      <alignment horizontal="left" vertical="center"/>
    </xf>
    <xf numFmtId="0" fontId="53" fillId="0" borderId="0" xfId="0" applyFont="1" applyAlignment="1" applyProtection="1">
      <alignment horizontal="left" vertical="center" wrapText="1"/>
      <protection locked="0"/>
    </xf>
    <xf numFmtId="0" fontId="53" fillId="0" borderId="0" xfId="0" applyNumberFormat="1" applyFont="1" applyFill="1" applyAlignment="1" applyProtection="1">
      <alignment horizontal="left" vertical="center" wrapText="1"/>
      <protection locked="0"/>
    </xf>
    <xf numFmtId="0" fontId="53" fillId="0" borderId="0" xfId="0" applyFont="1" applyFill="1" applyAlignment="1" applyProtection="1">
      <alignment horizontal="left" vertical="center" wrapText="1"/>
      <protection locked="0"/>
    </xf>
    <xf numFmtId="0" fontId="53" fillId="0" borderId="0" xfId="0" applyNumberFormat="1" applyFont="1" applyAlignment="1" applyProtection="1">
      <alignment horizontal="left" vertical="center"/>
      <protection locked="0"/>
    </xf>
    <xf numFmtId="0" fontId="49" fillId="5" borderId="26"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53" fillId="5" borderId="1" xfId="0" applyFont="1" applyFill="1" applyBorder="1" applyAlignment="1" applyProtection="1">
      <alignment horizontal="left" vertical="center" wrapText="1"/>
    </xf>
    <xf numFmtId="49" fontId="53" fillId="5" borderId="41" xfId="0" applyNumberFormat="1" applyFont="1" applyFill="1" applyBorder="1" applyAlignment="1" applyProtection="1">
      <alignment horizontal="left" vertical="center" wrapText="1"/>
    </xf>
    <xf numFmtId="49" fontId="49" fillId="5" borderId="35" xfId="0" applyNumberFormat="1" applyFont="1" applyFill="1" applyBorder="1" applyAlignment="1" applyProtection="1">
      <alignment horizontal="left" vertical="center" wrapText="1"/>
    </xf>
    <xf numFmtId="0" fontId="53" fillId="5" borderId="7" xfId="0" applyNumberFormat="1"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53" fillId="5" borderId="50" xfId="0" applyFont="1" applyFill="1" applyBorder="1" applyAlignment="1" applyProtection="1">
      <alignment horizontal="left" vertical="center" wrapText="1"/>
    </xf>
    <xf numFmtId="49" fontId="53" fillId="5" borderId="12" xfId="0" applyNumberFormat="1" applyFont="1" applyFill="1" applyBorder="1" applyAlignment="1" applyProtection="1">
      <alignment horizontal="left" vertical="center" wrapText="1"/>
    </xf>
    <xf numFmtId="49" fontId="49" fillId="5" borderId="79" xfId="0" applyNumberFormat="1" applyFont="1" applyFill="1" applyBorder="1" applyAlignment="1" applyProtection="1">
      <alignment horizontal="left" vertical="center" wrapText="1"/>
    </xf>
    <xf numFmtId="0" fontId="53" fillId="5" borderId="11" xfId="0" applyFont="1" applyFill="1" applyBorder="1" applyAlignment="1" applyProtection="1">
      <alignment horizontal="left" vertical="center" wrapText="1"/>
    </xf>
    <xf numFmtId="0" fontId="53" fillId="5" borderId="12" xfId="0" applyNumberFormat="1" applyFont="1" applyFill="1" applyBorder="1" applyAlignment="1" applyProtection="1">
      <alignment horizontal="left" vertical="center" wrapText="1"/>
    </xf>
    <xf numFmtId="0" fontId="72" fillId="0" borderId="12" xfId="0" applyNumberFormat="1" applyFont="1" applyFill="1" applyBorder="1" applyAlignment="1" applyProtection="1">
      <alignment horizontal="left" vertical="center" wrapText="1"/>
      <protection locked="0"/>
    </xf>
    <xf numFmtId="0" fontId="72" fillId="6" borderId="12" xfId="0" applyNumberFormat="1" applyFont="1" applyFill="1" applyBorder="1" applyAlignment="1" applyProtection="1">
      <alignment horizontal="left" vertical="center" wrapText="1"/>
      <protection locked="0"/>
    </xf>
    <xf numFmtId="49" fontId="49" fillId="5" borderId="80" xfId="0" applyNumberFormat="1"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72" fillId="0" borderId="46" xfId="0" applyNumberFormat="1" applyFont="1" applyFill="1" applyBorder="1" applyAlignment="1" applyProtection="1">
      <alignment horizontal="left" vertical="center" wrapText="1"/>
      <protection locked="0"/>
    </xf>
    <xf numFmtId="0" fontId="49" fillId="5" borderId="80" xfId="0" applyFont="1" applyFill="1" applyBorder="1" applyAlignment="1" applyProtection="1">
      <alignment horizontal="left" vertical="center" wrapText="1"/>
    </xf>
    <xf numFmtId="0" fontId="53" fillId="5" borderId="46" xfId="0" applyNumberFormat="1" applyFont="1" applyFill="1" applyBorder="1" applyAlignment="1" applyProtection="1">
      <alignment horizontal="left" vertical="center" wrapText="1"/>
    </xf>
    <xf numFmtId="0" fontId="53" fillId="5" borderId="0" xfId="0" applyFont="1" applyFill="1" applyAlignment="1" applyProtection="1">
      <alignment horizontal="left" vertical="center" wrapText="1"/>
      <protection locked="0"/>
    </xf>
    <xf numFmtId="0" fontId="53" fillId="5" borderId="0" xfId="0" applyNumberFormat="1" applyFont="1" applyFill="1" applyAlignment="1" applyProtection="1">
      <alignment horizontal="left" vertical="center" wrapText="1"/>
      <protection locked="0"/>
    </xf>
    <xf numFmtId="0" fontId="258"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8" fillId="5" borderId="2" xfId="14" applyNumberFormat="1" applyFont="1" applyFill="1" applyBorder="1" applyAlignment="1" applyProtection="1">
      <alignment horizontal="left" vertical="center" wrapText="1"/>
    </xf>
    <xf numFmtId="0" fontId="257" fillId="5" borderId="2" xfId="14" applyFill="1" applyBorder="1" applyAlignment="1" applyProtection="1">
      <alignment horizontal="left" vertical="center"/>
    </xf>
    <xf numFmtId="0" fontId="258" fillId="5" borderId="10" xfId="14" applyFont="1" applyFill="1" applyBorder="1" applyAlignment="1" applyProtection="1">
      <alignment horizontal="left" vertical="center" wrapText="1"/>
    </xf>
    <xf numFmtId="0" fontId="146" fillId="0" borderId="2" xfId="14" applyFont="1" applyFill="1" applyBorder="1" applyAlignment="1" applyProtection="1">
      <alignment horizontal="left" vertical="center"/>
      <protection locked="0"/>
    </xf>
    <xf numFmtId="0" fontId="258" fillId="0" borderId="10" xfId="14" applyFont="1" applyFill="1" applyBorder="1" applyAlignment="1" applyProtection="1">
      <alignment horizontal="left" vertical="center" wrapText="1"/>
      <protection locked="0"/>
    </xf>
    <xf numFmtId="0" fontId="257" fillId="0" borderId="2" xfId="14" applyBorder="1" applyAlignment="1" applyProtection="1">
      <alignment horizontal="left" vertical="center"/>
      <protection locked="0"/>
    </xf>
    <xf numFmtId="0" fontId="258" fillId="0" borderId="2" xfId="14" applyFont="1" applyFill="1" applyBorder="1" applyAlignment="1" applyProtection="1">
      <alignment horizontal="left" vertical="center" wrapText="1"/>
      <protection locked="0"/>
    </xf>
    <xf numFmtId="0" fontId="258"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7" fillId="5" borderId="0" xfId="0" applyFont="1" applyFill="1" applyAlignment="1" applyProtection="1">
      <alignment horizontal="left" vertical="center"/>
    </xf>
    <xf numFmtId="0" fontId="100" fillId="0" borderId="0" xfId="0" applyFont="1" applyFill="1" applyAlignment="1" applyProtection="1">
      <protection locked="0"/>
    </xf>
    <xf numFmtId="0" fontId="72" fillId="0" borderId="0" xfId="0" applyFont="1" applyFill="1" applyAlignment="1" applyProtection="1">
      <protection locked="0"/>
    </xf>
    <xf numFmtId="0" fontId="81" fillId="0" borderId="0" xfId="0" applyFont="1" applyFill="1" applyAlignment="1" applyProtection="1">
      <protection locked="0"/>
    </xf>
    <xf numFmtId="0" fontId="101" fillId="0" borderId="0" xfId="0" applyFont="1" applyFill="1" applyProtection="1">
      <alignment vertical="center"/>
      <protection locked="0"/>
    </xf>
    <xf numFmtId="0" fontId="80" fillId="0" borderId="0" xfId="0" applyFont="1" applyFill="1" applyAlignment="1" applyProtection="1">
      <protection locked="0"/>
    </xf>
    <xf numFmtId="0" fontId="101" fillId="0" borderId="0" xfId="0" applyFont="1" applyFill="1" applyAlignment="1" applyProtection="1">
      <protection locked="0"/>
    </xf>
    <xf numFmtId="0" fontId="81" fillId="0" borderId="0" xfId="0" applyFont="1" applyFill="1" applyAlignment="1" applyProtection="1">
      <alignment vertical="center" wrapText="1"/>
      <protection locked="0"/>
    </xf>
    <xf numFmtId="0" fontId="80" fillId="0" borderId="0" xfId="0" applyFont="1" applyFill="1" applyAlignment="1" applyProtection="1">
      <alignment vertical="center" wrapText="1"/>
      <protection locked="0"/>
    </xf>
    <xf numFmtId="0" fontId="77" fillId="0" borderId="0" xfId="0" applyFont="1" applyFill="1" applyAlignment="1" applyProtection="1">
      <alignment horizontal="center"/>
      <protection locked="0"/>
    </xf>
    <xf numFmtId="185" fontId="77" fillId="0" borderId="0" xfId="0" applyNumberFormat="1" applyFont="1" applyFill="1" applyAlignment="1" applyProtection="1">
      <alignment horizontal="center"/>
      <protection locked="0"/>
    </xf>
    <xf numFmtId="0" fontId="101" fillId="0" borderId="0" xfId="0" applyFont="1" applyFill="1" applyAlignment="1" applyProtection="1">
      <alignment vertical="center" wrapText="1"/>
      <protection locked="0"/>
    </xf>
    <xf numFmtId="0" fontId="81" fillId="5" borderId="0" xfId="0" applyFont="1" applyFill="1" applyAlignment="1" applyProtection="1"/>
    <xf numFmtId="0" fontId="101" fillId="5" borderId="0" xfId="0" applyFont="1" applyFill="1" applyAlignment="1" applyProtection="1"/>
    <xf numFmtId="182" fontId="102" fillId="5" borderId="14" xfId="0" applyNumberFormat="1" applyFont="1" applyFill="1" applyBorder="1" applyAlignment="1" applyProtection="1">
      <alignment vertical="center"/>
      <protection locked="0"/>
    </xf>
    <xf numFmtId="0" fontId="102" fillId="5" borderId="14"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protection locked="0"/>
    </xf>
    <xf numFmtId="0" fontId="102" fillId="5" borderId="19" xfId="0" applyFont="1" applyFill="1" applyBorder="1" applyAlignment="1" applyProtection="1">
      <alignment horizontal="center" vertical="center"/>
      <protection locked="0"/>
    </xf>
    <xf numFmtId="0" fontId="85" fillId="13" borderId="0" xfId="0"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9" fontId="85" fillId="13" borderId="0" xfId="0" applyNumberFormat="1" applyFont="1" applyFill="1" applyAlignment="1" applyProtection="1">
      <alignment horizontal="center" vertical="center"/>
      <protection locked="0"/>
    </xf>
    <xf numFmtId="188" fontId="85" fillId="13" borderId="0" xfId="0" applyNumberFormat="1" applyFont="1" applyFill="1" applyAlignment="1" applyProtection="1">
      <alignment horizontal="center" vertical="center"/>
      <protection locked="0"/>
    </xf>
    <xf numFmtId="188" fontId="106" fillId="13" borderId="0" xfId="0" applyNumberFormat="1" applyFont="1" applyFill="1" applyAlignment="1" applyProtection="1">
      <alignment horizontal="center" vertical="center"/>
      <protection locked="0"/>
    </xf>
    <xf numFmtId="0" fontId="110"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103" fillId="13" borderId="0" xfId="0" applyFont="1" applyFill="1" applyBorder="1" applyAlignment="1" applyProtection="1">
      <alignment vertical="center"/>
      <protection locked="0"/>
    </xf>
    <xf numFmtId="188" fontId="102" fillId="13" borderId="0" xfId="0" applyNumberFormat="1" applyFont="1" applyFill="1" applyBorder="1" applyAlignment="1" applyProtection="1">
      <alignment horizontal="center" vertical="center"/>
      <protection locked="0"/>
    </xf>
    <xf numFmtId="0" fontId="59" fillId="13" borderId="0" xfId="0" applyFont="1" applyFill="1" applyAlignment="1" applyProtection="1">
      <alignment horizontal="center" vertical="center"/>
      <protection locked="0"/>
    </xf>
    <xf numFmtId="14" fontId="85" fillId="13" borderId="0" xfId="0" applyNumberFormat="1" applyFont="1" applyFill="1" applyAlignment="1" applyProtection="1">
      <alignment horizontal="center" vertical="center"/>
      <protection locked="0"/>
    </xf>
    <xf numFmtId="0" fontId="87" fillId="13" borderId="0" xfId="0" applyFont="1" applyFill="1" applyAlignment="1" applyProtection="1">
      <protection locked="0"/>
    </xf>
    <xf numFmtId="0" fontId="72" fillId="13" borderId="0" xfId="0" applyNumberFormat="1" applyFont="1" applyFill="1" applyBorder="1" applyAlignment="1" applyProtection="1">
      <alignment horizontal="center" vertical="center" wrapText="1"/>
      <protection locked="0"/>
    </xf>
    <xf numFmtId="0" fontId="106" fillId="13" borderId="0"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8" fillId="5" borderId="0" xfId="3" applyFont="1" applyFill="1" applyBorder="1" applyAlignment="1" applyProtection="1">
      <alignment vertical="center" wrapText="1"/>
      <protection locked="0"/>
    </xf>
    <xf numFmtId="0" fontId="59"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5" fillId="5" borderId="0" xfId="3" applyFont="1" applyFill="1" applyBorder="1" applyAlignment="1" applyProtection="1">
      <alignment vertical="center"/>
      <protection locked="0"/>
    </xf>
    <xf numFmtId="0" fontId="59"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9" fillId="5" borderId="0" xfId="3" applyFont="1" applyFill="1" applyAlignment="1" applyProtection="1">
      <alignment vertical="center" wrapText="1"/>
      <protection locked="0"/>
    </xf>
    <xf numFmtId="0" fontId="85"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vertical="center" wrapText="1"/>
      <protection locked="0"/>
    </xf>
    <xf numFmtId="0" fontId="166" fillId="5" borderId="0" xfId="3" applyFont="1" applyFill="1" applyBorder="1" applyAlignment="1" applyProtection="1">
      <alignment vertical="center"/>
      <protection locked="0"/>
    </xf>
    <xf numFmtId="0" fontId="41" fillId="5" borderId="0" xfId="3" applyFont="1" applyFill="1" applyBorder="1" applyAlignment="1" applyProtection="1">
      <alignment vertical="center"/>
      <protection locked="0"/>
    </xf>
    <xf numFmtId="0" fontId="203" fillId="8" borderId="0" xfId="0" applyFont="1" applyFill="1" applyProtection="1">
      <alignment vertical="center"/>
    </xf>
    <xf numFmtId="0" fontId="154" fillId="8" borderId="0" xfId="0" applyFont="1" applyFill="1" applyProtection="1">
      <alignment vertical="center"/>
    </xf>
    <xf numFmtId="0" fontId="146" fillId="5" borderId="0" xfId="0" applyFont="1" applyFill="1" applyProtection="1">
      <alignment vertical="center"/>
      <protection locked="0"/>
    </xf>
    <xf numFmtId="0" fontId="146" fillId="0" borderId="0" xfId="0" applyFont="1" applyProtection="1">
      <alignment vertical="center"/>
      <protection locked="0"/>
    </xf>
    <xf numFmtId="0" fontId="146" fillId="0" borderId="0" xfId="0" applyFont="1">
      <alignment vertical="center"/>
    </xf>
    <xf numFmtId="0" fontId="146" fillId="13" borderId="0" xfId="0" applyFont="1" applyFill="1" applyProtection="1">
      <alignment vertical="center"/>
      <protection locked="0"/>
    </xf>
    <xf numFmtId="0" fontId="146" fillId="5" borderId="2" xfId="0" applyFont="1" applyFill="1" applyBorder="1" applyAlignment="1" applyProtection="1">
      <alignment horizontal="center" vertical="center"/>
    </xf>
    <xf numFmtId="49" fontId="273" fillId="5" borderId="59" xfId="0" applyNumberFormat="1" applyFont="1" applyFill="1" applyBorder="1" applyAlignment="1" applyProtection="1"/>
    <xf numFmtId="0" fontId="274" fillId="5" borderId="2" xfId="0" applyFont="1" applyFill="1" applyBorder="1" applyProtection="1">
      <alignment vertical="center"/>
    </xf>
    <xf numFmtId="0" fontId="274" fillId="13" borderId="0" xfId="0" applyFont="1" applyFill="1" applyProtection="1">
      <alignment vertical="center"/>
      <protection locked="0"/>
    </xf>
    <xf numFmtId="0" fontId="274" fillId="5" borderId="2" xfId="0" applyFont="1" applyFill="1" applyBorder="1" applyAlignment="1" applyProtection="1">
      <alignment horizontal="left" vertical="center" wrapText="1"/>
    </xf>
    <xf numFmtId="0" fontId="146" fillId="2" borderId="10" xfId="0" applyFont="1" applyFill="1" applyBorder="1" applyAlignment="1" applyProtection="1">
      <alignment horizontal="left" vertical="center"/>
      <protection locked="0"/>
    </xf>
    <xf numFmtId="0" fontId="146" fillId="2" borderId="2" xfId="0" applyFont="1" applyFill="1" applyBorder="1" applyAlignment="1" applyProtection="1">
      <alignment horizontal="left" vertical="center"/>
      <protection locked="0"/>
    </xf>
    <xf numFmtId="0" fontId="146" fillId="5" borderId="2" xfId="0" applyFont="1" applyFill="1" applyBorder="1" applyAlignment="1" applyProtection="1">
      <alignment horizontal="right" vertical="center"/>
    </xf>
    <xf numFmtId="49" fontId="280" fillId="5" borderId="0" xfId="0" applyNumberFormat="1" applyFont="1" applyFill="1" applyBorder="1" applyAlignment="1" applyProtection="1">
      <alignment horizontal="left" vertical="center"/>
      <protection locked="0"/>
    </xf>
    <xf numFmtId="178" fontId="102" fillId="5" borderId="19" xfId="0" applyNumberFormat="1" applyFont="1" applyFill="1" applyBorder="1" applyAlignment="1" applyProtection="1">
      <protection locked="0"/>
    </xf>
    <xf numFmtId="178" fontId="98" fillId="5" borderId="0" xfId="0" applyNumberFormat="1" applyFont="1" applyFill="1" applyBorder="1" applyAlignment="1" applyProtection="1">
      <protection locked="0"/>
    </xf>
    <xf numFmtId="0" fontId="117" fillId="5" borderId="0" xfId="0" applyFont="1" applyFill="1" applyAlignment="1" applyProtection="1">
      <alignment vertical="center"/>
      <protection locked="0"/>
    </xf>
    <xf numFmtId="0" fontId="72" fillId="13" borderId="0" xfId="0" applyFont="1" applyFill="1" applyAlignment="1" applyProtection="1">
      <protection locked="0"/>
    </xf>
    <xf numFmtId="0" fontId="107" fillId="13" borderId="0" xfId="0" applyFont="1" applyFill="1" applyAlignment="1" applyProtection="1">
      <alignment vertical="center"/>
      <protection locked="0"/>
    </xf>
    <xf numFmtId="49" fontId="98" fillId="13" borderId="0" xfId="0" applyNumberFormat="1" applyFont="1" applyFill="1" applyBorder="1" applyAlignment="1" applyProtection="1">
      <alignment horizontal="center"/>
      <protection locked="0"/>
    </xf>
    <xf numFmtId="0" fontId="107" fillId="13" borderId="0" xfId="0" applyFont="1" applyFill="1" applyBorder="1" applyAlignment="1" applyProtection="1">
      <alignment vertical="center"/>
      <protection locked="0"/>
    </xf>
    <xf numFmtId="49" fontId="98" fillId="13" borderId="0" xfId="0" applyNumberFormat="1" applyFont="1" applyFill="1" applyBorder="1" applyAlignment="1" applyProtection="1">
      <protection locked="0"/>
    </xf>
    <xf numFmtId="0" fontId="222" fillId="5" borderId="7" xfId="2" applyFont="1" applyFill="1" applyBorder="1" applyAlignment="1" applyProtection="1">
      <alignment horizontal="left" vertical="center"/>
    </xf>
    <xf numFmtId="0" fontId="98" fillId="13" borderId="0" xfId="2" applyFont="1" applyFill="1" applyBorder="1" applyAlignment="1" applyProtection="1">
      <alignment vertical="center"/>
      <protection locked="0"/>
    </xf>
    <xf numFmtId="0" fontId="87" fillId="0" borderId="0" xfId="0" applyFont="1" applyFill="1" applyAlignment="1" applyProtection="1">
      <alignment horizontal="left" vertical="center"/>
      <protection locked="0"/>
    </xf>
    <xf numFmtId="0" fontId="87" fillId="0" borderId="0" xfId="0" applyFont="1" applyFill="1" applyAlignment="1" applyProtection="1">
      <alignment vertical="center"/>
      <protection locked="0"/>
    </xf>
    <xf numFmtId="178" fontId="87" fillId="0" borderId="2" xfId="2" applyNumberFormat="1" applyFont="1" applyFill="1" applyBorder="1" applyAlignment="1" applyProtection="1">
      <alignment horizontal="center" vertical="center"/>
      <protection locked="0"/>
    </xf>
    <xf numFmtId="0" fontId="87" fillId="0" borderId="2" xfId="2" applyFont="1" applyFill="1" applyBorder="1" applyAlignment="1" applyProtection="1">
      <alignment horizontal="center" vertical="center"/>
      <protection locked="0"/>
    </xf>
    <xf numFmtId="178" fontId="114" fillId="0" borderId="2" xfId="2" applyNumberFormat="1"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10" fontId="86" fillId="17" borderId="5" xfId="0" applyNumberFormat="1" applyFont="1" applyFill="1" applyBorder="1" applyAlignment="1" applyProtection="1">
      <alignment horizontal="center" vertical="center" wrapText="1"/>
      <protection locked="0"/>
    </xf>
    <xf numFmtId="10" fontId="76" fillId="5" borderId="2" xfId="0" applyNumberFormat="1" applyFont="1" applyFill="1" applyBorder="1" applyAlignment="1" applyProtection="1">
      <alignment horizontal="center" vertical="center"/>
    </xf>
    <xf numFmtId="184" fontId="50" fillId="0" borderId="2" xfId="0" applyNumberFormat="1" applyFont="1" applyFill="1" applyBorder="1" applyAlignment="1" applyProtection="1">
      <alignment horizontal="center" vertical="center" shrinkToFit="1"/>
      <protection locked="0"/>
    </xf>
    <xf numFmtId="0" fontId="158" fillId="5" borderId="2" xfId="0" applyFont="1" applyFill="1" applyBorder="1" applyAlignment="1" applyProtection="1">
      <alignment horizontal="center" vertical="center"/>
    </xf>
    <xf numFmtId="0" fontId="158" fillId="2"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281" fillId="0" borderId="2" xfId="0" applyFont="1" applyFill="1" applyBorder="1" applyAlignment="1">
      <alignment horizontal="center" vertical="center"/>
    </xf>
    <xf numFmtId="179" fontId="281" fillId="0" borderId="2" xfId="0" applyNumberFormat="1" applyFont="1" applyFill="1" applyBorder="1" applyAlignment="1">
      <alignment horizontal="center" vertical="center"/>
    </xf>
    <xf numFmtId="0" fontId="147" fillId="0" borderId="2" xfId="0" applyFont="1" applyFill="1" applyBorder="1" applyAlignment="1">
      <alignment horizontal="center" vertical="center"/>
    </xf>
    <xf numFmtId="178" fontId="281" fillId="0" borderId="2" xfId="0" applyNumberFormat="1" applyFont="1" applyFill="1" applyBorder="1" applyAlignment="1">
      <alignment horizontal="center" vertical="center" wrapText="1"/>
    </xf>
    <xf numFmtId="0" fontId="283" fillId="0" borderId="2" xfId="0" applyFont="1" applyFill="1" applyBorder="1" applyAlignment="1">
      <alignment horizontal="center" vertical="center"/>
    </xf>
    <xf numFmtId="179" fontId="284" fillId="0" borderId="2" xfId="0" applyNumberFormat="1" applyFont="1" applyFill="1" applyBorder="1" applyAlignment="1">
      <alignment horizontal="center" vertical="center"/>
    </xf>
    <xf numFmtId="0" fontId="0" fillId="0" borderId="2" xfId="0" applyFill="1" applyBorder="1" applyAlignment="1">
      <alignment horizontal="center" vertical="center"/>
    </xf>
    <xf numFmtId="178" fontId="284" fillId="0" borderId="2" xfId="0" applyNumberFormat="1" applyFont="1" applyFill="1" applyBorder="1" applyAlignment="1">
      <alignment horizontal="center" vertical="center"/>
    </xf>
    <xf numFmtId="0" fontId="284" fillId="0" borderId="2" xfId="0" applyFont="1" applyFill="1" applyBorder="1" applyAlignment="1">
      <alignment horizontal="center" vertical="center"/>
    </xf>
    <xf numFmtId="0" fontId="0" fillId="0" borderId="2" xfId="0" applyFill="1" applyBorder="1" applyAlignment="1">
      <alignment horizontal="center" vertical="center" wrapText="1"/>
    </xf>
    <xf numFmtId="0" fontId="0" fillId="0" borderId="0" xfId="0" applyAlignment="1">
      <alignment horizontal="center" vertical="center"/>
    </xf>
    <xf numFmtId="178" fontId="0" fillId="0" borderId="2" xfId="0" applyNumberFormat="1" applyBorder="1" applyAlignment="1">
      <alignment horizontal="center" vertical="center"/>
    </xf>
    <xf numFmtId="0" fontId="0" fillId="0" borderId="2" xfId="0" applyBorder="1" applyAlignment="1">
      <alignment horizontal="center" vertical="center"/>
    </xf>
    <xf numFmtId="0" fontId="285" fillId="0" borderId="0" xfId="16" applyFont="1" applyFill="1" applyBorder="1" applyAlignment="1">
      <alignment horizontal="center" vertical="center" wrapText="1"/>
    </xf>
    <xf numFmtId="0" fontId="285" fillId="0" borderId="0" xfId="16" applyFont="1" applyAlignment="1">
      <alignment horizontal="center" vertical="center" wrapText="1"/>
    </xf>
    <xf numFmtId="0" fontId="285" fillId="22" borderId="10" xfId="16" applyFont="1" applyFill="1" applyBorder="1" applyAlignment="1">
      <alignment horizontal="center" vertical="center" wrapText="1"/>
    </xf>
    <xf numFmtId="180" fontId="285" fillId="23" borderId="10" xfId="16" applyNumberFormat="1" applyFont="1" applyFill="1" applyBorder="1" applyAlignment="1">
      <alignment horizontal="center" vertical="center" wrapText="1"/>
    </xf>
    <xf numFmtId="180" fontId="285" fillId="15" borderId="10" xfId="16" applyNumberFormat="1" applyFont="1" applyFill="1" applyBorder="1" applyAlignment="1">
      <alignment horizontal="center" vertical="center" wrapText="1"/>
    </xf>
    <xf numFmtId="180" fontId="285" fillId="22" borderId="10" xfId="16" applyNumberFormat="1" applyFont="1" applyFill="1" applyBorder="1" applyAlignment="1">
      <alignment horizontal="center" vertical="center" wrapText="1"/>
    </xf>
    <xf numFmtId="0" fontId="285" fillId="6" borderId="2" xfId="16" applyFont="1" applyFill="1" applyBorder="1" applyAlignment="1">
      <alignment horizontal="center" vertical="center" wrapText="1"/>
    </xf>
    <xf numFmtId="177" fontId="286" fillId="20" borderId="2" xfId="16" applyNumberFormat="1" applyFont="1" applyFill="1" applyBorder="1" applyAlignment="1">
      <alignment horizontal="center" vertical="center" wrapText="1"/>
    </xf>
    <xf numFmtId="177" fontId="286" fillId="21" borderId="2" xfId="16" applyNumberFormat="1" applyFont="1" applyFill="1" applyBorder="1" applyAlignment="1">
      <alignment horizontal="center" vertical="center" wrapText="1"/>
    </xf>
    <xf numFmtId="180" fontId="286" fillId="0" borderId="2" xfId="16" applyNumberFormat="1" applyFont="1" applyBorder="1" applyAlignment="1">
      <alignment horizontal="center" vertical="center" wrapText="1"/>
    </xf>
    <xf numFmtId="0" fontId="286" fillId="0" borderId="2" xfId="16" applyFont="1" applyBorder="1" applyAlignment="1">
      <alignment horizontal="center" vertical="center" wrapText="1"/>
    </xf>
    <xf numFmtId="0" fontId="286" fillId="0" borderId="0" xfId="16" applyFont="1" applyFill="1" applyBorder="1" applyAlignment="1">
      <alignment horizontal="center" vertical="center" wrapText="1"/>
    </xf>
    <xf numFmtId="0" fontId="286" fillId="0" borderId="0" xfId="16" applyFont="1" applyAlignment="1">
      <alignment horizontal="center" vertical="center" wrapText="1"/>
    </xf>
    <xf numFmtId="177" fontId="286" fillId="0" borderId="2" xfId="16" applyNumberFormat="1" applyFont="1" applyBorder="1" applyAlignment="1">
      <alignment horizontal="center" vertical="center" wrapText="1"/>
    </xf>
    <xf numFmtId="0" fontId="286" fillId="0" borderId="0" xfId="16" applyFont="1" applyFill="1" applyAlignment="1">
      <alignment horizontal="center" vertical="center" wrapText="1"/>
    </xf>
    <xf numFmtId="0" fontId="1" fillId="0" borderId="0" xfId="16">
      <alignment vertical="center"/>
    </xf>
    <xf numFmtId="0" fontId="87" fillId="0" borderId="0" xfId="17"/>
    <xf numFmtId="0" fontId="87" fillId="0" borderId="0" xfId="17" applyAlignment="1">
      <alignment wrapText="1"/>
    </xf>
    <xf numFmtId="0" fontId="87" fillId="0" borderId="0" xfId="18" applyAlignment="1">
      <alignment horizontal="center" vertical="center" wrapText="1"/>
    </xf>
    <xf numFmtId="0" fontId="87" fillId="0" borderId="0" xfId="17" applyFont="1" applyAlignment="1">
      <alignment wrapText="1"/>
    </xf>
    <xf numFmtId="0" fontId="82" fillId="0" borderId="59" xfId="0" applyNumberFormat="1" applyFont="1" applyFill="1" applyBorder="1" applyAlignment="1" applyProtection="1">
      <alignment horizontal="center" vertical="center" wrapText="1"/>
      <protection locked="0"/>
    </xf>
    <xf numFmtId="49" fontId="263"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49" fontId="287" fillId="0" borderId="12" xfId="0" applyNumberFormat="1" applyFont="1" applyFill="1" applyBorder="1" applyAlignment="1" applyProtection="1">
      <alignment horizontal="center" vertical="center" wrapText="1"/>
      <protection locked="0"/>
    </xf>
    <xf numFmtId="49" fontId="263" fillId="0" borderId="12" xfId="0" applyNumberFormat="1" applyFont="1" applyBorder="1" applyAlignment="1" applyProtection="1">
      <alignment horizontal="center" vertical="center" wrapText="1"/>
      <protection locked="0"/>
    </xf>
    <xf numFmtId="0" fontId="287" fillId="0" borderId="12" xfId="0" applyFont="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wrapText="1"/>
      <protection locked="0"/>
    </xf>
    <xf numFmtId="0" fontId="128" fillId="0" borderId="2" xfId="19" applyFont="1" applyBorder="1" applyAlignment="1">
      <alignment horizontal="center" vertical="center" wrapText="1"/>
    </xf>
    <xf numFmtId="0" fontId="128" fillId="0" borderId="0" xfId="19" applyFont="1" applyAlignment="1">
      <alignment horizontal="center" vertical="center" wrapText="1"/>
    </xf>
    <xf numFmtId="0" fontId="146" fillId="0" borderId="0" xfId="1">
      <alignment vertical="center"/>
    </xf>
    <xf numFmtId="0" fontId="146" fillId="0" borderId="0" xfId="1" applyFont="1">
      <alignment vertical="center"/>
    </xf>
    <xf numFmtId="0" fontId="82" fillId="0" borderId="45" xfId="0" applyFont="1" applyFill="1" applyBorder="1" applyAlignment="1" applyProtection="1">
      <alignment horizontal="center" vertical="center" wrapText="1"/>
      <protection locked="0"/>
    </xf>
    <xf numFmtId="0" fontId="145" fillId="0" borderId="64" xfId="0" applyNumberFormat="1" applyFont="1" applyFill="1" applyBorder="1" applyAlignment="1" applyProtection="1">
      <alignment horizontal="center" vertical="center" wrapText="1"/>
      <protection locked="0"/>
    </xf>
    <xf numFmtId="0" fontId="159" fillId="0" borderId="51" xfId="2" applyNumberFormat="1" applyFont="1" applyFill="1" applyBorder="1" applyAlignment="1" applyProtection="1">
      <alignment horizontal="center" vertical="center"/>
      <protection locked="0"/>
    </xf>
    <xf numFmtId="0" fontId="148" fillId="0" borderId="2" xfId="0" applyFont="1" applyBorder="1" applyAlignment="1">
      <alignment horizontal="center" vertical="center"/>
    </xf>
    <xf numFmtId="0" fontId="284" fillId="0" borderId="2" xfId="0" applyFont="1" applyBorder="1" applyAlignment="1">
      <alignment horizontal="center" vertical="center"/>
    </xf>
    <xf numFmtId="0" fontId="147" fillId="0" borderId="0" xfId="0" applyFont="1">
      <alignment vertical="center"/>
    </xf>
    <xf numFmtId="178" fontId="147" fillId="0" borderId="0" xfId="0" applyNumberFormat="1" applyFont="1">
      <alignment vertical="center"/>
    </xf>
    <xf numFmtId="0" fontId="150" fillId="0" borderId="2" xfId="0" applyFont="1" applyBorder="1" applyAlignment="1">
      <alignment horizontal="center" vertical="center"/>
    </xf>
    <xf numFmtId="0" fontId="82" fillId="0" borderId="50" xfId="0" applyNumberFormat="1" applyFont="1" applyFill="1" applyBorder="1" applyAlignment="1" applyProtection="1">
      <alignment horizontal="center" vertical="center" wrapText="1"/>
      <protection locked="0"/>
    </xf>
    <xf numFmtId="0" fontId="87" fillId="24" borderId="2" xfId="2" applyFont="1" applyFill="1" applyBorder="1" applyAlignment="1" applyProtection="1">
      <alignment horizontal="center" vertical="center"/>
      <protection locked="0"/>
    </xf>
    <xf numFmtId="0" fontId="150" fillId="0" borderId="2" xfId="0" applyFont="1" applyBorder="1" applyAlignment="1">
      <alignment horizontal="center" vertical="center" wrapText="1"/>
    </xf>
    <xf numFmtId="0" fontId="145" fillId="5" borderId="0" xfId="0" applyFont="1" applyFill="1" applyBorder="1" applyAlignment="1" applyProtection="1">
      <alignment horizontal="center" vertical="center"/>
      <protection locked="0"/>
    </xf>
    <xf numFmtId="0" fontId="186" fillId="0" borderId="0" xfId="7" applyFont="1" applyAlignment="1" applyProtection="1">
      <alignment horizontal="left" vertical="top"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6" fillId="0" borderId="2" xfId="7" applyFont="1" applyBorder="1" applyAlignment="1">
      <alignment horizontal="left" vertical="center"/>
    </xf>
    <xf numFmtId="0" fontId="276" fillId="0" borderId="5" xfId="7" applyFont="1" applyBorder="1" applyAlignment="1">
      <alignment horizontal="left" vertical="center"/>
    </xf>
    <xf numFmtId="0" fontId="276" fillId="0" borderId="154" xfId="7" applyFont="1" applyBorder="1" applyAlignment="1">
      <alignment horizontal="left" vertical="center"/>
    </xf>
    <xf numFmtId="0" fontId="277" fillId="6" borderId="5" xfId="7" applyFont="1" applyFill="1" applyBorder="1" applyAlignment="1">
      <alignment horizontal="left" vertical="center"/>
    </xf>
    <xf numFmtId="0" fontId="277" fillId="6" borderId="8" xfId="7" applyFont="1" applyFill="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18" borderId="10" xfId="0" applyFont="1" applyFill="1" applyBorder="1" applyAlignment="1" applyProtection="1">
      <alignment horizontal="center" vertical="center" wrapText="1"/>
    </xf>
    <xf numFmtId="0" fontId="79" fillId="18"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180" fontId="285" fillId="0" borderId="5" xfId="16" applyNumberFormat="1" applyFont="1" applyFill="1" applyBorder="1" applyAlignment="1">
      <alignment horizontal="center" vertical="center" wrapText="1"/>
    </xf>
    <xf numFmtId="180" fontId="285" fillId="0" borderId="8" xfId="16" applyNumberFormat="1" applyFont="1" applyFill="1" applyBorder="1" applyAlignment="1">
      <alignment horizontal="center" vertical="center" wrapText="1"/>
    </xf>
    <xf numFmtId="180" fontId="285" fillId="0" borderId="9" xfId="16" applyNumberFormat="1" applyFont="1" applyFill="1" applyBorder="1" applyAlignment="1">
      <alignment horizontal="center" vertical="center" wrapText="1"/>
    </xf>
    <xf numFmtId="0" fontId="281" fillId="0" borderId="2" xfId="0" applyFont="1" applyFill="1" applyBorder="1" applyAlignment="1">
      <alignment horizontal="center" vertical="center"/>
    </xf>
    <xf numFmtId="0" fontId="281" fillId="0" borderId="10" xfId="0" applyFont="1" applyFill="1" applyBorder="1" applyAlignment="1">
      <alignment horizontal="center" vertical="center"/>
    </xf>
    <xf numFmtId="0" fontId="281" fillId="0" borderId="3" xfId="0" applyFont="1" applyFill="1" applyBorder="1" applyAlignment="1">
      <alignment horizontal="center" vertical="center"/>
    </xf>
    <xf numFmtId="0" fontId="281" fillId="0" borderId="21" xfId="0" applyFont="1" applyFill="1" applyBorder="1" applyAlignment="1">
      <alignment horizontal="center" vertical="center"/>
    </xf>
    <xf numFmtId="0" fontId="285" fillId="6" borderId="10" xfId="16" applyFont="1" applyFill="1" applyBorder="1" applyAlignment="1">
      <alignment horizontal="center" vertical="center" wrapText="1"/>
    </xf>
    <xf numFmtId="0" fontId="285" fillId="6" borderId="3" xfId="16" applyFont="1" applyFill="1" applyBorder="1" applyAlignment="1">
      <alignment horizontal="center" vertical="center" wrapText="1"/>
    </xf>
    <xf numFmtId="177" fontId="285" fillId="20" borderId="10" xfId="16" applyNumberFormat="1" applyFont="1" applyFill="1" applyBorder="1" applyAlignment="1">
      <alignment horizontal="center" vertical="center" wrapText="1"/>
    </xf>
    <xf numFmtId="177" fontId="285" fillId="20" borderId="3" xfId="16" applyNumberFormat="1" applyFont="1" applyFill="1" applyBorder="1" applyAlignment="1">
      <alignment horizontal="center" vertical="center" wrapText="1"/>
    </xf>
    <xf numFmtId="177" fontId="285" fillId="21" borderId="10" xfId="16" applyNumberFormat="1" applyFont="1" applyFill="1" applyBorder="1" applyAlignment="1">
      <alignment horizontal="center" vertical="center" wrapText="1"/>
    </xf>
    <xf numFmtId="177" fontId="285" fillId="21" borderId="3" xfId="16" applyNumberFormat="1" applyFont="1" applyFill="1" applyBorder="1" applyAlignment="1">
      <alignment horizontal="center" vertical="center" wrapText="1"/>
    </xf>
    <xf numFmtId="0" fontId="285" fillId="0" borderId="10" xfId="16" applyFont="1" applyBorder="1" applyAlignment="1">
      <alignment horizontal="center" vertical="center" wrapText="1"/>
    </xf>
    <xf numFmtId="0" fontId="285" fillId="0" borderId="3" xfId="16" applyFont="1" applyBorder="1" applyAlignment="1">
      <alignment horizontal="center" vertical="center" wrapText="1"/>
    </xf>
    <xf numFmtId="0" fontId="285" fillId="16" borderId="10" xfId="16" applyFont="1" applyFill="1" applyBorder="1" applyAlignment="1">
      <alignment horizontal="center" vertical="center" wrapText="1"/>
    </xf>
    <xf numFmtId="0" fontId="285" fillId="16" borderId="3" xfId="16" applyFont="1" applyFill="1" applyBorder="1" applyAlignment="1">
      <alignment horizontal="center" vertical="center" wrapText="1"/>
    </xf>
    <xf numFmtId="0" fontId="63" fillId="5" borderId="104" xfId="0" applyFont="1" applyFill="1" applyBorder="1" applyAlignment="1" applyProtection="1">
      <alignment horizontal="left" vertical="center"/>
    </xf>
    <xf numFmtId="0" fontId="63" fillId="5" borderId="100" xfId="0" applyFont="1" applyFill="1" applyBorder="1" applyAlignment="1" applyProtection="1">
      <alignment horizontal="lef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17"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left" vertical="center"/>
    </xf>
    <xf numFmtId="0" fontId="158" fillId="0" borderId="0" xfId="10" applyFont="1" applyAlignment="1">
      <alignment horizontal="left" vertical="center"/>
    </xf>
    <xf numFmtId="0" fontId="235" fillId="0" borderId="0" xfId="10" applyFont="1" applyAlignment="1">
      <alignment horizontal="left" vertical="center"/>
    </xf>
    <xf numFmtId="0" fontId="237" fillId="12" borderId="129" xfId="10" applyFont="1" applyFill="1" applyBorder="1" applyAlignment="1" applyProtection="1">
      <alignment horizontal="left" vertical="center" wrapText="1"/>
    </xf>
    <xf numFmtId="0" fontId="237" fillId="12" borderId="123" xfId="10" applyFont="1" applyFill="1" applyBorder="1" applyAlignment="1" applyProtection="1">
      <alignment horizontal="left" vertical="center" wrapText="1"/>
    </xf>
    <xf numFmtId="0" fontId="237" fillId="12" borderId="125" xfId="10" applyFont="1" applyFill="1" applyBorder="1" applyAlignment="1" applyProtection="1">
      <alignment horizontal="left" vertical="center" wrapText="1"/>
    </xf>
    <xf numFmtId="0" fontId="153" fillId="12" borderId="129" xfId="10" applyFont="1" applyFill="1" applyBorder="1" applyAlignment="1" applyProtection="1">
      <alignment horizontal="left" vertical="center" wrapText="1"/>
    </xf>
    <xf numFmtId="0" fontId="153" fillId="12" borderId="123" xfId="10" applyFont="1" applyFill="1" applyBorder="1" applyAlignment="1" applyProtection="1">
      <alignment horizontal="left" vertical="center" wrapText="1"/>
    </xf>
    <xf numFmtId="0" fontId="153" fillId="12" borderId="125" xfId="10" applyFont="1" applyFill="1" applyBorder="1" applyAlignment="1" applyProtection="1">
      <alignment horizontal="left" vertical="center" wrapText="1"/>
    </xf>
    <xf numFmtId="0" fontId="237" fillId="12" borderId="119" xfId="10" applyFont="1" applyFill="1" applyBorder="1" applyAlignment="1" applyProtection="1">
      <alignment horizontal="left" vertical="center" wrapText="1"/>
    </xf>
    <xf numFmtId="0" fontId="237" fillId="12" borderId="152" xfId="10" applyFont="1" applyFill="1" applyBorder="1" applyAlignment="1" applyProtection="1">
      <alignment horizontal="left"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84" fillId="17"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263" fillId="0" borderId="64" xfId="0" applyFont="1" applyFill="1" applyBorder="1" applyAlignment="1" applyProtection="1">
      <alignment horizontal="center" vertical="center" wrapText="1"/>
      <protection locked="0"/>
    </xf>
    <xf numFmtId="0" fontId="263" fillId="0" borderId="16" xfId="0" applyFont="1" applyFill="1" applyBorder="1" applyAlignment="1" applyProtection="1">
      <alignment horizontal="center" vertical="center" wrapText="1"/>
      <protection locked="0"/>
    </xf>
    <xf numFmtId="0" fontId="263" fillId="0" borderId="60" xfId="0" applyFont="1" applyFill="1" applyBorder="1" applyAlignment="1" applyProtection="1">
      <alignment horizontal="center" vertical="center" wrapText="1"/>
      <protection locked="0"/>
    </xf>
    <xf numFmtId="0" fontId="263" fillId="0" borderId="48"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87" fillId="0" borderId="0" xfId="17"/>
    <xf numFmtId="0" fontId="285" fillId="0" borderId="0" xfId="16" applyFont="1" applyAlignment="1">
      <alignment horizontal="center" vertical="center" wrapText="1"/>
    </xf>
    <xf numFmtId="0" fontId="286" fillId="0" borderId="2" xfId="16" applyFont="1" applyBorder="1" applyAlignment="1">
      <alignment horizontal="center" vertical="center" wrapText="1"/>
    </xf>
    <xf numFmtId="0" fontId="285" fillId="0" borderId="18" xfId="16" applyFont="1" applyBorder="1" applyAlignment="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211" fillId="5" borderId="13" xfId="0" applyFont="1" applyFill="1" applyBorder="1" applyAlignment="1" applyProtection="1">
      <alignment horizontal="left" vertical="center" wrapText="1"/>
    </xf>
    <xf numFmtId="0" fontId="211" fillId="5" borderId="0" xfId="0" applyFont="1" applyFill="1" applyAlignment="1" applyProtection="1">
      <alignment horizontal="left" vertical="center" wrapText="1"/>
    </xf>
    <xf numFmtId="0" fontId="216" fillId="5" borderId="153" xfId="0" applyFont="1" applyFill="1" applyBorder="1" applyAlignment="1" applyProtection="1">
      <alignment horizontal="center" vertical="center"/>
    </xf>
    <xf numFmtId="10" fontId="83" fillId="5" borderId="2" xfId="0" applyNumberFormat="1" applyFont="1" applyFill="1" applyBorder="1" applyAlignment="1" applyProtection="1">
      <alignment horizontal="left" vertical="center" wrapText="1"/>
    </xf>
    <xf numFmtId="10" fontId="77" fillId="5" borderId="2" xfId="0" applyNumberFormat="1"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6" fillId="5" borderId="61" xfId="0" applyFont="1" applyFill="1" applyBorder="1" applyAlignment="1" applyProtection="1">
      <alignment horizontal="center" vertical="center"/>
    </xf>
  </cellXfs>
  <cellStyles count="27">
    <cellStyle name="百分比 2" xfId="11"/>
    <cellStyle name="常规" xfId="0" builtinId="0"/>
    <cellStyle name="常规 10" xfId="16"/>
    <cellStyle name="常规 10 2" xfId="20"/>
    <cellStyle name="常规 10 2 12" xfId="19"/>
    <cellStyle name="常规 11" xfId="17"/>
    <cellStyle name="常规 12" xfId="18"/>
    <cellStyle name="常规 16" xfId="1"/>
    <cellStyle name="常规 162" xfId="21"/>
    <cellStyle name="常规 2" xfId="2"/>
    <cellStyle name="常规 2 2" xfId="3"/>
    <cellStyle name="常规 2 2 2 2 3" xfId="12"/>
    <cellStyle name="常规 2 23" xfId="22"/>
    <cellStyle name="常规 3" xfId="4"/>
    <cellStyle name="常规 3 2" xfId="5"/>
    <cellStyle name="常规 4" xfId="6"/>
    <cellStyle name="常规 45" xfId="23"/>
    <cellStyle name="常规 48" xfId="24"/>
    <cellStyle name="常规 5" xfId="7"/>
    <cellStyle name="常规 5 2" xfId="25"/>
    <cellStyle name="常规 6" xfId="8"/>
    <cellStyle name="常规 6 2" xfId="10"/>
    <cellStyle name="常规 6 2 2" xfId="13"/>
    <cellStyle name="常规 7" xfId="9"/>
    <cellStyle name="常规 8" xfId="15"/>
    <cellStyle name="常规 9" xfId="14"/>
    <cellStyle name="千位分隔 2" xfId="26"/>
  </cellStyles>
  <dxfs count="25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12</xdr:col>
      <xdr:colOff>190500</xdr:colOff>
      <xdr:row>9</xdr:row>
      <xdr:rowOff>69573</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38100" y="0"/>
          <a:ext cx="10210800" cy="1612623"/>
        </a:xfrm>
        <a:prstGeom prst="rect">
          <a:avLst/>
        </a:prstGeom>
      </xdr:spPr>
    </xdr:pic>
    <xdr:clientData/>
  </xdr:twoCellAnchor>
  <xdr:twoCellAnchor editAs="oneCell">
    <xdr:from>
      <xdr:col>0</xdr:col>
      <xdr:colOff>0</xdr:colOff>
      <xdr:row>9</xdr:row>
      <xdr:rowOff>12700</xdr:rowOff>
    </xdr:from>
    <xdr:to>
      <xdr:col>12</xdr:col>
      <xdr:colOff>152400</xdr:colOff>
      <xdr:row>28</xdr:row>
      <xdr:rowOff>13570</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1555750"/>
          <a:ext cx="10210800" cy="3258420"/>
        </a:xfrm>
        <a:prstGeom prst="rect">
          <a:avLst/>
        </a:prstGeom>
      </xdr:spPr>
    </xdr:pic>
    <xdr:clientData/>
  </xdr:twoCellAnchor>
  <xdr:twoCellAnchor editAs="oneCell">
    <xdr:from>
      <xdr:col>0</xdr:col>
      <xdr:colOff>76200</xdr:colOff>
      <xdr:row>28</xdr:row>
      <xdr:rowOff>25400</xdr:rowOff>
    </xdr:from>
    <xdr:to>
      <xdr:col>6</xdr:col>
      <xdr:colOff>342900</xdr:colOff>
      <xdr:row>52</xdr:row>
      <xdr:rowOff>76200</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76200" y="4826000"/>
          <a:ext cx="5295900" cy="4165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382737</xdr:colOff>
      <xdr:row>43</xdr:row>
      <xdr:rowOff>127000</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9602937" cy="7499350"/>
        </a:xfrm>
        <a:prstGeom prst="rect">
          <a:avLst/>
        </a:prstGeom>
      </xdr:spPr>
    </xdr:pic>
    <xdr:clientData/>
  </xdr:twoCellAnchor>
  <xdr:twoCellAnchor editAs="oneCell">
    <xdr:from>
      <xdr:col>0</xdr:col>
      <xdr:colOff>0</xdr:colOff>
      <xdr:row>90</xdr:row>
      <xdr:rowOff>127000</xdr:rowOff>
    </xdr:from>
    <xdr:to>
      <xdr:col>11</xdr:col>
      <xdr:colOff>977900</xdr:colOff>
      <xdr:row>128</xdr:row>
      <xdr:rowOff>95922</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0" y="16357600"/>
          <a:ext cx="10198100" cy="6484022"/>
        </a:xfrm>
        <a:prstGeom prst="rect">
          <a:avLst/>
        </a:prstGeom>
      </xdr:spPr>
    </xdr:pic>
    <xdr:clientData/>
  </xdr:twoCellAnchor>
  <xdr:twoCellAnchor editAs="oneCell">
    <xdr:from>
      <xdr:col>0</xdr:col>
      <xdr:colOff>0</xdr:colOff>
      <xdr:row>51</xdr:row>
      <xdr:rowOff>127000</xdr:rowOff>
    </xdr:from>
    <xdr:to>
      <xdr:col>11</xdr:col>
      <xdr:colOff>803275</xdr:colOff>
      <xdr:row>71</xdr:row>
      <xdr:rowOff>73761</xdr:rowOff>
    </xdr:to>
    <xdr:pic>
      <xdr:nvPicPr>
        <xdr:cNvPr id="4" name="图片 3">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3"/>
        <a:stretch>
          <a:fillRect/>
        </a:stretch>
      </xdr:blipFill>
      <xdr:spPr>
        <a:xfrm>
          <a:off x="0" y="9671050"/>
          <a:ext cx="10023475" cy="3375761"/>
        </a:xfrm>
        <a:prstGeom prst="rect">
          <a:avLst/>
        </a:prstGeom>
      </xdr:spPr>
    </xdr:pic>
    <xdr:clientData/>
  </xdr:twoCellAnchor>
  <xdr:twoCellAnchor editAs="oneCell">
    <xdr:from>
      <xdr:col>0</xdr:col>
      <xdr:colOff>0</xdr:colOff>
      <xdr:row>70</xdr:row>
      <xdr:rowOff>169334</xdr:rowOff>
    </xdr:from>
    <xdr:to>
      <xdr:col>11</xdr:col>
      <xdr:colOff>900289</xdr:colOff>
      <xdr:row>79</xdr:row>
      <xdr:rowOff>52834</xdr:rowOff>
    </xdr:to>
    <xdr:pic>
      <xdr:nvPicPr>
        <xdr:cNvPr id="5" name="图片 4">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4"/>
        <a:stretch>
          <a:fillRect/>
        </a:stretch>
      </xdr:blipFill>
      <xdr:spPr>
        <a:xfrm>
          <a:off x="0" y="12970934"/>
          <a:ext cx="10120489" cy="1426550"/>
        </a:xfrm>
        <a:prstGeom prst="rect">
          <a:avLst/>
        </a:prstGeom>
      </xdr:spPr>
    </xdr:pic>
    <xdr:clientData/>
  </xdr:twoCellAnchor>
  <xdr:twoCellAnchor editAs="oneCell">
    <xdr:from>
      <xdr:col>0</xdr:col>
      <xdr:colOff>0</xdr:colOff>
      <xdr:row>51</xdr:row>
      <xdr:rowOff>169334</xdr:rowOff>
    </xdr:from>
    <xdr:to>
      <xdr:col>11</xdr:col>
      <xdr:colOff>900289</xdr:colOff>
      <xdr:row>61</xdr:row>
      <xdr:rowOff>153857</xdr:rowOff>
    </xdr:to>
    <xdr:pic>
      <xdr:nvPicPr>
        <xdr:cNvPr id="6" name="图片 5">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5"/>
        <a:stretch>
          <a:fillRect/>
        </a:stretch>
      </xdr:blipFill>
      <xdr:spPr>
        <a:xfrm>
          <a:off x="0" y="9713384"/>
          <a:ext cx="10120489" cy="1699023"/>
        </a:xfrm>
        <a:prstGeom prst="rect">
          <a:avLst/>
        </a:prstGeom>
      </xdr:spPr>
    </xdr:pic>
    <xdr:clientData/>
  </xdr:twoCellAnchor>
  <xdr:twoCellAnchor editAs="oneCell">
    <xdr:from>
      <xdr:col>14</xdr:col>
      <xdr:colOff>0</xdr:colOff>
      <xdr:row>48</xdr:row>
      <xdr:rowOff>0</xdr:rowOff>
    </xdr:from>
    <xdr:to>
      <xdr:col>20</xdr:col>
      <xdr:colOff>380328</xdr:colOff>
      <xdr:row>74</xdr:row>
      <xdr:rowOff>37500</xdr:rowOff>
    </xdr:to>
    <xdr:pic>
      <xdr:nvPicPr>
        <xdr:cNvPr id="7" name="图片 6">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6"/>
        <a:stretch>
          <a:fillRect/>
        </a:stretch>
      </xdr:blipFill>
      <xdr:spPr>
        <a:xfrm>
          <a:off x="12025313" y="8429625"/>
          <a:ext cx="5380953" cy="48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cc%20&#30123;\&#38596;&#23433;4+4\&#27979;&#31639;&#8212;&#8212;&#20840;&#31199;-&#26141;&#23703;&#25972;&#20307;0703-&#21806;900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A04\&#29113;\WINDOWS\Desktop\05110547\&#35745;&#31639;&#65288;&#20113;&#26223;&#21517;&#37117;&#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估价对象房地状况"/>
      <sheetName val="系统读取表"/>
      <sheetName val="结果表"/>
      <sheetName val="4项目"/>
      <sheetName val="面积明细618"/>
      <sheetName val="面积621"/>
      <sheetName val="面积630"/>
      <sheetName val="土地取得费"/>
      <sheetName val="成本明细"/>
      <sheetName val="征拆成本分摊"/>
      <sheetName val="成本逼近法 (2)"/>
      <sheetName val="成本逼近法"/>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数据-取费表"/>
      <sheetName val="结果汇总"/>
      <sheetName val="剩余法-待开发"/>
      <sheetName val="不动产收益法-住宅"/>
      <sheetName val="不动产收益法-商务办公"/>
      <sheetName val="不动产收益法-科研"/>
      <sheetName val="不动产收益法-商业"/>
      <sheetName val="酒店收入计算"/>
      <sheetName val="土地开发成本（旧）"/>
      <sheetName val="不动产比较法-住宅"/>
      <sheetName val="住宅案例"/>
      <sheetName val="不动产比较法-住宅-天津"/>
      <sheetName val="住宅案例-天津"/>
      <sheetName val="不动产比较法--商务办公"/>
      <sheetName val="不动产比较法--科研3.3"/>
      <sheetName val="办公案例"/>
      <sheetName val="保定产业科研"/>
      <sheetName val="不动产比较法-商业"/>
      <sheetName val="商业案例-雄安"/>
      <sheetName val="商业案例-石家庄"/>
      <sheetName val="不动产比较法-工业"/>
      <sheetName val="不动产比较法-车位"/>
      <sheetName val="不动产比较法-仓储"/>
      <sheetName val="典型户型修正"/>
      <sheetName val="存贷款利率"/>
      <sheetName val="不动产比较法--科研"/>
      <sheetName val="科研案例-天津"/>
      <sheetName val="北京项目对比"/>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不动产收益法-商务办公</v>
          </cell>
        </row>
        <row r="21">
          <cell r="A21" t="str">
            <v>戊类库房</v>
          </cell>
          <cell r="B21" t="str">
            <v>不动产收益法-科研</v>
          </cell>
        </row>
        <row r="22">
          <cell r="A22" t="str">
            <v>燃品库房</v>
          </cell>
          <cell r="B22" t="str">
            <v>不动产收益法-商业</v>
          </cell>
        </row>
        <row r="23">
          <cell r="A23" t="str">
            <v>非燃品库房</v>
          </cell>
          <cell r="B23" t="str">
            <v>不动产收益法-住宅</v>
          </cell>
        </row>
        <row r="24">
          <cell r="A24" t="str">
            <v>——</v>
          </cell>
          <cell r="B24" t="str">
            <v>*</v>
          </cell>
        </row>
        <row r="25">
          <cell r="A25" t="str">
            <v>限价商品房</v>
          </cell>
          <cell r="B25" t="str">
            <v>*</v>
          </cell>
        </row>
        <row r="26">
          <cell r="A26" t="str">
            <v>自住商品房</v>
          </cell>
          <cell r="B26" t="str">
            <v>*</v>
          </cell>
        </row>
        <row r="27">
          <cell r="A27" t="str">
            <v>商务办公</v>
          </cell>
          <cell r="B27" t="str">
            <v>*</v>
          </cell>
        </row>
        <row r="28">
          <cell r="A28" t="str">
            <v>科研</v>
          </cell>
          <cell r="B28" t="str">
            <v>*</v>
          </cell>
        </row>
        <row r="29">
          <cell r="A29" t="str">
            <v>商业（含旅馆）</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商务办公</v>
          </cell>
        </row>
        <row r="20">
          <cell r="C20" t="str">
            <v>科研</v>
          </cell>
        </row>
        <row r="21">
          <cell r="C21" t="str">
            <v>商业（含旅馆）</v>
          </cell>
        </row>
        <row r="22">
          <cell r="C22" t="str">
            <v>普通住宅</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7">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8"/>
      <sheetData sheetId="2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0"/>
      <sheetData sheetId="31"/>
      <sheetData sheetId="32"/>
      <sheetData sheetId="33"/>
      <sheetData sheetId="34"/>
      <sheetData sheetId="35"/>
      <sheetData sheetId="3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37"/>
      <sheetData sheetId="38"/>
      <sheetData sheetId="39"/>
      <sheetData sheetId="40"/>
      <sheetData sheetId="41"/>
      <sheetData sheetId="42"/>
      <sheetData sheetId="43"/>
      <sheetData sheetId="44"/>
      <sheetData sheetId="45"/>
      <sheetData sheetId="46"/>
      <sheetData sheetId="47">
        <row r="61">
          <cell r="A61" t="str">
            <v>交易情况</v>
          </cell>
          <cell r="C61" t="str">
            <v>正常</v>
          </cell>
        </row>
        <row r="63">
          <cell r="B63" t="str">
            <v>用途</v>
          </cell>
          <cell r="C63" t="str">
            <v>住宅</v>
          </cell>
        </row>
        <row r="86">
          <cell r="B86" t="str">
            <v>楼层-1</v>
          </cell>
        </row>
        <row r="88">
          <cell r="B88" t="str">
            <v>朝向</v>
          </cell>
        </row>
        <row r="100">
          <cell r="B100" t="str">
            <v>建筑类型</v>
          </cell>
        </row>
        <row r="105">
          <cell r="B105" t="str">
            <v>建筑结构</v>
          </cell>
          <cell r="C105" t="str">
            <v>钢混</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普通装修</v>
          </cell>
        </row>
      </sheetData>
      <sheetData sheetId="48"/>
      <sheetData sheetId="49">
        <row r="62">
          <cell r="A62" t="str">
            <v>交易情况</v>
          </cell>
          <cell r="C62" t="str">
            <v>正常</v>
          </cell>
          <cell r="D62" t="str">
            <v>挂牌</v>
          </cell>
        </row>
        <row r="64">
          <cell r="B64" t="str">
            <v>用途</v>
          </cell>
          <cell r="C64" t="str">
            <v>商务办公</v>
          </cell>
        </row>
        <row r="87">
          <cell r="B87" t="str">
            <v>毗邻道路的类型与等级</v>
          </cell>
        </row>
        <row r="89">
          <cell r="B89" t="str">
            <v>楼层</v>
          </cell>
        </row>
        <row r="91">
          <cell r="B91" t="str">
            <v>朝向</v>
          </cell>
        </row>
        <row r="101">
          <cell r="B101" t="str">
            <v>建筑类型</v>
          </cell>
          <cell r="C101" t="str">
            <v>写字楼</v>
          </cell>
        </row>
        <row r="106">
          <cell r="B106" t="str">
            <v>建筑结构</v>
          </cell>
          <cell r="C106" t="str">
            <v>钢混</v>
          </cell>
        </row>
        <row r="108">
          <cell r="B108" t="str">
            <v>公共部分装修</v>
          </cell>
        </row>
        <row r="113">
          <cell r="B113" t="str">
            <v>写字楼等级</v>
          </cell>
        </row>
        <row r="115">
          <cell r="B115" t="str">
            <v>物业管理</v>
          </cell>
        </row>
        <row r="117">
          <cell r="B117" t="str">
            <v>市政基础设施</v>
          </cell>
        </row>
        <row r="119">
          <cell r="B119" t="str">
            <v>层高</v>
          </cell>
          <cell r="C119" t="str">
            <v>正常层高</v>
          </cell>
        </row>
        <row r="123">
          <cell r="B123" t="str">
            <v>内部装修</v>
          </cell>
          <cell r="C123" t="str">
            <v>精装修</v>
          </cell>
          <cell r="D123" t="str">
            <v>普通装修</v>
          </cell>
          <cell r="E123" t="str">
            <v>简单装修</v>
          </cell>
        </row>
      </sheetData>
      <sheetData sheetId="50"/>
      <sheetData sheetId="51"/>
      <sheetData sheetId="52"/>
      <sheetData sheetId="53">
        <row r="61">
          <cell r="A61" t="str">
            <v>交易情况</v>
          </cell>
          <cell r="C61" t="str">
            <v>正常</v>
          </cell>
          <cell r="D61" t="str">
            <v>挂牌</v>
          </cell>
        </row>
        <row r="63">
          <cell r="B63" t="str">
            <v>用途</v>
          </cell>
          <cell r="C63" t="str">
            <v>商业</v>
          </cell>
        </row>
        <row r="86">
          <cell r="B86" t="str">
            <v>临街状况</v>
          </cell>
          <cell r="C86" t="str">
            <v>现状差，未来较好</v>
          </cell>
          <cell r="D86" t="str">
            <v>较好</v>
          </cell>
        </row>
        <row r="90">
          <cell r="B90" t="str">
            <v>人流量</v>
          </cell>
        </row>
        <row r="92">
          <cell r="B92" t="str">
            <v>楼层</v>
          </cell>
        </row>
        <row r="100">
          <cell r="B100" t="str">
            <v>商业类型</v>
          </cell>
          <cell r="C100" t="str">
            <v>独立商业</v>
          </cell>
          <cell r="D100" t="str">
            <v>住宅配套</v>
          </cell>
        </row>
        <row r="105">
          <cell r="B105" t="str">
            <v>建筑结构</v>
          </cell>
          <cell r="C105" t="str">
            <v>钢混</v>
          </cell>
          <cell r="D105" t="str">
            <v>砖混</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普通装修</v>
          </cell>
          <cell r="D122" t="str">
            <v>简单装修</v>
          </cell>
          <cell r="E122" t="str">
            <v>毛坯</v>
          </cell>
        </row>
      </sheetData>
      <sheetData sheetId="54"/>
      <sheetData sheetId="55"/>
      <sheetData sheetId="5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0"/>
      <sheetData sheetId="61"/>
      <sheetData sheetId="62"/>
      <sheetData sheetId="6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125" style="2603" customWidth="1"/>
    <col min="3" max="18" width="9" style="2597"/>
    <col min="19" max="19" width="17.875" style="2597" customWidth="1"/>
    <col min="20" max="51" width="9" style="2597"/>
    <col min="52" max="52" width="13.1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2636</v>
      </c>
      <c r="B1" s="2607" t="s">
        <v>2733</v>
      </c>
    </row>
    <row r="2" spans="1:55" s="2611" customFormat="1" ht="15" thickTop="1">
      <c r="A2" s="2609" t="s">
        <v>2640</v>
      </c>
      <c r="B2" s="2610" t="str">
        <f>'预评函-封皮'!B37</f>
        <v>河北省出让国有建设用地使用权市场价格预评估</v>
      </c>
      <c r="AX2" s="2612"/>
      <c r="AZ2" s="2612"/>
      <c r="BA2" s="2613"/>
      <c r="BC2" s="2613"/>
    </row>
    <row r="3" spans="1:55" s="2614" customFormat="1">
      <c r="A3" s="2593" t="s">
        <v>2641</v>
      </c>
      <c r="B3" s="2596">
        <f>'预评函-封皮'!B40</f>
        <v>0</v>
      </c>
    </row>
    <row r="4" spans="1:55" s="2595" customFormat="1">
      <c r="A4" s="2593" t="s">
        <v>2642</v>
      </c>
      <c r="B4" s="2594" t="str">
        <f>'预评函-封皮'!B46</f>
        <v>土地估价师、土地估价师</v>
      </c>
      <c r="N4" s="2595" t="str">
        <f>'预评函-1'!A28</f>
        <v>——</v>
      </c>
    </row>
    <row r="5" spans="1:55" s="2608" customFormat="1" ht="15" thickBot="1">
      <c r="A5" s="2615" t="s">
        <v>2643</v>
      </c>
      <c r="B5" s="2616" t="str">
        <f>'预评函-封皮'!B49</f>
        <v>康正预评字号</v>
      </c>
    </row>
    <row r="6" spans="1:55" s="2617" customFormat="1" ht="15" thickTop="1">
      <c r="A6" s="2609" t="s">
        <v>2685</v>
      </c>
      <c r="B6" s="2610" t="str">
        <f>'预评函-1'!A4</f>
        <v>受贵公司委托，我公司对河北省出让国有建设用地使用权市场价格进行了预评估。</v>
      </c>
      <c r="AM6" s="2618"/>
    </row>
    <row r="7" spans="1:55" s="2592" customFormat="1">
      <c r="A7" s="2593" t="s">
        <v>2637</v>
      </c>
      <c r="B7" s="2594" t="str">
        <f>'预评函-1'!A6</f>
        <v>估价对象为使用的、位于河北省出让国有建设用地使用权。根据《国有土地使用证》[]，估价对象（分摊）出让国有建设用地使用权面积为160409平方米。根据《建设工程规划许可证》[]、《出让合同》[]，估价对象规划建筑面积为278949平方米。</v>
      </c>
    </row>
    <row r="8" spans="1:55" s="2592" customFormat="1">
      <c r="A8" s="2593" t="s">
        <v>2638</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2688</v>
      </c>
      <c r="B9" s="2594" t="str">
        <f>'预评函-1'!A9</f>
        <v>本次评估为委托估价方了解标的物之市场价格提供参考依据而评估出让国有建设用地使用权市场价格。</v>
      </c>
    </row>
    <row r="10" spans="1:55" s="2592" customFormat="1">
      <c r="A10" s="2593" t="s">
        <v>2639</v>
      </c>
      <c r="B10" s="2594" t="str">
        <f>'预评函-1'!A11</f>
        <v>2020年10月21日</v>
      </c>
    </row>
    <row r="11" spans="1:55" s="2592" customFormat="1">
      <c r="A11" s="2593" t="s">
        <v>2645</v>
      </c>
      <c r="B11" s="2594" t="str">
        <f>'预评函-1'!A14</f>
        <v>根据《国有土地使用证》[]，本次评估估价对象证载（地类）用途为。</v>
      </c>
    </row>
    <row r="12" spans="1:55" s="2592" customFormat="1">
      <c r="A12" s="2593" t="s">
        <v>2646</v>
      </c>
      <c r="B12" s="2594" t="str">
        <f>'预评函-1'!A15</f>
        <v>本次评估设定用途即为证载用途。</v>
      </c>
    </row>
    <row r="13" spans="1:55" s="2592" customFormat="1">
      <c r="A13" s="2593" t="s">
        <v>2647</v>
      </c>
      <c r="B13" s="2594" t="str">
        <f>'预评函-1'!A17</f>
        <v>根据委托估价方介绍及评估专业人员现场勘查，本次评估估价对象实际土地开发程度为红线外市政基础设施达“七通”（即、、、、、、）、宗地红线内场地平整。</v>
      </c>
    </row>
    <row r="14" spans="1:55" s="2592" customFormat="1">
      <c r="A14" s="2593" t="s">
        <v>2648</v>
      </c>
      <c r="B14" s="2594" t="str">
        <f>'预评函-1'!A18</f>
        <v>。本次评估设定土地开发程度为红线外市政基础设施达“七通”、宗地红线内场地平整。</v>
      </c>
    </row>
    <row r="15" spans="1:55" s="2592" customFormat="1">
      <c r="A15" s="2593" t="s">
        <v>2644</v>
      </c>
      <c r="B15" s="2594" t="str">
        <f>'预评函-1'!A20</f>
        <v>根据《国有土地使用证》[]，估价对象（分摊）出让国有建设用地使用权面积为160409平方米。根据《建设工程规划许可证》[]、《出让合同》[]，估价对象规划建筑面积为278949平方米。</v>
      </c>
    </row>
    <row r="16" spans="1:55" s="2592" customFormat="1">
      <c r="A16" s="2593" t="s">
        <v>2649</v>
      </c>
      <c r="B16" s="259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17" spans="1:48" s="2592" customFormat="1">
      <c r="A17" s="2593" t="s">
        <v>2650</v>
      </c>
      <c r="B17" s="2594" t="str">
        <f>'预评函-1'!A23</f>
        <v>本次评估设定估价对象剩余土地使用年限为。</v>
      </c>
    </row>
    <row r="18" spans="1:48" s="2592" customFormat="1">
      <c r="A18" s="2593" t="s">
        <v>2651</v>
      </c>
      <c r="B18" s="2594" t="str">
        <f>'预评函-1'!A25</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19" spans="1:48" s="2592" customFormat="1">
      <c r="A19" s="2593" t="s">
        <v>2652</v>
      </c>
      <c r="B19" s="2594" t="str">
        <f>'预评函-1'!A26</f>
        <v>——</v>
      </c>
    </row>
    <row r="20" spans="1:48" s="2592" customFormat="1">
      <c r="A20" s="2593" t="s">
        <v>2653</v>
      </c>
      <c r="B20" s="2594" t="str">
        <f>'预评函-1'!A27</f>
        <v>——</v>
      </c>
    </row>
    <row r="21" spans="1:48" s="2608" customFormat="1" ht="15" thickBot="1">
      <c r="A21" s="2615" t="s">
        <v>2654</v>
      </c>
      <c r="B21" s="2616" t="str">
        <f>'预评函-1'!A28</f>
        <v>——</v>
      </c>
    </row>
    <row r="22" spans="1:48" ht="15" thickTop="1">
      <c r="A22" s="2604" t="s">
        <v>2655</v>
      </c>
      <c r="B22" s="2605"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3" t="s">
        <v>2656</v>
      </c>
      <c r="B23" s="2594" t="str">
        <f>'预评函-2'!K2</f>
        <v>估价期日：2020年10月21日</v>
      </c>
    </row>
    <row r="24" spans="1:48">
      <c r="A24" s="2593" t="s">
        <v>2657</v>
      </c>
      <c r="B24" s="2594" t="str">
        <f>'预评函-2'!R2</f>
        <v>估价期日的国有建设用地使用权性质：出让</v>
      </c>
    </row>
    <row r="25" spans="1:48">
      <c r="A25" s="2593" t="s">
        <v>2713</v>
      </c>
      <c r="B25" s="2594" t="str">
        <f>'预评函-2'!A3</f>
        <v>估价期日土地使用者</v>
      </c>
    </row>
    <row r="26" spans="1:48">
      <c r="A26" s="2593" t="s">
        <v>2689</v>
      </c>
      <c r="B26" s="2594" t="str">
        <f>'预评函-2'!A5</f>
        <v>中信开发</v>
      </c>
    </row>
    <row r="27" spans="1:48">
      <c r="A27" s="2593" t="s">
        <v>2714</v>
      </c>
      <c r="B27" s="2594" t="str">
        <f>'预评函-2'!B3</f>
        <v>宗地编号/不动产单元号</v>
      </c>
    </row>
    <row r="28" spans="1:48">
      <c r="A28" s="2593" t="s">
        <v>2690</v>
      </c>
      <c r="B28" s="2594" t="str">
        <f>'预评函-2'!B5</f>
        <v>11111111111</v>
      </c>
    </row>
    <row r="29" spans="1:48">
      <c r="A29" s="2593" t="s">
        <v>2716</v>
      </c>
      <c r="B29" s="2594">
        <f>'预评函-2'!C5</f>
        <v>22</v>
      </c>
    </row>
    <row r="30" spans="1:48">
      <c r="A30" s="2593" t="s">
        <v>2717</v>
      </c>
      <c r="B30" s="2594" t="str">
        <f>'预评函-2'!D3</f>
        <v>土地使用证编号/不动产权证书编号</v>
      </c>
    </row>
    <row r="31" spans="1:48">
      <c r="A31" s="2593" t="s">
        <v>2691</v>
      </c>
      <c r="B31" s="2594" t="str">
        <f>'预评函-2'!D5</f>
        <v>京国土字第111号</v>
      </c>
    </row>
    <row r="32" spans="1:48">
      <c r="A32" s="2593" t="s">
        <v>2692</v>
      </c>
      <c r="B32" s="2594">
        <f>'预评函-2'!E5</f>
        <v>0</v>
      </c>
      <c r="AV32" s="2598"/>
    </row>
    <row r="33" spans="1:2">
      <c r="A33" s="2593" t="s">
        <v>2693</v>
      </c>
      <c r="B33" s="2594">
        <f>'预评函-2'!F5</f>
        <v>258</v>
      </c>
    </row>
    <row r="34" spans="1:2">
      <c r="A34" s="2593" t="s">
        <v>2694</v>
      </c>
      <c r="B34" s="2594">
        <f>'预评函-2'!G5</f>
        <v>0</v>
      </c>
    </row>
    <row r="35" spans="1:2">
      <c r="A35" s="2593" t="s">
        <v>2695</v>
      </c>
      <c r="B35" s="2594">
        <f>'预评函-2'!H5</f>
        <v>1.5</v>
      </c>
    </row>
    <row r="36" spans="1:2">
      <c r="A36" s="2593" t="s">
        <v>2696</v>
      </c>
      <c r="B36" s="2594">
        <f>'预评函-2'!I5</f>
        <v>1.5</v>
      </c>
    </row>
    <row r="37" spans="1:2">
      <c r="A37" s="2593" t="s">
        <v>2697</v>
      </c>
      <c r="B37" s="2594">
        <f>'预评函-2'!J5</f>
        <v>1.5</v>
      </c>
    </row>
    <row r="38" spans="1:2">
      <c r="A38" s="2593" t="s">
        <v>2698</v>
      </c>
      <c r="B38" s="2594" t="str">
        <f>'预评函-2'!K5</f>
        <v>红线外七通、宗地红线内</v>
      </c>
    </row>
    <row r="39" spans="1:2">
      <c r="A39" s="2593" t="s">
        <v>2699</v>
      </c>
      <c r="B39" s="2594" t="str">
        <f>'预评函-2'!L5</f>
        <v>红线外七通、宗地红线内场地</v>
      </c>
    </row>
    <row r="40" spans="1:2">
      <c r="A40" s="2593" t="s">
        <v>2718</v>
      </c>
      <c r="B40" s="2594" t="str">
        <f>'预评函-2'!M3</f>
        <v>（剩余）土地使用年限/年</v>
      </c>
    </row>
    <row r="41" spans="1:2">
      <c r="A41" s="2593" t="s">
        <v>2700</v>
      </c>
      <c r="B41" s="2594">
        <f>'预评函-2'!M5</f>
        <v>0</v>
      </c>
    </row>
    <row r="42" spans="1:2">
      <c r="A42" s="2593" t="s">
        <v>2719</v>
      </c>
      <c r="B42" s="2594" t="str">
        <f>'预评函-2'!N3</f>
        <v>（分摊）出让国有建设用地使用权面积/㎡</v>
      </c>
    </row>
    <row r="43" spans="1:2">
      <c r="A43" s="2593" t="s">
        <v>2701</v>
      </c>
      <c r="B43" s="2594">
        <f>'预评函-2'!N5</f>
        <v>160409</v>
      </c>
    </row>
    <row r="44" spans="1:2">
      <c r="A44" s="2593" t="s">
        <v>2720</v>
      </c>
      <c r="B44" s="2594" t="str">
        <f>'预评函-2'!O3</f>
        <v>规划建筑面积/㎡</v>
      </c>
    </row>
    <row r="45" spans="1:2">
      <c r="A45" s="2593" t="s">
        <v>2702</v>
      </c>
      <c r="B45" s="2594">
        <f>'预评函-2'!O5</f>
        <v>278949</v>
      </c>
    </row>
    <row r="46" spans="1:2">
      <c r="A46" s="2593" t="s">
        <v>2703</v>
      </c>
      <c r="B46" s="2594">
        <f ca="1">'预评函-2'!P5</f>
        <v>4346</v>
      </c>
    </row>
    <row r="47" spans="1:2">
      <c r="A47" s="2593" t="s">
        <v>2704</v>
      </c>
      <c r="B47" s="2594">
        <f ca="1">'预评函-2'!Q5</f>
        <v>2499</v>
      </c>
    </row>
    <row r="48" spans="1:2">
      <c r="A48" s="2593" t="s">
        <v>2705</v>
      </c>
      <c r="B48" s="2594">
        <f ca="1">'预评函-2'!R5</f>
        <v>69709</v>
      </c>
    </row>
    <row r="49" spans="1:2">
      <c r="A49" s="2593" t="s">
        <v>2721</v>
      </c>
      <c r="B49" s="2594" t="str">
        <f>'预评函-2'!A6</f>
        <v>——</v>
      </c>
    </row>
    <row r="50" spans="1:2">
      <c r="A50" s="2593" t="s">
        <v>2706</v>
      </c>
      <c r="B50" s="2594" t="str">
        <f>'预评函-2'!R6</f>
        <v>——</v>
      </c>
    </row>
    <row r="51" spans="1:2">
      <c r="A51" s="2593" t="s">
        <v>2722</v>
      </c>
      <c r="B51" s="2594" t="str">
        <f>'预评函-2'!A7</f>
        <v>——</v>
      </c>
    </row>
    <row r="52" spans="1:2">
      <c r="A52" s="2593" t="s">
        <v>2707</v>
      </c>
      <c r="B52" s="2594" t="str">
        <f>'预评函-2'!R7</f>
        <v>——</v>
      </c>
    </row>
    <row r="53" spans="1:2">
      <c r="A53" s="2593" t="s">
        <v>2723</v>
      </c>
      <c r="B53" s="2594" t="str">
        <f>'预评函-2'!A8</f>
        <v>——</v>
      </c>
    </row>
    <row r="54" spans="1:2" s="2608" customFormat="1" ht="15" thickBot="1">
      <c r="A54" s="2615" t="s">
        <v>2708</v>
      </c>
      <c r="B54" s="2616" t="str">
        <f>'预评函-2'!R8</f>
        <v>——</v>
      </c>
    </row>
    <row r="55" spans="1:2" ht="15" thickTop="1">
      <c r="A55" s="2604" t="s">
        <v>2658</v>
      </c>
      <c r="B55" s="2605" t="str">
        <f>'预评函-3'!A2</f>
        <v>1.权利限制：根据估价对象《不动产权证书》原件、《国有土地使用权》复印件，截至估价期日，估价对象抵押权未见登记。未设定租赁等其他他项权利。</v>
      </c>
    </row>
    <row r="56" spans="1:2">
      <c r="A56" s="2593" t="s">
        <v>2659</v>
      </c>
      <c r="B56" s="2594" t="str">
        <f>'预评函-3'!A3</f>
        <v>2.基础设施条件：估价对象实际开发程度为红线外七通、宗地红线内；本次评估设定开发程度为红线外七通、宗地红线内场地。</v>
      </c>
    </row>
    <row r="57" spans="1:2">
      <c r="A57" s="2593" t="s">
        <v>2660</v>
      </c>
      <c r="B57" s="2594" t="str">
        <f>'预评函-3'!A4</f>
        <v>3.估价规划限制条件：详见《建设工程规划许可证》[]、《出让合同》[]。</v>
      </c>
    </row>
    <row r="58" spans="1:2" s="2608" customFormat="1" ht="15" thickBot="1">
      <c r="A58" s="2615" t="s">
        <v>2709</v>
      </c>
      <c r="B58" s="2616" t="str">
        <f>'预评函-3'!A5</f>
        <v>4.影响价格的其他限定条件：无。</v>
      </c>
    </row>
    <row r="59" spans="1:2" ht="15" thickTop="1">
      <c r="A59" s="2604" t="s">
        <v>2661</v>
      </c>
      <c r="B59" s="2605" t="str">
        <f>'预评函-3'!A8</f>
        <v>2.本次评估设定估价对象宗地权属无争议，未被查封或者以其他形式限制其房地产权利，未设定抵押权等他项权利，不涉及第三方权利义务。</v>
      </c>
    </row>
    <row r="60" spans="1:2">
      <c r="A60" s="2593" t="s">
        <v>2662</v>
      </c>
      <c r="B60" s="2594" t="str">
        <f>'预评函-3'!A9</f>
        <v>——</v>
      </c>
    </row>
    <row r="61" spans="1:2">
      <c r="A61" s="2593" t="s">
        <v>2664</v>
      </c>
      <c r="B61" s="2594" t="str">
        <f>'预评函-3'!A10</f>
        <v>——</v>
      </c>
    </row>
    <row r="62" spans="1:2">
      <c r="A62" s="2593" t="s">
        <v>2663</v>
      </c>
      <c r="B62" s="2594" t="str">
        <f>'预评函-3'!A11</f>
        <v>——</v>
      </c>
    </row>
    <row r="63" spans="1:2">
      <c r="A63" s="2593" t="s">
        <v>2665</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2666</v>
      </c>
      <c r="B64" s="2599" t="str">
        <f>'预评函-3'!A13</f>
        <v>（3）。</v>
      </c>
    </row>
    <row r="65" spans="1:2">
      <c r="A65" s="2593" t="s">
        <v>2667</v>
      </c>
      <c r="B65" s="2600" t="str">
        <f>'预评函-3'!A14</f>
        <v>——</v>
      </c>
    </row>
    <row r="66" spans="1:2">
      <c r="A66" s="2593" t="s">
        <v>2668</v>
      </c>
      <c r="B66" s="260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2669</v>
      </c>
      <c r="B67" s="260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2672</v>
      </c>
      <c r="B68" s="2619">
        <f>'预评函-3'!D30</f>
        <v>42558</v>
      </c>
    </row>
    <row r="69" spans="1:2" ht="15" thickTop="1">
      <c r="A69" s="2604" t="s">
        <v>2670</v>
      </c>
      <c r="B69" s="2605" t="str">
        <f>'预评函-3'!A20</f>
        <v>土地估价师</v>
      </c>
    </row>
    <row r="70" spans="1:2">
      <c r="A70" s="2593" t="s">
        <v>2670</v>
      </c>
      <c r="B70" s="2600">
        <f>'预评函-3'!B20</f>
        <v>0</v>
      </c>
    </row>
    <row r="71" spans="1:2">
      <c r="A71" s="2593" t="s">
        <v>2671</v>
      </c>
      <c r="B71" s="2594" t="str">
        <f>'预评函-3'!A21</f>
        <v>土地估价师</v>
      </c>
    </row>
    <row r="72" spans="1:2" s="2608" customFormat="1" ht="15" thickBot="1">
      <c r="A72" s="2615" t="s">
        <v>2671</v>
      </c>
      <c r="B72" s="2621">
        <f>'预评函-3'!B21</f>
        <v>0</v>
      </c>
    </row>
    <row r="73" spans="1:2" ht="15" thickTop="1">
      <c r="A73" s="2604" t="s">
        <v>2730</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2731</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2732</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2766</v>
      </c>
      <c r="B76" s="260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23" sqref="E23"/>
    </sheetView>
  </sheetViews>
  <sheetFormatPr defaultColWidth="10" defaultRowHeight="14.25"/>
  <cols>
    <col min="1" max="1" width="15.375" style="1612" customWidth="1"/>
    <col min="2" max="2" width="11.375" style="1612" customWidth="1"/>
    <col min="3" max="3" width="12.625" style="1612" customWidth="1"/>
    <col min="4" max="4" width="11.875"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1925</v>
      </c>
      <c r="B1" s="3376" t="str">
        <f>IF(B10="北京市","北京市",C10)&amp;F10&amp;B16&amp;"国有建设用地使用权"&amp;B9&amp;"预评估"</f>
        <v>河北省出让国有建设用地使用权市场价格预评估</v>
      </c>
      <c r="C1" s="3377"/>
      <c r="D1" s="3377"/>
      <c r="E1" s="3377"/>
      <c r="F1" s="3377"/>
      <c r="G1" s="3377"/>
      <c r="H1" s="3377"/>
      <c r="I1" s="3378"/>
      <c r="J1" s="3072"/>
      <c r="K1" s="2308" t="str">
        <f>IF(B10="北京市","北京市",C10)&amp;F10&amp;B16&amp;"国有建设用地使用权"&amp;B9</f>
        <v>河北省出让国有建设用地使用权市场价格</v>
      </c>
      <c r="L1" s="3051"/>
      <c r="M1" s="3051"/>
      <c r="N1" s="3052"/>
      <c r="O1" s="3053"/>
      <c r="P1" s="3052"/>
      <c r="Q1" s="3052"/>
      <c r="R1" s="3052"/>
      <c r="S1" s="3052"/>
      <c r="T1" s="3052"/>
      <c r="U1" s="3052"/>
    </row>
    <row r="2" spans="1:21">
      <c r="A2" s="1586" t="s">
        <v>1926</v>
      </c>
      <c r="B2" s="1753"/>
      <c r="D2" s="3072"/>
      <c r="E2" s="3072"/>
      <c r="F2" s="3072"/>
      <c r="G2" s="3072"/>
      <c r="H2" s="3073"/>
      <c r="I2" s="3074"/>
      <c r="J2" s="3072"/>
      <c r="K2" s="2308" t="str">
        <f>IF(B10="北京市","北京市",C10)&amp;F10&amp;B16&amp;"国有建设用地使用权"</f>
        <v>河北省出让国有建设用地使用权</v>
      </c>
      <c r="L2" s="3051"/>
      <c r="M2" s="3051"/>
      <c r="N2" s="3052"/>
      <c r="O2" s="3053"/>
      <c r="P2" s="3052"/>
      <c r="Q2" s="3052"/>
      <c r="R2" s="3052"/>
      <c r="S2" s="3052"/>
      <c r="T2" s="3052"/>
      <c r="U2" s="3052"/>
    </row>
    <row r="3" spans="1:21">
      <c r="A3" s="1587" t="s">
        <v>1927</v>
      </c>
      <c r="B3" s="1588"/>
      <c r="C3" s="2995" t="s">
        <v>1983</v>
      </c>
      <c r="D3" s="1588">
        <v>44125</v>
      </c>
      <c r="E3" s="3072"/>
      <c r="F3" s="3072"/>
      <c r="G3" s="3072"/>
      <c r="H3" s="3073"/>
      <c r="I3" s="3074"/>
      <c r="J3" s="3072"/>
      <c r="K3" s="3055"/>
      <c r="L3" s="3051"/>
      <c r="M3" s="3051"/>
      <c r="N3" s="3052"/>
      <c r="O3" s="3053"/>
      <c r="P3" s="3052"/>
      <c r="Q3" s="3052"/>
      <c r="R3" s="3052"/>
      <c r="S3" s="3052"/>
      <c r="T3" s="3052"/>
      <c r="U3" s="3052"/>
    </row>
    <row r="4" spans="1:21" ht="15" thickBot="1">
      <c r="A4" s="1590" t="s">
        <v>1928</v>
      </c>
      <c r="B4" s="1754" t="s">
        <v>2867</v>
      </c>
      <c r="C4" s="1757">
        <f>SUMIF(土地估价师,B4,估价师及机构信息!E3:E16)</f>
        <v>0</v>
      </c>
      <c r="D4" s="1754" t="s">
        <v>2867</v>
      </c>
      <c r="E4" s="1757">
        <f>SUMIF(土地估价师,D4,估价师及机构信息!E3:E16)</f>
        <v>0</v>
      </c>
      <c r="F4" s="1754" t="s">
        <v>943</v>
      </c>
      <c r="G4" s="1757">
        <f>SUMIF(土地估价师,F4,估价师及机构信息!E3:E16)</f>
        <v>0</v>
      </c>
      <c r="H4" s="1754" t="s">
        <v>943</v>
      </c>
      <c r="I4" s="1757">
        <f>SUMIF(土地估价师,H4,估价师及机构信息!E3:E16)</f>
        <v>0</v>
      </c>
      <c r="J4" s="3072"/>
      <c r="K4" s="2308" t="str">
        <f>IF(AND(F4="——",H4="——"),B4&amp;"、"&amp;D4,IF(AND(F4&lt;&gt;"——",H4="——"),B4&amp;"、"&amp;D4&amp;"、"&amp;F4,B4&amp;"、"&amp;D4&amp;"、"&amp;F4&amp;"、"&amp;H4))</f>
        <v>土地估价师、土地估价师</v>
      </c>
      <c r="L4" s="3051"/>
      <c r="M4" s="3051"/>
      <c r="N4" s="3052"/>
      <c r="O4" s="3053"/>
      <c r="P4" s="3052"/>
      <c r="Q4" s="3052"/>
      <c r="R4" s="3052"/>
      <c r="S4" s="3052"/>
      <c r="T4" s="3052"/>
      <c r="U4" s="3052"/>
    </row>
    <row r="5" spans="1:21" ht="15" thickTop="1">
      <c r="A5" s="1591" t="s">
        <v>1929</v>
      </c>
      <c r="B5" s="1701"/>
      <c r="C5" s="1592"/>
      <c r="D5" s="1593"/>
      <c r="E5" s="3072"/>
      <c r="F5" s="3072"/>
      <c r="G5" s="3072"/>
      <c r="H5" s="3073"/>
      <c r="I5" s="3074"/>
      <c r="J5" s="3072"/>
      <c r="K5" s="3055"/>
      <c r="L5" s="3051"/>
      <c r="M5" s="3051"/>
      <c r="N5" s="3052"/>
      <c r="O5" s="3053"/>
      <c r="P5" s="3052"/>
      <c r="Q5" s="3052"/>
      <c r="R5" s="3052"/>
      <c r="S5" s="3052"/>
      <c r="T5" s="3052"/>
      <c r="U5" s="3052"/>
    </row>
    <row r="6" spans="1:21" ht="26.25">
      <c r="A6" s="1589" t="s">
        <v>2686</v>
      </c>
      <c r="B6" s="1701"/>
      <c r="C6" s="1676"/>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2687</v>
      </c>
      <c r="B7" s="1701"/>
      <c r="C7" s="1676"/>
      <c r="D7" s="1594"/>
      <c r="E7" s="3072"/>
      <c r="F7" s="3072"/>
      <c r="G7" s="3072"/>
      <c r="H7" s="3073"/>
      <c r="I7" s="3074"/>
      <c r="J7" s="3072"/>
      <c r="K7" s="3055"/>
      <c r="L7" s="3051"/>
      <c r="M7" s="3051"/>
      <c r="N7" s="3052"/>
      <c r="O7" s="3053"/>
      <c r="P7" s="3052"/>
      <c r="Q7" s="3052"/>
      <c r="R7" s="3052"/>
      <c r="S7" s="3052"/>
      <c r="T7" s="3052"/>
      <c r="U7" s="3052"/>
    </row>
    <row r="8" spans="1:21">
      <c r="A8" s="2996" t="s">
        <v>1930</v>
      </c>
      <c r="B8" s="1596" t="s">
        <v>3366</v>
      </c>
      <c r="C8" s="1597"/>
      <c r="D8" s="3382" t="s">
        <v>1932</v>
      </c>
      <c r="E8" s="1755"/>
      <c r="F8" s="1598"/>
      <c r="G8" s="3073"/>
      <c r="H8" s="3073"/>
      <c r="I8" s="3076"/>
      <c r="J8" s="3072"/>
      <c r="K8" s="3055"/>
      <c r="L8" s="3051"/>
      <c r="M8" s="3051"/>
      <c r="N8" s="3052"/>
      <c r="O8" s="3053"/>
      <c r="P8" s="3052"/>
      <c r="Q8" s="3052"/>
      <c r="R8" s="3052"/>
      <c r="S8" s="3052"/>
      <c r="T8" s="3052"/>
      <c r="U8" s="3052"/>
    </row>
    <row r="9" spans="1:21" ht="15" thickBot="1">
      <c r="A9" s="2997" t="s">
        <v>1931</v>
      </c>
      <c r="B9" s="1599" t="s">
        <v>3367</v>
      </c>
      <c r="C9" s="1600"/>
      <c r="D9" s="3383"/>
      <c r="E9" s="1599"/>
      <c r="F9" s="1662"/>
      <c r="G9" s="3077"/>
      <c r="H9" s="3077"/>
      <c r="I9" s="3078"/>
      <c r="J9" s="3072"/>
      <c r="K9" s="3055"/>
      <c r="L9" s="3051"/>
      <c r="M9" s="3051"/>
      <c r="N9" s="3052"/>
      <c r="O9" s="3053"/>
      <c r="P9" s="3052"/>
      <c r="Q9" s="3052"/>
      <c r="R9" s="3052"/>
      <c r="S9" s="3052"/>
      <c r="T9" s="3052"/>
      <c r="U9" s="3052"/>
    </row>
    <row r="10" spans="1:21" ht="15" thickTop="1">
      <c r="A10" s="2998" t="s">
        <v>1987</v>
      </c>
      <c r="B10" s="1638" t="s">
        <v>3368</v>
      </c>
      <c r="C10" s="1601" t="s">
        <v>3369</v>
      </c>
      <c r="D10" s="1593"/>
      <c r="E10" s="1602" t="s">
        <v>1934</v>
      </c>
      <c r="F10" s="1603"/>
      <c r="G10" s="1660"/>
      <c r="H10" s="1661"/>
      <c r="I10" s="1593"/>
      <c r="J10" s="3072"/>
      <c r="K10" s="3055"/>
      <c r="L10" s="3051"/>
      <c r="M10" s="3051"/>
      <c r="N10" s="3052"/>
      <c r="O10" s="3053"/>
      <c r="P10" s="3052"/>
      <c r="Q10" s="3052"/>
      <c r="R10" s="3052"/>
      <c r="S10" s="3052"/>
      <c r="T10" s="3052"/>
      <c r="U10" s="3052"/>
    </row>
    <row r="11" spans="1:21">
      <c r="A11" s="2999" t="s">
        <v>1988</v>
      </c>
      <c r="B11" s="1618" t="s">
        <v>3370</v>
      </c>
      <c r="C11" s="1604"/>
      <c r="D11" s="1677"/>
      <c r="E11" s="3071"/>
      <c r="F11" s="3071"/>
      <c r="G11" s="3071"/>
      <c r="H11" s="3071"/>
      <c r="I11" s="3071"/>
      <c r="J11" s="3072"/>
      <c r="K11" s="3055"/>
      <c r="L11" s="3051"/>
      <c r="M11" s="3051"/>
      <c r="N11" s="3052"/>
      <c r="O11" s="3053"/>
      <c r="P11" s="3052"/>
      <c r="Q11" s="3052"/>
      <c r="R11" s="3052"/>
      <c r="S11" s="3052"/>
      <c r="T11" s="3052"/>
      <c r="U11" s="3052"/>
    </row>
    <row r="12" spans="1:21">
      <c r="A12" s="1697" t="s">
        <v>2046</v>
      </c>
      <c r="B12" s="3379"/>
      <c r="C12" s="3380"/>
      <c r="D12" s="3381"/>
      <c r="E12" s="1619" t="s">
        <v>2049</v>
      </c>
      <c r="F12" s="3397" t="s">
        <v>2868</v>
      </c>
      <c r="G12" s="3398"/>
      <c r="H12" s="3398"/>
      <c r="I12" s="3399"/>
      <c r="J12" s="3072"/>
      <c r="K12" s="3055"/>
      <c r="L12" s="3051"/>
      <c r="M12" s="3051"/>
      <c r="N12" s="3052"/>
      <c r="O12" s="3053"/>
      <c r="P12" s="3052"/>
      <c r="Q12" s="3052"/>
      <c r="R12" s="3052"/>
      <c r="S12" s="3052"/>
      <c r="T12" s="3052"/>
      <c r="U12" s="3052"/>
    </row>
    <row r="13" spans="1:21">
      <c r="A13" s="1610" t="s">
        <v>2047</v>
      </c>
      <c r="B13" s="3379"/>
      <c r="C13" s="3380"/>
      <c r="D13" s="3381"/>
      <c r="E13" s="1619" t="s">
        <v>2049</v>
      </c>
      <c r="F13" s="3397" t="s">
        <v>2869</v>
      </c>
      <c r="G13" s="3398"/>
      <c r="H13" s="3398"/>
      <c r="I13" s="3399"/>
      <c r="J13" s="3072"/>
      <c r="K13" s="3055"/>
      <c r="L13" s="3051"/>
      <c r="M13" s="3051"/>
      <c r="N13" s="3052"/>
      <c r="O13" s="3053"/>
      <c r="P13" s="3052"/>
      <c r="Q13" s="3052"/>
      <c r="R13" s="3052"/>
      <c r="S13" s="3052"/>
      <c r="T13" s="3052"/>
      <c r="U13" s="3052"/>
    </row>
    <row r="14" spans="1:21">
      <c r="A14" s="1587" t="s">
        <v>2050</v>
      </c>
      <c r="B14" s="1619"/>
      <c r="C14" s="1756"/>
      <c r="D14" s="1652" t="str">
        <f>IF(C14="不一致","是否符合证载地类范围","")</f>
        <v/>
      </c>
      <c r="E14" s="1619"/>
      <c r="F14" s="1702"/>
      <c r="G14" s="1647"/>
      <c r="H14" s="1647"/>
      <c r="I14" s="1749"/>
      <c r="J14" s="3072"/>
      <c r="K14" s="3055"/>
      <c r="L14" s="3051"/>
      <c r="M14" s="3051"/>
      <c r="N14" s="3052"/>
      <c r="O14" s="3053"/>
      <c r="P14" s="3052"/>
      <c r="Q14" s="3052"/>
      <c r="R14" s="3052"/>
      <c r="S14" s="3052"/>
      <c r="T14" s="3052"/>
      <c r="U14" s="3052"/>
    </row>
    <row r="15" spans="1:21" hidden="1">
      <c r="A15" s="2485"/>
      <c r="B15" s="1589"/>
      <c r="C15" s="1589"/>
      <c r="D15" s="1681" t="s">
        <v>1937</v>
      </c>
      <c r="E15" s="1681" t="s">
        <v>1938</v>
      </c>
      <c r="F15" s="1681" t="s">
        <v>1939</v>
      </c>
      <c r="G15" s="1609" t="s">
        <v>1940</v>
      </c>
      <c r="H15" s="1609" t="s">
        <v>1941</v>
      </c>
      <c r="I15" s="1609" t="s">
        <v>1942</v>
      </c>
      <c r="J15" s="3072"/>
      <c r="K15" s="3055"/>
      <c r="L15" s="3051"/>
      <c r="M15" s="3051"/>
      <c r="N15" s="3052"/>
      <c r="O15" s="3053"/>
      <c r="P15" s="3052"/>
      <c r="Q15" s="3052"/>
      <c r="R15" s="3052"/>
      <c r="S15" s="3052"/>
      <c r="T15" s="3052"/>
      <c r="U15" s="3052"/>
    </row>
    <row r="16" spans="1:21" ht="42.75">
      <c r="A16" s="3000" t="s">
        <v>1935</v>
      </c>
      <c r="B16" s="1605" t="s">
        <v>3366</v>
      </c>
      <c r="C16" s="1619" t="s">
        <v>1936</v>
      </c>
      <c r="D16" s="2486" t="s">
        <v>1937</v>
      </c>
      <c r="E16" s="1641" t="s">
        <v>3345</v>
      </c>
      <c r="F16" s="1641" t="s">
        <v>1668</v>
      </c>
      <c r="G16" s="1641"/>
      <c r="H16" s="1641"/>
      <c r="I16" s="1609" t="s">
        <v>1942</v>
      </c>
      <c r="J16" s="3072"/>
      <c r="K16" s="2309" t="str">
        <f>IF(D17="","",D16&amp;TEXT(D17,"yyyy年m月d日;;"))</f>
        <v>住宅2090年10月20日</v>
      </c>
      <c r="L16" s="1619" t="str">
        <f>IF(OR(K16="",M16=""),"","、")</f>
        <v>、</v>
      </c>
      <c r="M16" s="2309" t="str">
        <f>IF(E17="","",E16&amp;TEXT(E17,"yyyy年m月d日;;"))</f>
        <v>商业2060年10月20日</v>
      </c>
      <c r="N16" s="1619" t="str">
        <f>IF(OR(M16="",O16=""),"","、")</f>
        <v>、</v>
      </c>
      <c r="O16" s="2309" t="str">
        <f>IF(F17="","",F16&amp;TEXT(F17,"yyyy年m月d日;;"))</f>
        <v>办公2060年10月20日</v>
      </c>
      <c r="P16" s="1619" t="str">
        <f>IF(OR(O16="",Q16=""),"","、")</f>
        <v/>
      </c>
      <c r="Q16" s="2309" t="str">
        <f>IF(G17="","",G16&amp;TEXT(G17,"yyyy年m月d日;;"))</f>
        <v/>
      </c>
      <c r="R16" s="1619" t="str">
        <f>IF(OR(Q16="",S16=""),"","、")</f>
        <v/>
      </c>
      <c r="S16" s="2309" t="str">
        <f>IF(H17="","",H16&amp;TEXT(H17,"yyyy年m月d日;;"))</f>
        <v/>
      </c>
      <c r="T16" s="1619" t="str">
        <f>IF(OR(S16="",U16=""),"","、")</f>
        <v/>
      </c>
      <c r="U16" s="2309" t="str">
        <f>IF(I17="","",I16&amp;TEXT(I17,"yyyy年m月d日;;"))</f>
        <v/>
      </c>
    </row>
    <row r="17" spans="1:21">
      <c r="A17" s="1678"/>
      <c r="B17" s="1606"/>
      <c r="C17" s="3001" t="s">
        <v>1943</v>
      </c>
      <c r="D17" s="3274">
        <v>69691</v>
      </c>
      <c r="E17" s="3274">
        <v>58734</v>
      </c>
      <c r="F17" s="3274">
        <f>E17</f>
        <v>58734</v>
      </c>
      <c r="G17" s="3274"/>
      <c r="H17" s="3274"/>
      <c r="I17" s="3274"/>
      <c r="J17" s="3072"/>
      <c r="K17" s="3050" t="str">
        <f>CONCATENATE(K16,L16,M16,N16,O16,P16,Q16,R16,S16,T16,,U16)</f>
        <v>住宅2090年10月20日、商业2060年10月20日、办公2060年10月20日</v>
      </c>
      <c r="L17" s="3051"/>
      <c r="M17" s="3051"/>
      <c r="N17" s="3052"/>
      <c r="O17" s="3053"/>
      <c r="P17" s="3052"/>
      <c r="Q17" s="3052"/>
      <c r="R17" s="3052"/>
      <c r="S17" s="3052"/>
      <c r="T17" s="3052"/>
      <c r="U17" s="3052"/>
    </row>
    <row r="18" spans="1:21">
      <c r="A18" s="1678"/>
      <c r="B18" s="1606"/>
      <c r="C18" s="3001" t="s">
        <v>1944</v>
      </c>
      <c r="D18" s="1607">
        <v>70</v>
      </c>
      <c r="E18" s="1607">
        <v>40</v>
      </c>
      <c r="F18" s="1607">
        <v>40</v>
      </c>
      <c r="G18" s="1607"/>
      <c r="H18" s="1607"/>
      <c r="I18" s="1607"/>
      <c r="J18" s="3072"/>
      <c r="K18" s="3055"/>
      <c r="L18" s="3051"/>
      <c r="M18" s="3051"/>
      <c r="N18" s="3052"/>
      <c r="O18" s="3053"/>
      <c r="P18" s="3052"/>
      <c r="Q18" s="3052"/>
      <c r="R18" s="3052"/>
      <c r="S18" s="3052"/>
      <c r="T18" s="3052"/>
      <c r="U18" s="3052"/>
    </row>
    <row r="19" spans="1:21">
      <c r="A19" s="1678"/>
      <c r="B19" s="1606"/>
      <c r="C19" s="1586" t="s">
        <v>1945</v>
      </c>
      <c r="D19" s="1673">
        <f>IF(B16="出让",IF(D17="","",ROUNDDOWN(MIN((D17-$D$3)/365,D18),2)),D18)</f>
        <v>70</v>
      </c>
      <c r="E19" s="1608">
        <f>IF(B16="出让",IF(E17="","",ROUNDDOWN(MIN((E17-$D$3)/365,E18),2)),E18)</f>
        <v>40</v>
      </c>
      <c r="F19" s="1608">
        <f>IF(B16="出让",IF(F17="","",ROUNDDOWN(MIN((F17-$D$3)/365,F18),2)),F18)</f>
        <v>40</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8"/>
      <c r="B20" s="1699"/>
      <c r="C20" s="1700" t="s">
        <v>2048</v>
      </c>
      <c r="D20" s="3394"/>
      <c r="E20" s="3395"/>
      <c r="F20" s="3395"/>
      <c r="G20" s="3395"/>
      <c r="H20" s="3395"/>
      <c r="I20" s="3396"/>
      <c r="J20" s="3072"/>
      <c r="K20" s="3055"/>
      <c r="L20" s="3051"/>
      <c r="M20" s="3051"/>
      <c r="N20" s="3052"/>
      <c r="O20" s="3053"/>
      <c r="P20" s="3052"/>
      <c r="Q20" s="3052"/>
      <c r="R20" s="3052"/>
      <c r="S20" s="3052"/>
      <c r="T20" s="3052"/>
      <c r="U20" s="3052"/>
    </row>
    <row r="21" spans="1:21">
      <c r="A21" s="1678" t="s">
        <v>1946</v>
      </c>
      <c r="B21" s="1679" t="s">
        <v>1947</v>
      </c>
      <c r="C21" s="1674">
        <f>'数据-汇总表'!E3</f>
        <v>278949</v>
      </c>
      <c r="D21" s="1675" t="s">
        <v>1948</v>
      </c>
      <c r="E21" s="3384" t="s">
        <v>1986</v>
      </c>
      <c r="F21" s="3385"/>
      <c r="G21" s="3385"/>
      <c r="H21" s="3385"/>
      <c r="I21" s="3386"/>
      <c r="J21" s="3072"/>
      <c r="K21" s="3055"/>
      <c r="L21" s="3051"/>
      <c r="M21" s="3051"/>
      <c r="N21" s="3052"/>
      <c r="O21" s="3053"/>
      <c r="P21" s="3052"/>
      <c r="Q21" s="3052"/>
      <c r="R21" s="3052"/>
      <c r="S21" s="3052"/>
      <c r="T21" s="3052"/>
      <c r="U21" s="3052"/>
    </row>
    <row r="22" spans="1:21">
      <c r="A22" s="2800" t="s">
        <v>943</v>
      </c>
      <c r="B22" s="1587" t="s">
        <v>1949</v>
      </c>
      <c r="C22" s="1609">
        <f>'数据-汇总表'!D3</f>
        <v>160409</v>
      </c>
      <c r="D22" s="1610" t="s">
        <v>1948</v>
      </c>
      <c r="E22" s="3384" t="s">
        <v>2870</v>
      </c>
      <c r="F22" s="3385"/>
      <c r="G22" s="3385"/>
      <c r="H22" s="3385"/>
      <c r="I22" s="3386"/>
      <c r="J22" s="3072"/>
      <c r="K22" s="3055"/>
      <c r="L22" s="3051"/>
      <c r="M22" s="3051"/>
      <c r="N22" s="3052"/>
      <c r="O22" s="3053"/>
      <c r="P22" s="3052"/>
      <c r="Q22" s="3052"/>
      <c r="R22" s="3052"/>
      <c r="S22" s="3052"/>
      <c r="T22" s="3052"/>
      <c r="U22" s="3052"/>
    </row>
    <row r="23" spans="1:21" ht="43.5" thickBot="1">
      <c r="A23" s="1680" t="s">
        <v>1950</v>
      </c>
      <c r="B23" s="1620" t="s">
        <v>1951</v>
      </c>
      <c r="C23" s="1621" t="s">
        <v>3372</v>
      </c>
      <c r="D23" s="1622" t="s">
        <v>1952</v>
      </c>
      <c r="E23" s="1623"/>
      <c r="F23" s="1624" t="str">
        <f>IF(AND(C23="是",E23="否"),"是否提供他项权证或相关说明","")</f>
        <v/>
      </c>
      <c r="G23" s="1625"/>
      <c r="H23" s="3072"/>
      <c r="I23" s="3076"/>
      <c r="J23" s="3072"/>
      <c r="K23" s="3055"/>
      <c r="L23" s="3051"/>
      <c r="M23" s="3051"/>
      <c r="N23" s="3052"/>
      <c r="O23" s="3053"/>
      <c r="P23" s="3052"/>
      <c r="Q23" s="3052"/>
      <c r="R23" s="3052"/>
      <c r="S23" s="3052"/>
      <c r="T23" s="3052"/>
      <c r="U23" s="3052"/>
    </row>
    <row r="24" spans="1:21">
      <c r="A24" s="1665" t="s">
        <v>1953</v>
      </c>
      <c r="B24" s="3387" t="s">
        <v>1954</v>
      </c>
      <c r="C24" s="3388"/>
      <c r="D24" s="3389" t="s">
        <v>1955</v>
      </c>
      <c r="E24" s="3390"/>
      <c r="F24" s="1627" t="s">
        <v>1956</v>
      </c>
      <c r="G24" s="3072"/>
      <c r="H24" s="3072"/>
      <c r="I24" s="3076"/>
      <c r="J24" s="3072"/>
      <c r="K24" s="3375"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2"/>
      <c r="O24" s="3053"/>
      <c r="P24" s="3052"/>
      <c r="Q24" s="3052"/>
      <c r="R24" s="3052"/>
      <c r="S24" s="3052"/>
      <c r="T24" s="3052"/>
      <c r="U24" s="3052"/>
    </row>
    <row r="25" spans="1:21" ht="28.5">
      <c r="A25" s="1666"/>
      <c r="B25" s="1663" t="s">
        <v>2312</v>
      </c>
      <c r="C25" s="1628" t="s">
        <v>1958</v>
      </c>
      <c r="D25" s="1629"/>
      <c r="E25" s="1630" t="s">
        <v>943</v>
      </c>
      <c r="F25" s="1631"/>
      <c r="G25" s="3072"/>
      <c r="H25" s="3072"/>
      <c r="I25" s="3076"/>
      <c r="J25" s="3072"/>
      <c r="K25" s="3375"/>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2"/>
      <c r="O25" s="3053"/>
      <c r="P25" s="3052"/>
      <c r="Q25" s="3052"/>
      <c r="R25" s="3052"/>
      <c r="S25" s="3052"/>
      <c r="T25" s="3052"/>
      <c r="U25" s="3052"/>
    </row>
    <row r="26" spans="1:21" ht="29.25" thickBot="1">
      <c r="A26" s="1667"/>
      <c r="B26" s="1664" t="s">
        <v>1959</v>
      </c>
      <c r="C26" s="1628" t="s">
        <v>2313</v>
      </c>
      <c r="D26" s="3073"/>
      <c r="E26" s="3073"/>
      <c r="F26" s="3079"/>
      <c r="G26" s="3072"/>
      <c r="H26" s="3072"/>
      <c r="I26" s="3076"/>
      <c r="J26" s="3072"/>
      <c r="K26" s="3375"/>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2"/>
      <c r="O26" s="3053"/>
      <c r="P26" s="3052"/>
      <c r="Q26" s="3052"/>
      <c r="R26" s="3052"/>
      <c r="S26" s="3052"/>
      <c r="T26" s="3052"/>
      <c r="U26" s="3052"/>
    </row>
    <row r="27" spans="1:21">
      <c r="A27" s="1670" t="s">
        <v>1960</v>
      </c>
      <c r="B27" s="1668" t="s">
        <v>1961</v>
      </c>
      <c r="C27" s="1632"/>
      <c r="D27" s="2491" t="s">
        <v>1961</v>
      </c>
      <c r="E27" s="1633"/>
      <c r="F27" s="3079"/>
      <c r="G27" s="3072"/>
      <c r="H27" s="3072"/>
      <c r="I27" s="3076"/>
      <c r="J27" s="3072"/>
      <c r="K27" s="3055"/>
      <c r="L27" s="3051"/>
      <c r="M27" s="3051"/>
      <c r="N27" s="3052"/>
      <c r="O27" s="3053"/>
      <c r="P27" s="3052"/>
      <c r="Q27" s="3052"/>
      <c r="R27" s="3052"/>
      <c r="S27" s="3052"/>
      <c r="T27" s="3052"/>
      <c r="U27" s="3052"/>
    </row>
    <row r="28" spans="1:21">
      <c r="A28" s="1671"/>
      <c r="B28" s="1668" t="s">
        <v>1962</v>
      </c>
      <c r="C28" s="1634"/>
      <c r="D28" s="2492" t="s">
        <v>1962</v>
      </c>
      <c r="E28" s="1635"/>
      <c r="F28" s="3079"/>
      <c r="G28" s="3072"/>
      <c r="H28" s="3072"/>
      <c r="I28" s="3076"/>
      <c r="J28" s="3072"/>
      <c r="K28" s="3055"/>
      <c r="L28" s="3051"/>
      <c r="M28" s="3051"/>
      <c r="N28" s="3052"/>
      <c r="O28" s="3053"/>
      <c r="P28" s="3052"/>
      <c r="Q28" s="3052"/>
      <c r="R28" s="3052"/>
      <c r="S28" s="3052"/>
      <c r="T28" s="3052"/>
      <c r="U28" s="3052"/>
    </row>
    <row r="29" spans="1:21">
      <c r="A29" s="1671"/>
      <c r="B29" s="1668" t="s">
        <v>1963</v>
      </c>
      <c r="C29" s="1634"/>
      <c r="D29" s="2492" t="s">
        <v>1963</v>
      </c>
      <c r="E29" s="1635"/>
      <c r="F29" s="3079"/>
      <c r="G29" s="3072"/>
      <c r="H29" s="3072"/>
      <c r="I29" s="3076"/>
      <c r="J29" s="3072"/>
      <c r="K29" s="3055"/>
      <c r="L29" s="3051"/>
      <c r="M29" s="3051"/>
      <c r="N29" s="3052"/>
      <c r="O29" s="3053"/>
      <c r="P29" s="3052"/>
      <c r="Q29" s="3052"/>
      <c r="R29" s="3052"/>
      <c r="S29" s="3052"/>
      <c r="T29" s="3052"/>
      <c r="U29" s="3052"/>
    </row>
    <row r="30" spans="1:21" ht="15" thickBot="1">
      <c r="A30" s="1672"/>
      <c r="B30" s="1669" t="s">
        <v>1964</v>
      </c>
      <c r="C30" s="1636"/>
      <c r="D30" s="2493" t="s">
        <v>1964</v>
      </c>
      <c r="E30" s="1637"/>
      <c r="F30" s="3080"/>
      <c r="G30" s="3077"/>
      <c r="H30" s="3077"/>
      <c r="I30" s="3078"/>
      <c r="J30" s="3072"/>
      <c r="K30" s="3055"/>
      <c r="L30" s="3051"/>
      <c r="M30" s="3051"/>
      <c r="N30" s="3052"/>
      <c r="O30" s="3053"/>
      <c r="P30" s="3052"/>
      <c r="Q30" s="3052"/>
      <c r="R30" s="3052"/>
      <c r="S30" s="3052"/>
      <c r="T30" s="3052"/>
      <c r="U30" s="3052"/>
    </row>
    <row r="31" spans="1:21" ht="15" thickTop="1">
      <c r="A31" s="3402" t="s">
        <v>1989</v>
      </c>
      <c r="B31" s="1679" t="s">
        <v>1990</v>
      </c>
      <c r="C31" s="3400"/>
      <c r="D31" s="3401"/>
      <c r="E31" s="3072"/>
      <c r="F31" s="3072"/>
      <c r="G31" s="3072"/>
      <c r="H31" s="3072"/>
      <c r="I31" s="3076"/>
      <c r="J31" s="3072"/>
      <c r="K31" s="3058"/>
      <c r="L31" s="3052"/>
      <c r="M31" s="3052"/>
      <c r="N31" s="3052"/>
      <c r="O31" s="3052"/>
      <c r="P31" s="3052"/>
      <c r="Q31" s="3052"/>
      <c r="R31" s="3052"/>
      <c r="S31" s="3052"/>
      <c r="T31" s="3052"/>
      <c r="U31" s="3052"/>
    </row>
    <row r="32" spans="1:21">
      <c r="A32" s="3402"/>
      <c r="B32" s="1587" t="s">
        <v>1991</v>
      </c>
      <c r="C32" s="1638"/>
      <c r="D32" s="1639"/>
      <c r="E32" s="3072"/>
      <c r="F32" s="3072"/>
      <c r="G32" s="3072"/>
      <c r="H32" s="3072"/>
      <c r="I32" s="3076"/>
      <c r="J32" s="3072"/>
      <c r="K32" s="3058"/>
      <c r="L32" s="3052"/>
      <c r="M32" s="3052"/>
      <c r="N32" s="3052"/>
      <c r="O32" s="3052"/>
      <c r="P32" s="3052"/>
      <c r="Q32" s="3052"/>
      <c r="R32" s="3052"/>
      <c r="S32" s="3052"/>
      <c r="T32" s="3052"/>
      <c r="U32" s="3052"/>
    </row>
    <row r="33" spans="1:28">
      <c r="A33" s="3402"/>
      <c r="B33" s="1587" t="s">
        <v>1992</v>
      </c>
      <c r="C33" s="1640"/>
      <c r="D33" s="1750"/>
      <c r="E33" s="3072"/>
      <c r="F33" s="3072"/>
      <c r="G33" s="3072"/>
      <c r="H33" s="3072"/>
      <c r="I33" s="3076"/>
      <c r="J33" s="3072"/>
      <c r="K33" s="3058"/>
      <c r="L33" s="3052"/>
      <c r="M33" s="3052"/>
      <c r="N33" s="3052"/>
      <c r="O33" s="3052"/>
      <c r="P33" s="3052"/>
      <c r="Q33" s="3052"/>
      <c r="R33" s="3052"/>
      <c r="S33" s="3052"/>
      <c r="T33" s="3052"/>
      <c r="U33" s="3052"/>
    </row>
    <row r="34" spans="1:28">
      <c r="A34" s="3403"/>
      <c r="B34" s="1587" t="s">
        <v>1993</v>
      </c>
      <c r="C34" s="3404"/>
      <c r="D34" s="3405"/>
      <c r="E34" s="3072"/>
      <c r="F34" s="3072"/>
      <c r="G34" s="3072"/>
      <c r="H34" s="3072"/>
      <c r="I34" s="3076"/>
      <c r="J34" s="3072"/>
      <c r="K34" s="3058"/>
      <c r="L34" s="3052"/>
      <c r="M34" s="3052"/>
      <c r="N34" s="3052"/>
      <c r="O34" s="3052"/>
      <c r="P34" s="3052"/>
      <c r="Q34" s="3052"/>
      <c r="R34" s="3052"/>
      <c r="S34" s="3052"/>
      <c r="T34" s="3052"/>
      <c r="U34" s="3052"/>
    </row>
    <row r="35" spans="1:28">
      <c r="A35" s="3406" t="s">
        <v>839</v>
      </c>
      <c r="B35" s="1641"/>
      <c r="C35" s="1688" t="str">
        <f>IF(B35="场地平整","——","具体情况：")</f>
        <v>具体情况：</v>
      </c>
      <c r="D35" s="3408"/>
      <c r="E35" s="3409"/>
      <c r="F35" s="3409"/>
      <c r="G35" s="3409"/>
      <c r="H35" s="3409"/>
      <c r="I35" s="3410"/>
      <c r="J35" s="3072"/>
      <c r="K35" s="3059"/>
      <c r="L35" s="3051"/>
      <c r="M35" s="3051"/>
      <c r="N35" s="3052"/>
      <c r="O35" s="3053"/>
      <c r="P35" s="3052"/>
      <c r="Q35" s="3052"/>
      <c r="R35" s="3052"/>
      <c r="S35" s="3052"/>
      <c r="T35" s="3052"/>
      <c r="U35" s="3052"/>
    </row>
    <row r="36" spans="1:28">
      <c r="A36" s="3402"/>
      <c r="B36" s="3411" t="s">
        <v>2042</v>
      </c>
      <c r="C36" s="3412"/>
      <c r="D36" s="1704"/>
      <c r="E36" s="3413"/>
      <c r="F36" s="3413"/>
      <c r="G36" s="1610" t="str">
        <f>IF(B35="场地未平整","估价结果处理","")</f>
        <v/>
      </c>
      <c r="H36" s="3414"/>
      <c r="I36" s="3414"/>
      <c r="J36" s="3072"/>
      <c r="K36" s="3059"/>
      <c r="L36" s="3051"/>
      <c r="M36" s="3051"/>
      <c r="N36" s="3052"/>
      <c r="O36" s="3053"/>
      <c r="P36" s="3052"/>
      <c r="Q36" s="3052"/>
      <c r="R36" s="3052"/>
      <c r="S36" s="3052"/>
      <c r="T36" s="3052"/>
      <c r="U36" s="3052"/>
    </row>
    <row r="37" spans="1:28" ht="28.5">
      <c r="A37" s="3402"/>
      <c r="B37" s="3391" t="s">
        <v>840</v>
      </c>
      <c r="C37" s="1643" t="s">
        <v>841</v>
      </c>
      <c r="D37" s="1644"/>
      <c r="E37" s="1645"/>
      <c r="F37" s="3072"/>
      <c r="G37" s="3072"/>
      <c r="H37" s="3072"/>
      <c r="I37" s="3076"/>
      <c r="J37" s="3072"/>
      <c r="K37" s="3059"/>
      <c r="L37" s="3052"/>
      <c r="M37" s="3052"/>
      <c r="N37" s="3052"/>
      <c r="O37" s="3052"/>
      <c r="P37" s="3052"/>
      <c r="Q37" s="3052"/>
      <c r="R37" s="3052"/>
      <c r="S37" s="3052"/>
      <c r="T37" s="3052"/>
      <c r="U37" s="3052"/>
    </row>
    <row r="38" spans="1:28">
      <c r="A38" s="3402"/>
      <c r="B38" s="3392"/>
      <c r="C38" s="1595" t="s">
        <v>842</v>
      </c>
      <c r="D38" s="1703">
        <f>ROUNDDOWN(MIN(('数据-取费表'!$B$2-D37)/365,D34),1)</f>
        <v>120.8</v>
      </c>
      <c r="E38" s="1646" t="s">
        <v>843</v>
      </c>
      <c r="F38" s="3072"/>
      <c r="G38" s="3072"/>
      <c r="H38" s="3072"/>
      <c r="I38" s="3076"/>
      <c r="J38" s="3072"/>
      <c r="K38" s="3059"/>
      <c r="L38" s="3052"/>
      <c r="M38" s="3052"/>
      <c r="N38" s="3052"/>
      <c r="O38" s="3052"/>
      <c r="P38" s="3052"/>
      <c r="Q38" s="3052"/>
      <c r="R38" s="3052"/>
      <c r="S38" s="3052"/>
      <c r="T38" s="3052"/>
      <c r="U38" s="3052"/>
    </row>
    <row r="39" spans="1:28">
      <c r="A39" s="3403"/>
      <c r="B39" s="3393"/>
      <c r="C39" s="1617" t="str">
        <f>IF(D38&lt;1,"不存在土地闲置",IF(B35="宗地内已开工建设","已开工，不存在土地闲置","估价对象已涉嫌土地闲置"))</f>
        <v>估价对象已涉嫌土地闲置</v>
      </c>
      <c r="D39" s="1647"/>
      <c r="E39" s="1648"/>
      <c r="F39" s="3072"/>
      <c r="G39" s="3072"/>
      <c r="H39" s="3072"/>
      <c r="I39" s="3076"/>
      <c r="J39" s="3072"/>
      <c r="K39" s="3055"/>
      <c r="L39" s="3051"/>
      <c r="M39" s="3051"/>
      <c r="N39" s="3052"/>
      <c r="O39" s="3053"/>
      <c r="P39" s="3052"/>
      <c r="Q39" s="3052"/>
      <c r="R39" s="3052"/>
      <c r="S39" s="3052"/>
      <c r="T39" s="3052"/>
      <c r="U39" s="3052"/>
    </row>
    <row r="40" spans="1:28">
      <c r="A40" s="1610" t="s">
        <v>1965</v>
      </c>
      <c r="B40" s="1611"/>
      <c r="C40" s="1611"/>
      <c r="D40" s="1611"/>
      <c r="E40" s="1611"/>
      <c r="F40" s="1611"/>
      <c r="G40" s="1611"/>
      <c r="H40" s="1611"/>
      <c r="I40" s="3076"/>
      <c r="J40" s="3072"/>
      <c r="K40" s="3020">
        <f>COUNTIF(B40:H40,"——")</f>
        <v>0</v>
      </c>
      <c r="L40" s="1619" t="s">
        <v>1966</v>
      </c>
      <c r="M40" s="1616" t="s">
        <v>1967</v>
      </c>
      <c r="N40" s="1616" t="s">
        <v>1968</v>
      </c>
      <c r="O40" s="1616" t="s">
        <v>1969</v>
      </c>
      <c r="P40" s="1616" t="s">
        <v>1970</v>
      </c>
      <c r="Q40" s="1616" t="s">
        <v>1971</v>
      </c>
      <c r="R40" s="1616" t="s">
        <v>1972</v>
      </c>
      <c r="S40" s="3374" t="s">
        <v>1973</v>
      </c>
      <c r="T40" s="1650" t="str">
        <f>NUMBERSTRING(7-K40,1)&amp;"通"</f>
        <v>七通</v>
      </c>
      <c r="U40" s="3052"/>
    </row>
    <row r="41" spans="1:28">
      <c r="A41" s="1589"/>
      <c r="B41" s="3407" t="s">
        <v>1711</v>
      </c>
      <c r="C41" s="3407"/>
      <c r="D41" s="3407"/>
      <c r="E41" s="3407"/>
      <c r="F41" s="1651" t="str">
        <f>C10</f>
        <v>河北省</v>
      </c>
      <c r="G41" s="3072"/>
      <c r="H41" s="3072"/>
      <c r="I41" s="3076"/>
      <c r="J41" s="3072"/>
      <c r="K41" s="1619"/>
      <c r="L41" s="1616">
        <f>B40</f>
        <v>0</v>
      </c>
      <c r="M41" s="1652" t="str">
        <f>B40&amp;"、"&amp;C40</f>
        <v>、</v>
      </c>
      <c r="N41" s="1653" t="str">
        <f>B40&amp;"、"&amp;C40&amp;"、"&amp;D40</f>
        <v>、、</v>
      </c>
      <c r="O41" s="1653" t="str">
        <f>B40&amp;"、"&amp;C40&amp;"、"&amp;D40&amp;"、"&amp;E40</f>
        <v>、、、</v>
      </c>
      <c r="P41" s="1653" t="str">
        <f>B40&amp;"、"&amp;C40&amp;"、"&amp;D40&amp;"、"&amp;E40&amp;"、"&amp;F40</f>
        <v>、、、、</v>
      </c>
      <c r="Q41" s="1653" t="str">
        <f>B40&amp;"、"&amp;C40&amp;"、"&amp;D40&amp;"、"&amp;E40&amp;"、"&amp;F40&amp;"、"&amp;G40</f>
        <v>、、、、、</v>
      </c>
      <c r="R41" s="1653" t="str">
        <f>B40&amp;"、"&amp;C40&amp;"、"&amp;D40&amp;"、"&amp;E40&amp;"、"&amp;F40&amp;"、"&amp;G40&amp;"、"&amp;H40</f>
        <v>、、、、、、</v>
      </c>
      <c r="S41" s="3374"/>
      <c r="T41" s="1652" t="str">
        <f>IF(T40="一通",L41,IF(T40="二通",M41,IF(T40="三通",N41,IF(T40="四通",O41,IF(T40="五通",P41,IF(T40="六通",Q41,R41))))))</f>
        <v>、、、、、、</v>
      </c>
      <c r="U41" s="3052"/>
    </row>
    <row r="42" spans="1:28">
      <c r="A42" s="1654"/>
      <c r="B42" s="1681" t="s">
        <v>1887</v>
      </c>
      <c r="C42" s="1681" t="s">
        <v>1888</v>
      </c>
      <c r="D42" s="1681" t="s">
        <v>1889</v>
      </c>
      <c r="E42" s="1619" t="s">
        <v>1890</v>
      </c>
      <c r="F42" s="1655"/>
      <c r="G42" s="3072"/>
      <c r="H42" s="3072"/>
      <c r="I42" s="3076"/>
      <c r="J42" s="3072"/>
      <c r="K42" s="3055"/>
      <c r="L42" s="3051"/>
      <c r="M42" s="3051"/>
      <c r="N42" s="3052"/>
      <c r="O42" s="3053"/>
      <c r="P42" s="3052"/>
      <c r="Q42" s="3052"/>
      <c r="R42" s="3052"/>
      <c r="S42" s="3052"/>
      <c r="T42" s="3052"/>
      <c r="U42" s="3052"/>
    </row>
    <row r="43" spans="1:28">
      <c r="A43" s="3023" t="s">
        <v>1696</v>
      </c>
      <c r="B43" s="1656"/>
      <c r="C43" s="1656"/>
      <c r="D43" s="1656"/>
      <c r="E43" s="1656"/>
      <c r="F43" s="1657"/>
      <c r="G43" s="3072"/>
      <c r="H43" s="3072"/>
      <c r="I43" s="3076"/>
      <c r="J43" s="3072"/>
      <c r="K43" s="3055"/>
      <c r="L43" s="3051"/>
      <c r="M43" s="3051"/>
      <c r="N43" s="3052"/>
      <c r="O43" s="3053"/>
      <c r="P43" s="3052"/>
      <c r="Q43" s="3052"/>
      <c r="R43" s="3052"/>
      <c r="S43" s="3052"/>
      <c r="T43" s="3052"/>
      <c r="U43" s="3052"/>
    </row>
    <row r="44" spans="1:28">
      <c r="A44" s="3023" t="s">
        <v>1697</v>
      </c>
      <c r="B44" s="1656"/>
      <c r="C44" s="1656"/>
      <c r="D44" s="1656"/>
      <c r="E44" s="1704"/>
      <c r="F44" s="1657"/>
      <c r="G44" s="3072"/>
      <c r="H44" s="3072"/>
      <c r="I44" s="3076"/>
      <c r="J44" s="3072"/>
      <c r="K44" s="3055"/>
      <c r="L44" s="3051"/>
      <c r="M44" s="3051"/>
      <c r="N44" s="3052"/>
      <c r="O44" s="3053"/>
      <c r="P44" s="3052"/>
      <c r="Q44" s="3052"/>
      <c r="R44" s="3052"/>
      <c r="S44" s="3052"/>
      <c r="T44" s="3052"/>
      <c r="U44" s="3052"/>
    </row>
    <row r="45" spans="1:28" s="2771" customFormat="1" ht="21" thickBot="1">
      <c r="A45" s="2772" t="s">
        <v>2871</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6"/>
      <c r="J46" s="1614"/>
      <c r="K46" s="3055"/>
      <c r="L46" s="3051"/>
      <c r="M46" s="3051"/>
      <c r="N46" s="3052"/>
      <c r="O46" s="3053"/>
      <c r="P46" s="3052"/>
      <c r="Q46" s="3052"/>
      <c r="R46" s="3052"/>
      <c r="S46" s="3052"/>
      <c r="T46" s="3052"/>
      <c r="U46" s="3052"/>
    </row>
    <row r="47" spans="1:28">
      <c r="A47" s="1658" t="s">
        <v>1994</v>
      </c>
      <c r="B47" s="1659"/>
      <c r="C47" s="1648"/>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1995</v>
      </c>
      <c r="B48" s="1609" t="s">
        <v>1996</v>
      </c>
      <c r="C48" s="1609" t="s">
        <v>1997</v>
      </c>
      <c r="D48" s="1609" t="s">
        <v>1998</v>
      </c>
      <c r="E48" s="1609" t="s">
        <v>1999</v>
      </c>
      <c r="F48" s="1609" t="s">
        <v>2000</v>
      </c>
      <c r="G48" s="1609" t="s">
        <v>2001</v>
      </c>
      <c r="H48" s="1609" t="s">
        <v>2002</v>
      </c>
      <c r="I48" s="1609" t="s">
        <v>2003</v>
      </c>
      <c r="J48" s="1687" t="s">
        <v>2004</v>
      </c>
      <c r="K48" s="3065" t="s">
        <v>2005</v>
      </c>
      <c r="L48" s="3065" t="s">
        <v>2006</v>
      </c>
      <c r="M48" s="3065" t="s">
        <v>2007</v>
      </c>
      <c r="N48" s="3066" t="s">
        <v>2008</v>
      </c>
      <c r="O48" s="3066" t="s">
        <v>2009</v>
      </c>
      <c r="P48" s="3066" t="s">
        <v>2010</v>
      </c>
      <c r="Q48" s="3057" t="s">
        <v>2011</v>
      </c>
      <c r="R48" s="3057" t="s">
        <v>2012</v>
      </c>
      <c r="S48" s="3052"/>
      <c r="T48" s="3052"/>
      <c r="U48" s="3052"/>
    </row>
    <row r="49" spans="1:21">
      <c r="A49" s="1616"/>
      <c r="B49" s="1649"/>
      <c r="C49" s="1649"/>
      <c r="D49" s="1649"/>
      <c r="E49" s="1649"/>
      <c r="F49" s="1649"/>
      <c r="G49" s="1649"/>
      <c r="H49" s="1649"/>
      <c r="I49" s="1649"/>
      <c r="J49" s="1751"/>
      <c r="K49" s="3067"/>
      <c r="L49" s="3067"/>
      <c r="M49" s="1655"/>
      <c r="N49" s="1655"/>
      <c r="O49" s="1655"/>
      <c r="P49" s="1655"/>
      <c r="Q49" s="1655"/>
      <c r="R49" s="1655"/>
      <c r="S49" s="3052"/>
      <c r="T49" s="3052"/>
      <c r="U49" s="3052"/>
    </row>
    <row r="50" spans="1:21">
      <c r="A50" s="1616"/>
      <c r="B50" s="1616"/>
      <c r="C50" s="1649"/>
      <c r="D50" s="1649"/>
      <c r="E50" s="1649"/>
      <c r="F50" s="1649"/>
      <c r="G50" s="1649"/>
      <c r="H50" s="1649"/>
      <c r="I50" s="1649"/>
      <c r="J50" s="1751"/>
      <c r="K50" s="3067"/>
      <c r="L50" s="3067"/>
      <c r="M50" s="1655"/>
      <c r="N50" s="1655"/>
      <c r="O50" s="1655"/>
      <c r="P50" s="1655"/>
      <c r="Q50" s="1655"/>
      <c r="R50" s="1655"/>
      <c r="S50" s="3052"/>
      <c r="T50" s="3052"/>
      <c r="U50" s="3052"/>
    </row>
    <row r="51" spans="1:21">
      <c r="A51" s="1616"/>
      <c r="B51" s="1616"/>
      <c r="C51" s="1649"/>
      <c r="D51" s="1649"/>
      <c r="E51" s="1649"/>
      <c r="F51" s="1649"/>
      <c r="G51" s="1649"/>
      <c r="H51" s="1649"/>
      <c r="I51" s="1649"/>
      <c r="J51" s="1751"/>
      <c r="K51" s="3067"/>
      <c r="L51" s="3067"/>
      <c r="M51" s="1655"/>
      <c r="N51" s="1655"/>
      <c r="O51" s="1655"/>
      <c r="P51" s="1655"/>
      <c r="Q51" s="1655"/>
      <c r="R51" s="1655"/>
      <c r="S51" s="3052"/>
      <c r="T51" s="3052"/>
      <c r="U51" s="3052"/>
    </row>
    <row r="52" spans="1:21">
      <c r="A52" s="1616"/>
      <c r="B52" s="1616"/>
      <c r="C52" s="1649"/>
      <c r="D52" s="1649"/>
      <c r="E52" s="1649"/>
      <c r="F52" s="1649"/>
      <c r="G52" s="1649"/>
      <c r="H52" s="1649"/>
      <c r="I52" s="1649"/>
      <c r="J52" s="1751"/>
      <c r="K52" s="3067"/>
      <c r="L52" s="3067"/>
      <c r="M52" s="1655"/>
      <c r="N52" s="1655"/>
      <c r="O52" s="1655"/>
      <c r="P52" s="1655"/>
      <c r="Q52" s="1655"/>
      <c r="R52" s="1655"/>
      <c r="S52" s="3052"/>
      <c r="T52" s="3052"/>
      <c r="U52" s="3052"/>
    </row>
    <row r="53" spans="1:21">
      <c r="A53" s="1616"/>
      <c r="B53" s="1616"/>
      <c r="C53" s="1649"/>
      <c r="D53" s="1649"/>
      <c r="E53" s="1649"/>
      <c r="F53" s="1649"/>
      <c r="G53" s="1649"/>
      <c r="H53" s="1649"/>
      <c r="I53" s="1649"/>
      <c r="J53" s="1751"/>
      <c r="K53" s="3067"/>
      <c r="L53" s="3067"/>
      <c r="M53" s="1655"/>
      <c r="N53" s="1655"/>
      <c r="O53" s="1655"/>
      <c r="P53" s="1655"/>
      <c r="Q53" s="1655"/>
      <c r="R53" s="1655"/>
      <c r="S53" s="3052"/>
      <c r="T53" s="3052"/>
      <c r="U53" s="3052"/>
    </row>
    <row r="54" spans="1:21">
      <c r="A54" s="1616"/>
      <c r="B54" s="1616"/>
      <c r="C54" s="1616"/>
      <c r="D54" s="1616"/>
      <c r="E54" s="1616"/>
      <c r="F54" s="1649"/>
      <c r="G54" s="1616"/>
      <c r="H54" s="1616"/>
      <c r="I54" s="1616"/>
      <c r="J54" s="1752"/>
      <c r="K54" s="3067"/>
      <c r="L54" s="3067"/>
      <c r="M54" s="3067"/>
      <c r="N54" s="3019"/>
      <c r="O54" s="3019"/>
      <c r="P54" s="3019"/>
      <c r="Q54" s="3019"/>
      <c r="R54" s="3019"/>
      <c r="S54" s="3052"/>
      <c r="T54" s="3052"/>
      <c r="U54" s="3052"/>
    </row>
    <row r="55" spans="1:21">
      <c r="A55" s="1616"/>
      <c r="B55" s="1616"/>
      <c r="C55" s="1616"/>
      <c r="D55" s="1616"/>
      <c r="E55" s="1616"/>
      <c r="F55" s="1649"/>
      <c r="G55" s="1616"/>
      <c r="H55" s="1616"/>
      <c r="I55" s="1616"/>
      <c r="J55" s="1752"/>
      <c r="K55" s="3067"/>
      <c r="L55" s="3067"/>
      <c r="M55" s="3067"/>
      <c r="N55" s="3019"/>
      <c r="O55" s="3019"/>
      <c r="P55" s="3019"/>
      <c r="Q55" s="3019"/>
      <c r="R55" s="3019"/>
      <c r="S55" s="3052"/>
      <c r="T55" s="3052"/>
      <c r="U55" s="3052"/>
    </row>
    <row r="56" spans="1:21">
      <c r="A56" s="1616"/>
      <c r="B56" s="1616"/>
      <c r="C56" s="1616"/>
      <c r="D56" s="1616"/>
      <c r="E56" s="1616"/>
      <c r="F56" s="1649"/>
      <c r="G56" s="1616"/>
      <c r="H56" s="1616"/>
      <c r="I56" s="1616"/>
      <c r="J56" s="1752"/>
      <c r="K56" s="3067"/>
      <c r="L56" s="3067"/>
      <c r="M56" s="3067"/>
      <c r="N56" s="3019"/>
      <c r="O56" s="3019"/>
      <c r="P56" s="3019"/>
      <c r="Q56" s="3019"/>
      <c r="R56" s="3019"/>
      <c r="S56" s="3052"/>
      <c r="T56" s="3052"/>
      <c r="U56" s="3052"/>
    </row>
    <row r="57" spans="1:21">
      <c r="A57" s="1616"/>
      <c r="B57" s="1616"/>
      <c r="C57" s="1616"/>
      <c r="D57" s="1616"/>
      <c r="E57" s="1616"/>
      <c r="F57" s="1649"/>
      <c r="G57" s="1616"/>
      <c r="H57" s="1616"/>
      <c r="I57" s="1616"/>
      <c r="J57" s="1752"/>
      <c r="K57" s="3067"/>
      <c r="L57" s="3067"/>
      <c r="M57" s="3067"/>
      <c r="N57" s="3019"/>
      <c r="O57" s="3019"/>
      <c r="P57" s="3019"/>
      <c r="Q57" s="3019"/>
      <c r="R57" s="3019"/>
      <c r="S57" s="3052"/>
      <c r="T57" s="3052"/>
      <c r="U57" s="3052"/>
    </row>
    <row r="58" spans="1:21">
      <c r="A58" s="1616"/>
      <c r="B58" s="1616"/>
      <c r="C58" s="1616"/>
      <c r="D58" s="1616"/>
      <c r="E58" s="1616"/>
      <c r="F58" s="1649"/>
      <c r="G58" s="1616"/>
      <c r="H58" s="1616"/>
      <c r="I58" s="1616"/>
      <c r="J58" s="1752"/>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L13" sqref="A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customWidth="1"/>
    <col min="18" max="18" width="9.125" style="15" customWidth="1"/>
    <col min="19" max="19" width="10.875" style="15" customWidth="1"/>
    <col min="20" max="21" width="10.625" style="15" customWidth="1"/>
    <col min="22" max="22" width="10.875" style="15" customWidth="1"/>
    <col min="23" max="27" width="10.625" style="15" customWidth="1"/>
    <col min="28" max="28" width="10.875" style="15"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f>面积拆分!E18</f>
        <v>160409</v>
      </c>
      <c r="B3" s="22">
        <f>IF(C3="否",G5-AT5,G5)</f>
        <v>278949</v>
      </c>
      <c r="C3" s="23"/>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278949</v>
      </c>
      <c r="H5" s="27">
        <f t="shared" ref="H5:AT5" si="0">SUM(H13:H641)</f>
        <v>268447</v>
      </c>
      <c r="I5" s="27">
        <f t="shared" si="0"/>
        <v>155327</v>
      </c>
      <c r="J5" s="27">
        <f t="shared" si="0"/>
        <v>0</v>
      </c>
      <c r="K5" s="27">
        <f t="shared" si="0"/>
        <v>32206</v>
      </c>
      <c r="L5" s="27">
        <f t="shared" si="0"/>
        <v>0</v>
      </c>
      <c r="M5" s="27">
        <f t="shared" si="0"/>
        <v>16603</v>
      </c>
      <c r="N5" s="27">
        <f t="shared" si="0"/>
        <v>0</v>
      </c>
      <c r="O5" s="27">
        <f t="shared" si="0"/>
        <v>25604</v>
      </c>
      <c r="P5" s="27">
        <f t="shared" si="0"/>
        <v>0</v>
      </c>
      <c r="Q5" s="27">
        <f t="shared" si="0"/>
        <v>38707</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10502</v>
      </c>
      <c r="AD5" s="27">
        <f t="shared" si="0"/>
        <v>0</v>
      </c>
      <c r="AE5" s="27">
        <f t="shared" si="0"/>
        <v>0</v>
      </c>
      <c r="AF5" s="27">
        <f t="shared" si="0"/>
        <v>0</v>
      </c>
      <c r="AG5" s="27">
        <f t="shared" si="0"/>
        <v>0</v>
      </c>
      <c r="AH5" s="27">
        <f t="shared" si="0"/>
        <v>0</v>
      </c>
      <c r="AI5" s="27">
        <f t="shared" si="0"/>
        <v>0</v>
      </c>
      <c r="AJ5" s="27">
        <f t="shared" si="0"/>
        <v>0</v>
      </c>
      <c r="AK5" s="27">
        <f t="shared" si="0"/>
        <v>0</v>
      </c>
      <c r="AL5" s="27">
        <f t="shared" si="0"/>
        <v>10502</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278949</v>
      </c>
      <c r="BA5" s="29">
        <f t="shared" si="1"/>
        <v>268447</v>
      </c>
      <c r="BB5" s="29">
        <f t="shared" si="1"/>
        <v>155327</v>
      </c>
      <c r="BC5" s="29">
        <f t="shared" si="1"/>
        <v>32206</v>
      </c>
      <c r="BD5" s="29">
        <f t="shared" si="1"/>
        <v>16603</v>
      </c>
      <c r="BE5" s="29">
        <f t="shared" si="1"/>
        <v>25604</v>
      </c>
      <c r="BF5" s="29">
        <f t="shared" si="1"/>
        <v>38707</v>
      </c>
      <c r="BG5" s="29">
        <f t="shared" si="1"/>
        <v>0</v>
      </c>
      <c r="BH5" s="29">
        <f t="shared" si="1"/>
        <v>0</v>
      </c>
      <c r="BI5" s="29">
        <f t="shared" si="1"/>
        <v>0</v>
      </c>
      <c r="BJ5" s="29">
        <f t="shared" si="1"/>
        <v>0</v>
      </c>
      <c r="BK5" s="29">
        <f t="shared" si="1"/>
        <v>0</v>
      </c>
      <c r="BL5" s="29">
        <f t="shared" si="1"/>
        <v>10502</v>
      </c>
      <c r="BM5" s="29">
        <f t="shared" si="1"/>
        <v>0</v>
      </c>
      <c r="BN5" s="29">
        <f t="shared" si="1"/>
        <v>0</v>
      </c>
      <c r="BO5" s="29">
        <f t="shared" si="1"/>
        <v>0</v>
      </c>
      <c r="BP5" s="29">
        <f t="shared" si="1"/>
        <v>0</v>
      </c>
      <c r="BQ5" s="29">
        <f t="shared" si="1"/>
        <v>10502</v>
      </c>
      <c r="BR5" s="29">
        <f t="shared" si="1"/>
        <v>0</v>
      </c>
      <c r="BS5" s="29">
        <f t="shared" si="1"/>
        <v>0</v>
      </c>
      <c r="BT5" s="30">
        <f t="shared" si="1"/>
        <v>0</v>
      </c>
    </row>
    <row r="6" spans="1:72" s="37" customFormat="1" ht="12.75">
      <c r="A6" s="26" t="s">
        <v>169</v>
      </c>
      <c r="B6" s="31"/>
      <c r="C6" s="31"/>
      <c r="D6" s="32"/>
      <c r="E6" s="27">
        <f>H6+AC6+AT6</f>
        <v>160408.99</v>
      </c>
      <c r="F6" s="27" t="s">
        <v>1</v>
      </c>
      <c r="G6" s="27" t="s">
        <v>2</v>
      </c>
      <c r="H6" s="33">
        <f>SUMIF(I$12:AB$12,"总值",I6:AB6)</f>
        <v>154369.84</v>
      </c>
      <c r="I6" s="27">
        <f t="shared" ref="I6:AB6" si="2">ROUND($A$3*I5/$B$3,2)</f>
        <v>89320.44</v>
      </c>
      <c r="J6" s="27">
        <f t="shared" si="2"/>
        <v>0</v>
      </c>
      <c r="K6" s="27">
        <f t="shared" si="2"/>
        <v>18519.990000000002</v>
      </c>
      <c r="L6" s="27">
        <f t="shared" si="2"/>
        <v>0</v>
      </c>
      <c r="M6" s="27">
        <f t="shared" si="2"/>
        <v>9547.52</v>
      </c>
      <c r="N6" s="27">
        <f t="shared" si="2"/>
        <v>0</v>
      </c>
      <c r="O6" s="27">
        <f t="shared" si="2"/>
        <v>14723.52</v>
      </c>
      <c r="P6" s="27">
        <f t="shared" si="2"/>
        <v>0</v>
      </c>
      <c r="Q6" s="27">
        <f t="shared" si="2"/>
        <v>22258.37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6039.15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6039.15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160409</v>
      </c>
      <c r="AZ6" s="27" t="s">
        <v>3</v>
      </c>
      <c r="BA6" s="27">
        <f>ROUND($AY$6*BA5/$AZ$5,2)</f>
        <v>154369.85</v>
      </c>
      <c r="BB6" s="27">
        <f>ROUND($AY$6*BB5/$AZ$5,2)</f>
        <v>89320.44</v>
      </c>
      <c r="BC6" s="27">
        <f t="shared" ref="BC6:BH6" si="4">ROUND($AY$6*BC5/$AZ$5,2)</f>
        <v>18519.990000000002</v>
      </c>
      <c r="BD6" s="27">
        <f t="shared" si="4"/>
        <v>9547.52</v>
      </c>
      <c r="BE6" s="27">
        <f t="shared" si="4"/>
        <v>14723.52</v>
      </c>
      <c r="BF6" s="27">
        <f t="shared" si="4"/>
        <v>22258.37</v>
      </c>
      <c r="BG6" s="27">
        <f t="shared" si="4"/>
        <v>0</v>
      </c>
      <c r="BH6" s="27">
        <f t="shared" si="4"/>
        <v>0</v>
      </c>
      <c r="BI6" s="27">
        <f t="shared" ref="BI6:BT6" si="5">ROUND($AY$6*BI5/$AZ$5,2)</f>
        <v>0</v>
      </c>
      <c r="BJ6" s="27">
        <f t="shared" si="5"/>
        <v>0</v>
      </c>
      <c r="BK6" s="27">
        <f t="shared" si="5"/>
        <v>0</v>
      </c>
      <c r="BL6" s="27">
        <f t="shared" si="5"/>
        <v>6039.15</v>
      </c>
      <c r="BM6" s="27">
        <f t="shared" si="5"/>
        <v>0</v>
      </c>
      <c r="BN6" s="27">
        <f t="shared" si="5"/>
        <v>0</v>
      </c>
      <c r="BO6" s="27">
        <f t="shared" si="5"/>
        <v>0</v>
      </c>
      <c r="BP6" s="27">
        <f t="shared" si="5"/>
        <v>0</v>
      </c>
      <c r="BQ6" s="27">
        <f t="shared" si="5"/>
        <v>6039.15</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0" t="s">
        <v>3373</v>
      </c>
      <c r="J9" s="51"/>
      <c r="K9" s="2730" t="s">
        <v>3373</v>
      </c>
      <c r="L9" s="51"/>
      <c r="M9" s="2730" t="s">
        <v>3373</v>
      </c>
      <c r="N9" s="51"/>
      <c r="O9" s="59" t="s">
        <v>3373</v>
      </c>
      <c r="P9" s="51"/>
      <c r="Q9" s="59" t="s">
        <v>3373</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0" t="s">
        <v>914</v>
      </c>
      <c r="J10" s="51"/>
      <c r="K10" s="2732" t="s">
        <v>3345</v>
      </c>
      <c r="L10" s="51"/>
      <c r="M10" s="2732" t="s">
        <v>3345</v>
      </c>
      <c r="N10" s="51"/>
      <c r="O10" s="66" t="s">
        <v>1668</v>
      </c>
      <c r="P10" s="51"/>
      <c r="Q10" s="66" t="s">
        <v>914</v>
      </c>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t="str">
        <f>M9</f>
        <v>地上</v>
      </c>
      <c r="BE10" s="69" t="str">
        <f>O9</f>
        <v>地上</v>
      </c>
      <c r="BF10" s="69" t="str">
        <f>Q9</f>
        <v>地上</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1" t="s">
        <v>3374</v>
      </c>
      <c r="J11" s="71"/>
      <c r="K11" s="2731" t="s">
        <v>3375</v>
      </c>
      <c r="L11" s="71"/>
      <c r="M11" s="70" t="s">
        <v>3350</v>
      </c>
      <c r="N11" s="71"/>
      <c r="O11" s="70"/>
      <c r="P11" s="71"/>
      <c r="Q11" s="70" t="s">
        <v>3371</v>
      </c>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t="str">
        <f>M10</f>
        <v>商业</v>
      </c>
      <c r="BE11" s="50" t="str">
        <f>O10</f>
        <v>办公</v>
      </c>
      <c r="BF11" s="50" t="str">
        <f>Q10</f>
        <v>住宅</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t="str">
        <f>M11</f>
        <v>独立商业</v>
      </c>
      <c r="BE12" s="50">
        <f>O11</f>
        <v>0</v>
      </c>
      <c r="BF12" s="50" t="str">
        <f>Q11</f>
        <v>公寓</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5"/>
      <c r="B13" s="2725"/>
      <c r="C13" s="2725"/>
      <c r="D13" s="2726" t="s">
        <v>1669</v>
      </c>
      <c r="E13" s="27">
        <f t="shared" ref="E13:E20" si="6">IF($C$3="是",ROUND($A$3*G13/$B$3,2),ROUND($A$3*(G13-AT13)/$B$3,2))</f>
        <v>160409</v>
      </c>
      <c r="F13" s="81"/>
      <c r="G13" s="82">
        <f t="shared" ref="G13:G20" si="7">H13+AC13+AT13</f>
        <v>278949</v>
      </c>
      <c r="H13" s="33">
        <f t="shared" ref="H13:H20" si="8">SUMIF(I$12:AB$12,"总值",I13:AB13)</f>
        <v>268447</v>
      </c>
      <c r="I13" s="2729">
        <f>面积拆分!C27</f>
        <v>155327</v>
      </c>
      <c r="J13" s="2729"/>
      <c r="K13" s="2729">
        <f>面积拆分!C28</f>
        <v>32206</v>
      </c>
      <c r="L13" s="2729"/>
      <c r="M13" s="2729">
        <f>面积拆分!C29</f>
        <v>16603</v>
      </c>
      <c r="N13" s="83"/>
      <c r="O13" s="83">
        <f>面积拆分!C30</f>
        <v>25604</v>
      </c>
      <c r="P13" s="83"/>
      <c r="Q13" s="83">
        <f>面积拆分!C31</f>
        <v>38707</v>
      </c>
      <c r="R13" s="83"/>
      <c r="S13" s="83"/>
      <c r="T13" s="83"/>
      <c r="U13" s="83"/>
      <c r="V13" s="83"/>
      <c r="W13" s="83"/>
      <c r="X13" s="83"/>
      <c r="Y13" s="83"/>
      <c r="Z13" s="83"/>
      <c r="AA13" s="83"/>
      <c r="AB13" s="83"/>
      <c r="AC13" s="27">
        <f t="shared" ref="AC13:AC20" si="9">SUMIF(AD$12:AS$12,"总值",AD13:AS13)</f>
        <v>10502</v>
      </c>
      <c r="AD13" s="2733"/>
      <c r="AE13" s="2733"/>
      <c r="AF13" s="2733"/>
      <c r="AG13" s="2733"/>
      <c r="AH13" s="2733"/>
      <c r="AI13" s="2733"/>
      <c r="AJ13" s="2733"/>
      <c r="AK13" s="2733"/>
      <c r="AL13" s="2733">
        <f>面积拆分!C32+面积拆分!C33</f>
        <v>10502</v>
      </c>
      <c r="AM13" s="2733"/>
      <c r="AN13" s="2733"/>
      <c r="AO13" s="2733"/>
      <c r="AP13" s="2733"/>
      <c r="AQ13" s="2733"/>
      <c r="AR13" s="2733"/>
      <c r="AS13" s="2733"/>
      <c r="AT13" s="2734"/>
      <c r="AU13" s="2735"/>
      <c r="AV13" s="17">
        <f t="shared" ref="AV13:AX20" si="10">A13</f>
        <v>0</v>
      </c>
      <c r="AW13" s="17">
        <f t="shared" si="10"/>
        <v>0</v>
      </c>
      <c r="AX13" s="17">
        <f t="shared" si="10"/>
        <v>0</v>
      </c>
      <c r="AY13" s="983">
        <f t="shared" ref="AY13:AY20" si="11">ROUND($AY$6*AZ13/$AZ$5,2)</f>
        <v>160409</v>
      </c>
      <c r="AZ13" s="27">
        <f t="shared" ref="AZ13:AZ20" si="12">BA13+BL13</f>
        <v>278949</v>
      </c>
      <c r="BA13" s="27">
        <f t="shared" ref="BA13:BA20" si="13">SUM(BB13:BK13)</f>
        <v>268447</v>
      </c>
      <c r="BB13" s="27">
        <f t="shared" ref="BB13:BB20" si="14">IF($D13="是",I13-J13,0)</f>
        <v>155327</v>
      </c>
      <c r="BC13" s="27">
        <f t="shared" ref="BC13:BC20" si="15">IF($D13="是",K13-L13,0)</f>
        <v>32206</v>
      </c>
      <c r="BD13" s="27">
        <f t="shared" ref="BD13:BD20" si="16">IF($D13="是",M13-N13,0)</f>
        <v>16603</v>
      </c>
      <c r="BE13" s="27">
        <f t="shared" ref="BE13:BE20" si="17">IF($D13="是",O13-P13,0)</f>
        <v>25604</v>
      </c>
      <c r="BF13" s="27">
        <f t="shared" ref="BF13:BF20" si="18">IF($D13="是",Q13-R13,0)</f>
        <v>38707</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10502</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10502</v>
      </c>
      <c r="BR13" s="27">
        <f t="shared" ref="BR13:BR20" si="30">IF($D13="是",AN13-AO13,0)</f>
        <v>0</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415" t="s">
        <v>0</v>
      </c>
      <c r="B1" s="3415" t="s">
        <v>4</v>
      </c>
      <c r="C1" s="3415" t="s">
        <v>5</v>
      </c>
      <c r="D1" s="3416" t="s">
        <v>40</v>
      </c>
      <c r="E1" s="3416" t="s">
        <v>41</v>
      </c>
      <c r="F1" s="3416"/>
      <c r="G1" s="3416"/>
      <c r="H1" s="3416"/>
      <c r="I1" s="3416"/>
      <c r="J1" s="3416"/>
      <c r="K1" s="3416"/>
      <c r="L1" s="3416"/>
      <c r="M1" s="3416"/>
    </row>
    <row r="2" spans="1:13" ht="27" customHeight="1">
      <c r="A2" s="3415"/>
      <c r="B2" s="3415"/>
      <c r="C2" s="3415"/>
      <c r="D2" s="3416"/>
      <c r="E2" s="3416" t="s">
        <v>24</v>
      </c>
      <c r="F2" s="3416" t="s">
        <v>25</v>
      </c>
      <c r="G2" s="3416"/>
      <c r="H2" s="3416"/>
      <c r="I2" s="3416"/>
      <c r="J2" s="3416" t="s">
        <v>26</v>
      </c>
      <c r="K2" s="3416"/>
      <c r="L2" s="3416"/>
      <c r="M2" s="3416"/>
    </row>
    <row r="3" spans="1:13" ht="28.5">
      <c r="A3" s="3415"/>
      <c r="B3" s="3415"/>
      <c r="C3" s="3415"/>
      <c r="D3" s="3416"/>
      <c r="E3" s="341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16" t="s">
        <v>42</v>
      </c>
      <c r="B9" s="3416"/>
      <c r="C9" s="341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F21" sqref="F21"/>
    </sheetView>
  </sheetViews>
  <sheetFormatPr defaultColWidth="9.125" defaultRowHeight="14.25"/>
  <cols>
    <col min="1" max="1" width="8.125" style="1897" customWidth="1"/>
    <col min="2" max="2" width="10.1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1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26" t="s">
        <v>203</v>
      </c>
      <c r="B2" s="3426"/>
      <c r="C2" s="3426"/>
      <c r="D2" s="1887" t="s">
        <v>204</v>
      </c>
      <c r="E2" s="106" t="s">
        <v>205</v>
      </c>
      <c r="F2" s="3081"/>
      <c r="G2" s="1180"/>
      <c r="H2" s="1181"/>
      <c r="I2" s="1182" t="s">
        <v>849</v>
      </c>
      <c r="J2" s="3081"/>
      <c r="K2" s="3081"/>
      <c r="L2" s="3081"/>
      <c r="M2" s="3081"/>
      <c r="N2" s="3081"/>
      <c r="O2" s="3081"/>
      <c r="P2" s="3081"/>
    </row>
    <row r="3" spans="1:16" ht="15.75" thickBot="1">
      <c r="A3" s="3427" t="s">
        <v>206</v>
      </c>
      <c r="B3" s="3427"/>
      <c r="C3" s="3427"/>
      <c r="D3" s="107">
        <f>'数据-基础表'!AY6</f>
        <v>160409</v>
      </c>
      <c r="E3" s="107">
        <f>'数据-基础表'!AZ5</f>
        <v>278949</v>
      </c>
      <c r="F3" s="3081"/>
      <c r="G3" s="278" t="s">
        <v>850</v>
      </c>
      <c r="H3" s="273" t="s">
        <v>851</v>
      </c>
      <c r="I3" s="1888">
        <f>ROUND('数据-基础表'!B3/'数据-基础表'!A3,2)</f>
        <v>1.74</v>
      </c>
      <c r="J3" s="3081"/>
      <c r="K3" s="3081"/>
      <c r="L3" s="3081"/>
      <c r="M3" s="3081"/>
      <c r="N3" s="3081"/>
      <c r="O3" s="3081"/>
      <c r="P3" s="3081"/>
    </row>
    <row r="4" spans="1:16" ht="15">
      <c r="A4" s="3428"/>
      <c r="B4" s="3429"/>
      <c r="C4" s="3430"/>
      <c r="D4" s="108" t="s">
        <v>204</v>
      </c>
      <c r="E4" s="109" t="s">
        <v>205</v>
      </c>
      <c r="F4" s="3081"/>
      <c r="G4" s="1183"/>
      <c r="H4" s="273" t="s">
        <v>852</v>
      </c>
      <c r="I4" s="1888">
        <f>ROUND(SUMIF('数据-基础表'!I9:AS9,"地上",'数据-基础表'!I5:AS5)/'数据-基础表'!A3,2)</f>
        <v>1.74</v>
      </c>
      <c r="J4" s="3081"/>
      <c r="K4" s="3081"/>
      <c r="L4" s="3081"/>
      <c r="M4" s="3081"/>
      <c r="N4" s="3081"/>
      <c r="O4" s="3081"/>
      <c r="P4" s="3081"/>
    </row>
    <row r="5" spans="1:16">
      <c r="A5" s="110" t="s">
        <v>207</v>
      </c>
      <c r="B5" s="3431" t="s">
        <v>230</v>
      </c>
      <c r="C5" s="3431"/>
      <c r="D5" s="111">
        <f>ROUND($D$3*E5/$E$3,2)</f>
        <v>111578.82</v>
      </c>
      <c r="E5" s="112">
        <f>SUMIF('数据-基础表'!$11:$11,"住宅",'数据-基础表'!$5:$5)</f>
        <v>194034</v>
      </c>
      <c r="F5" s="3081"/>
      <c r="G5" s="278" t="s">
        <v>853</v>
      </c>
      <c r="H5" s="273" t="s">
        <v>851</v>
      </c>
      <c r="I5" s="1888">
        <f>ROUND(E31/D31,2)</f>
        <v>1.74</v>
      </c>
      <c r="J5" s="3081"/>
      <c r="K5" s="3081"/>
      <c r="L5" s="3081"/>
      <c r="M5" s="3081"/>
      <c r="N5" s="3081"/>
      <c r="O5" s="3081"/>
      <c r="P5" s="3081"/>
    </row>
    <row r="6" spans="1:16" ht="15" thickBot="1">
      <c r="A6" s="113"/>
      <c r="B6" s="3431" t="s">
        <v>208</v>
      </c>
      <c r="C6" s="3431"/>
      <c r="D6" s="111">
        <f>ROUND($D$3*E6/$E$3,2)</f>
        <v>48830.18</v>
      </c>
      <c r="E6" s="112">
        <f>E3-E5</f>
        <v>84915</v>
      </c>
      <c r="F6" s="3081"/>
      <c r="G6" s="1183"/>
      <c r="H6" s="273" t="s">
        <v>852</v>
      </c>
      <c r="I6" s="1888">
        <f>ROUND(F31/D31,2)</f>
        <v>1.74</v>
      </c>
      <c r="J6" s="3081"/>
      <c r="K6" s="3081"/>
      <c r="L6" s="3081"/>
      <c r="M6" s="3081"/>
      <c r="N6" s="3081"/>
      <c r="O6" s="3081"/>
      <c r="P6" s="3081"/>
    </row>
    <row r="7" spans="1:16" ht="15">
      <c r="A7" s="3423"/>
      <c r="B7" s="3424"/>
      <c r="C7" s="3425"/>
      <c r="D7" s="108" t="s">
        <v>204</v>
      </c>
      <c r="E7" s="114" t="s">
        <v>231</v>
      </c>
      <c r="F7" s="3081"/>
      <c r="G7" s="1138" t="s">
        <v>1636</v>
      </c>
      <c r="H7" s="1139"/>
      <c r="I7" s="1758">
        <v>4</v>
      </c>
      <c r="J7" s="3081"/>
      <c r="K7" s="3081"/>
      <c r="L7" s="3081"/>
      <c r="M7" s="3081"/>
      <c r="N7" s="3081"/>
      <c r="O7" s="3081"/>
      <c r="P7" s="3081"/>
    </row>
    <row r="8" spans="1:16">
      <c r="A8" s="110" t="s">
        <v>209</v>
      </c>
      <c r="B8" s="115" t="s">
        <v>210</v>
      </c>
      <c r="C8" s="111" t="s">
        <v>211</v>
      </c>
      <c r="D8" s="111">
        <f t="shared" ref="D8:D15" si="0">ROUND($D$3*E8/$E$3,2)</f>
        <v>154369.85</v>
      </c>
      <c r="E8" s="116">
        <f>SUMIF('数据-基础表'!BB10:BK10,"地上",'数据-基础表'!BB5:BK5)</f>
        <v>268447</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09" t="s">
        <v>2314</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09" t="s">
        <v>2321</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154369.85</v>
      </c>
      <c r="E16" s="120">
        <f>SUM(E8:E15)</f>
        <v>268447</v>
      </c>
      <c r="F16" s="3081"/>
      <c r="G16" s="3082"/>
      <c r="H16" s="956" t="s">
        <v>219</v>
      </c>
      <c r="I16" s="957"/>
      <c r="J16" s="1896"/>
      <c r="K16" s="3417" t="s">
        <v>2547</v>
      </c>
      <c r="L16" s="3418"/>
      <c r="M16" s="3418"/>
      <c r="N16" s="3418"/>
      <c r="O16" s="3418"/>
      <c r="P16" s="3419"/>
    </row>
    <row r="17" spans="1:19" ht="15">
      <c r="A17" s="121" t="s">
        <v>216</v>
      </c>
      <c r="B17" s="122" t="s">
        <v>217</v>
      </c>
      <c r="C17" s="2176" t="s">
        <v>2300</v>
      </c>
      <c r="D17" s="108" t="s">
        <v>204</v>
      </c>
      <c r="E17" s="124" t="s">
        <v>205</v>
      </c>
      <c r="F17" s="125"/>
      <c r="G17" s="1318"/>
      <c r="H17" s="958" t="s">
        <v>218</v>
      </c>
      <c r="I17" s="959" t="s">
        <v>2299</v>
      </c>
      <c r="J17" s="1896"/>
      <c r="K17" s="3420" t="s">
        <v>2548</v>
      </c>
      <c r="L17" s="3421"/>
      <c r="M17" s="3422"/>
      <c r="N17" s="3420" t="s">
        <v>2549</v>
      </c>
      <c r="O17" s="3421"/>
      <c r="P17" s="3422"/>
      <c r="R17" s="2177" t="s">
        <v>2298</v>
      </c>
      <c r="S17" s="142"/>
    </row>
    <row r="18" spans="1:19" ht="15">
      <c r="A18" s="117"/>
      <c r="B18" s="128"/>
      <c r="C18" s="129"/>
      <c r="D18" s="2482"/>
      <c r="E18" s="130" t="s">
        <v>220</v>
      </c>
      <c r="F18" s="131" t="s">
        <v>221</v>
      </c>
      <c r="G18" s="1319" t="s">
        <v>222</v>
      </c>
      <c r="H18" s="960" t="s">
        <v>223</v>
      </c>
      <c r="I18" s="961"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6" t="s">
        <v>914</v>
      </c>
      <c r="D19" s="111">
        <f t="shared" ref="D19:D26" si="1">ROUND($D$3*E19/$E$3,2)</f>
        <v>89320.44</v>
      </c>
      <c r="E19" s="134">
        <f t="shared" ref="E19:E26" si="2">SUM(F19:G19)</f>
        <v>155327</v>
      </c>
      <c r="F19" s="3083">
        <v>155327</v>
      </c>
      <c r="G19" s="3084"/>
      <c r="H19" s="962">
        <f>ROUND($D$3*I19/$E$3,2)</f>
        <v>3494.34</v>
      </c>
      <c r="I19" s="116">
        <f>IF($I$17="自定义",P19,M19)</f>
        <v>6076.6</v>
      </c>
      <c r="J19" s="1896"/>
      <c r="K19" s="2450">
        <f t="shared" ref="K19:K26" si="3">ROUND(E$28*E19/E$27,2)</f>
        <v>6076.6</v>
      </c>
      <c r="L19" s="273">
        <f t="shared" ref="L19:L26" si="4">ROUND(IF(COUNTIF(C19,"*住宅*")&gt;0,E$29*E19/E$32,0),2)</f>
        <v>0</v>
      </c>
      <c r="M19" s="2451">
        <f>K19+L19</f>
        <v>6076.6</v>
      </c>
      <c r="N19" s="2452"/>
      <c r="O19" s="2453"/>
      <c r="P19" s="2454">
        <f>N19+O19</f>
        <v>0</v>
      </c>
      <c r="R19" s="273">
        <f t="shared" ref="R19:S26" si="5">D19+H19</f>
        <v>92814.78</v>
      </c>
      <c r="S19" s="2179">
        <f t="shared" si="5"/>
        <v>161403.6</v>
      </c>
    </row>
    <row r="20" spans="1:19">
      <c r="A20" s="137"/>
      <c r="B20" s="115" t="s">
        <v>226</v>
      </c>
      <c r="C20" s="2736" t="s">
        <v>3376</v>
      </c>
      <c r="D20" s="111">
        <f t="shared" si="1"/>
        <v>18519.990000000002</v>
      </c>
      <c r="E20" s="134">
        <f t="shared" si="2"/>
        <v>32206</v>
      </c>
      <c r="F20" s="3083">
        <v>32206</v>
      </c>
      <c r="G20" s="3084"/>
      <c r="H20" s="962">
        <f t="shared" ref="H20:H26" si="6">ROUND($D$3*I20/$E$3,2)</f>
        <v>724.53</v>
      </c>
      <c r="I20" s="116">
        <f t="shared" ref="I20:I26" si="7">IF($I$17="自定义",P20,M20)</f>
        <v>1259.94</v>
      </c>
      <c r="J20" s="1896"/>
      <c r="K20" s="2450">
        <f t="shared" si="3"/>
        <v>1259.94</v>
      </c>
      <c r="L20" s="273">
        <f t="shared" si="4"/>
        <v>0</v>
      </c>
      <c r="M20" s="2451">
        <f t="shared" ref="M20:M26" si="8">K20+L20</f>
        <v>1259.94</v>
      </c>
      <c r="N20" s="2452"/>
      <c r="O20" s="2453"/>
      <c r="P20" s="2454">
        <f t="shared" ref="P20:P26" si="9">N20+O20</f>
        <v>0</v>
      </c>
      <c r="R20" s="273">
        <f t="shared" si="5"/>
        <v>19244.52</v>
      </c>
      <c r="S20" s="2179">
        <f t="shared" si="5"/>
        <v>33465.94</v>
      </c>
    </row>
    <row r="21" spans="1:19">
      <c r="A21" s="137"/>
      <c r="B21" s="115" t="s">
        <v>226</v>
      </c>
      <c r="C21" s="2736" t="s">
        <v>3377</v>
      </c>
      <c r="D21" s="111">
        <f t="shared" si="1"/>
        <v>9547.52</v>
      </c>
      <c r="E21" s="134">
        <f t="shared" si="2"/>
        <v>16603</v>
      </c>
      <c r="F21" s="3083">
        <v>16603</v>
      </c>
      <c r="G21" s="3084"/>
      <c r="H21" s="962">
        <f t="shared" si="6"/>
        <v>373.51</v>
      </c>
      <c r="I21" s="116">
        <f t="shared" si="7"/>
        <v>649.53</v>
      </c>
      <c r="J21" s="1896"/>
      <c r="K21" s="2450">
        <f t="shared" si="3"/>
        <v>649.53</v>
      </c>
      <c r="L21" s="273">
        <f t="shared" si="4"/>
        <v>0</v>
      </c>
      <c r="M21" s="2451">
        <f t="shared" si="8"/>
        <v>649.53</v>
      </c>
      <c r="N21" s="2452"/>
      <c r="O21" s="2453"/>
      <c r="P21" s="2454">
        <f t="shared" si="9"/>
        <v>0</v>
      </c>
      <c r="R21" s="273">
        <f t="shared" si="5"/>
        <v>9921.0300000000007</v>
      </c>
      <c r="S21" s="2179">
        <f t="shared" si="5"/>
        <v>17252.53</v>
      </c>
    </row>
    <row r="22" spans="1:19">
      <c r="A22" s="137"/>
      <c r="B22" s="115" t="s">
        <v>226</v>
      </c>
      <c r="C22" s="1317" t="s">
        <v>1668</v>
      </c>
      <c r="D22" s="111">
        <f t="shared" si="1"/>
        <v>14723.52</v>
      </c>
      <c r="E22" s="134">
        <f t="shared" si="2"/>
        <v>25604</v>
      </c>
      <c r="F22" s="3085">
        <v>25604</v>
      </c>
      <c r="G22" s="3086"/>
      <c r="H22" s="962">
        <f t="shared" si="6"/>
        <v>576</v>
      </c>
      <c r="I22" s="116">
        <f t="shared" si="7"/>
        <v>1001.66</v>
      </c>
      <c r="J22" s="1896"/>
      <c r="K22" s="2450">
        <f t="shared" si="3"/>
        <v>1001.66</v>
      </c>
      <c r="L22" s="273">
        <f t="shared" si="4"/>
        <v>0</v>
      </c>
      <c r="M22" s="2451">
        <f t="shared" si="8"/>
        <v>1001.66</v>
      </c>
      <c r="N22" s="2452"/>
      <c r="O22" s="2453"/>
      <c r="P22" s="2454">
        <f t="shared" si="9"/>
        <v>0</v>
      </c>
      <c r="R22" s="273">
        <f t="shared" si="5"/>
        <v>15299.52</v>
      </c>
      <c r="S22" s="2179">
        <f t="shared" si="5"/>
        <v>26605.66</v>
      </c>
    </row>
    <row r="23" spans="1:19">
      <c r="A23" s="137"/>
      <c r="B23" s="115" t="s">
        <v>226</v>
      </c>
      <c r="C23" s="138" t="s">
        <v>3371</v>
      </c>
      <c r="D23" s="111">
        <f>ROUND($D$3*E23/$E$3,2)</f>
        <v>22258.37</v>
      </c>
      <c r="E23" s="134">
        <f>SUM(F23:G23)</f>
        <v>38707</v>
      </c>
      <c r="F23" s="3085">
        <v>38707</v>
      </c>
      <c r="G23" s="3086"/>
      <c r="H23" s="962">
        <f>ROUND($D$3*I23/$E$3,2)</f>
        <v>870.78</v>
      </c>
      <c r="I23" s="116">
        <f t="shared" si="7"/>
        <v>1514.27</v>
      </c>
      <c r="J23" s="1896"/>
      <c r="K23" s="2450">
        <f t="shared" si="3"/>
        <v>1514.27</v>
      </c>
      <c r="L23" s="273">
        <f t="shared" si="4"/>
        <v>0</v>
      </c>
      <c r="M23" s="2451">
        <f t="shared" si="8"/>
        <v>1514.27</v>
      </c>
      <c r="N23" s="2452"/>
      <c r="O23" s="2453"/>
      <c r="P23" s="2454">
        <f t="shared" si="9"/>
        <v>0</v>
      </c>
      <c r="R23" s="273">
        <f t="shared" si="5"/>
        <v>23129.149999999998</v>
      </c>
      <c r="S23" s="2179">
        <f t="shared" si="5"/>
        <v>40221.269999999997</v>
      </c>
    </row>
    <row r="24" spans="1:19">
      <c r="A24" s="137"/>
      <c r="B24" s="115" t="s">
        <v>226</v>
      </c>
      <c r="C24" s="138"/>
      <c r="D24" s="111">
        <f>ROUND($D$3*E24/$E$3,2)</f>
        <v>0</v>
      </c>
      <c r="E24" s="134">
        <f>SUM(F24:G24)</f>
        <v>0</v>
      </c>
      <c r="F24" s="3085"/>
      <c r="G24" s="3086"/>
      <c r="H24" s="962">
        <f>ROUND($D$3*I24/$E$3,2)</f>
        <v>0</v>
      </c>
      <c r="I24" s="116">
        <f t="shared" si="7"/>
        <v>0</v>
      </c>
      <c r="J24" s="1896"/>
      <c r="K24" s="2450">
        <f t="shared" si="3"/>
        <v>0</v>
      </c>
      <c r="L24" s="273">
        <f t="shared" si="4"/>
        <v>0</v>
      </c>
      <c r="M24" s="2451">
        <f t="shared" si="8"/>
        <v>0</v>
      </c>
      <c r="N24" s="2452"/>
      <c r="O24" s="2453"/>
      <c r="P24" s="2454">
        <f t="shared" si="9"/>
        <v>0</v>
      </c>
      <c r="R24" s="273">
        <f t="shared" si="5"/>
        <v>0</v>
      </c>
      <c r="S24" s="2179">
        <f t="shared" si="5"/>
        <v>0</v>
      </c>
    </row>
    <row r="25" spans="1:19">
      <c r="A25" s="137"/>
      <c r="B25" s="115" t="s">
        <v>226</v>
      </c>
      <c r="C25" s="138"/>
      <c r="D25" s="111">
        <f t="shared" si="1"/>
        <v>0</v>
      </c>
      <c r="E25" s="134">
        <f t="shared" si="2"/>
        <v>0</v>
      </c>
      <c r="F25" s="3085"/>
      <c r="G25" s="3086"/>
      <c r="H25" s="110">
        <f t="shared" si="6"/>
        <v>0</v>
      </c>
      <c r="I25" s="116">
        <f t="shared" si="7"/>
        <v>0</v>
      </c>
      <c r="J25" s="1896"/>
      <c r="K25" s="2450">
        <f t="shared" si="3"/>
        <v>0</v>
      </c>
      <c r="L25" s="273">
        <f t="shared" si="4"/>
        <v>0</v>
      </c>
      <c r="M25" s="2451">
        <f t="shared" si="8"/>
        <v>0</v>
      </c>
      <c r="N25" s="2452"/>
      <c r="O25" s="2453"/>
      <c r="P25" s="2454">
        <f t="shared" si="9"/>
        <v>0</v>
      </c>
      <c r="R25" s="273">
        <f t="shared" si="5"/>
        <v>0</v>
      </c>
      <c r="S25" s="2179">
        <f t="shared" si="5"/>
        <v>0</v>
      </c>
    </row>
    <row r="26" spans="1:19">
      <c r="A26" s="137"/>
      <c r="B26" s="115" t="s">
        <v>226</v>
      </c>
      <c r="C26" s="140"/>
      <c r="D26" s="111">
        <f t="shared" si="1"/>
        <v>0</v>
      </c>
      <c r="E26" s="134">
        <f t="shared" si="2"/>
        <v>0</v>
      </c>
      <c r="F26" s="3085"/>
      <c r="G26" s="3086"/>
      <c r="H26" s="110">
        <f t="shared" si="6"/>
        <v>0</v>
      </c>
      <c r="I26" s="116">
        <f t="shared" si="7"/>
        <v>0</v>
      </c>
      <c r="J26" s="1896"/>
      <c r="K26" s="2455">
        <f t="shared" si="3"/>
        <v>0</v>
      </c>
      <c r="L26" s="278">
        <f t="shared" si="4"/>
        <v>0</v>
      </c>
      <c r="M26" s="144">
        <f t="shared" si="8"/>
        <v>0</v>
      </c>
      <c r="N26" s="2456"/>
      <c r="O26" s="2457"/>
      <c r="P26" s="2458">
        <f t="shared" si="9"/>
        <v>0</v>
      </c>
      <c r="R26" s="273">
        <f t="shared" si="5"/>
        <v>0</v>
      </c>
      <c r="S26" s="2179">
        <f t="shared" si="5"/>
        <v>0</v>
      </c>
    </row>
    <row r="27" spans="1:19" ht="15.75" thickBot="1">
      <c r="A27" s="137"/>
      <c r="B27" s="111"/>
      <c r="C27" s="127" t="s">
        <v>215</v>
      </c>
      <c r="D27" s="134">
        <f>SUM(D19:D26)</f>
        <v>154369.84</v>
      </c>
      <c r="E27" s="141">
        <f>IF(SUM(E19:E26)='数据-基础表'!BA5,SUM(E19:E26),IF(F27="地上面积有误","面积有误","地下面积有误"))</f>
        <v>268447</v>
      </c>
      <c r="F27" s="134">
        <f>IF(SUM(F19:F26)=E8,SUM(F19:F26),"地上面积有误")</f>
        <v>268447</v>
      </c>
      <c r="G27" s="112">
        <f>SUM(G19:G26)</f>
        <v>0</v>
      </c>
      <c r="H27" s="963">
        <f>SUM(H19:H26)</f>
        <v>6039.16</v>
      </c>
      <c r="I27" s="964">
        <f>SUM(I19:I26)</f>
        <v>10502.000000000002</v>
      </c>
      <c r="J27" s="1896"/>
      <c r="K27" s="2459">
        <f>SUM(K19:K26)</f>
        <v>10502.000000000002</v>
      </c>
      <c r="L27" s="2460">
        <f>SUM(L19:L26)</f>
        <v>0</v>
      </c>
      <c r="M27" s="2461">
        <f>SUM(M19:M26)</f>
        <v>10502.000000000002</v>
      </c>
      <c r="N27" s="2459">
        <f t="shared" ref="N27:O27" si="10">SUM(N19:N26)</f>
        <v>0</v>
      </c>
      <c r="O27" s="2460">
        <f t="shared" si="10"/>
        <v>0</v>
      </c>
      <c r="P27" s="2462">
        <f>SUM(P19:P26)</f>
        <v>0</v>
      </c>
      <c r="R27" s="2183">
        <f>IF(SUM(R19:R26)=$D$3,SUM(R19:R26),SUM(R19:R26)&amp;"误差"&amp;ROUND(SUM(R19:R26)-$D$3,2))</f>
        <v>160409</v>
      </c>
      <c r="S27" s="273">
        <f>IF(SUM(S19:S26)=$E$3,SUM(S19:S26),SUM(S19:S26)&amp;"误差"&amp;ROUND(SUM(S19:S26)-E3,2))</f>
        <v>278949</v>
      </c>
    </row>
    <row r="28" spans="1:19">
      <c r="A28" s="137"/>
      <c r="B28" s="115" t="s">
        <v>227</v>
      </c>
      <c r="C28" s="135" t="s">
        <v>228</v>
      </c>
      <c r="D28" s="111">
        <f>ROUND($D$3*E28/$E$3,2)</f>
        <v>6039.15</v>
      </c>
      <c r="E28" s="134">
        <f>SUM(F28:G28)</f>
        <v>10502</v>
      </c>
      <c r="F28" s="142">
        <f>'数据-基础表'!BQ5+'数据-基础表'!BS5</f>
        <v>10502</v>
      </c>
      <c r="G28" s="143">
        <f>'数据-基础表'!BR5+'数据-基础表'!BT5</f>
        <v>0</v>
      </c>
      <c r="H28" s="3081"/>
      <c r="I28" s="3081"/>
      <c r="J28" s="3081"/>
      <c r="K28" s="3081"/>
      <c r="L28" s="3081"/>
      <c r="M28" s="3081"/>
      <c r="N28" s="3081"/>
      <c r="O28" s="3081"/>
      <c r="P28" s="3081"/>
    </row>
    <row r="29" spans="1:19">
      <c r="A29" s="137"/>
      <c r="B29" s="115" t="s">
        <v>227</v>
      </c>
      <c r="C29" s="2191" t="s">
        <v>2307</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6039.15</v>
      </c>
      <c r="E30" s="134">
        <f>SUM(E28:E29)</f>
        <v>10502</v>
      </c>
      <c r="F30" s="134">
        <f>SUM(F28:F29)</f>
        <v>10502</v>
      </c>
      <c r="G30" s="112">
        <f>SUM(G28:G29)</f>
        <v>0</v>
      </c>
      <c r="H30" s="3081"/>
      <c r="I30" s="3081"/>
      <c r="J30" s="3081"/>
      <c r="K30" s="3081"/>
      <c r="L30" s="3081"/>
      <c r="M30" s="3081"/>
      <c r="N30" s="3081"/>
      <c r="O30" s="3081"/>
      <c r="P30" s="3081"/>
    </row>
    <row r="31" spans="1:19" ht="32.25" customHeight="1" thickBot="1">
      <c r="A31" s="1320"/>
      <c r="B31" s="1321" t="s">
        <v>229</v>
      </c>
      <c r="C31" s="2208" t="s">
        <v>2309</v>
      </c>
      <c r="D31" s="1322">
        <f>D27+D30</f>
        <v>160408.99</v>
      </c>
      <c r="E31" s="1322">
        <f>E27+E30</f>
        <v>278949</v>
      </c>
      <c r="F31" s="1323">
        <f>F27+F30</f>
        <v>278949</v>
      </c>
      <c r="G31" s="1324">
        <f>G27+G30</f>
        <v>0</v>
      </c>
      <c r="H31" s="3081"/>
      <c r="I31" s="3081"/>
      <c r="J31" s="3081"/>
      <c r="K31" s="3081"/>
      <c r="L31" s="3081"/>
      <c r="M31" s="3081"/>
      <c r="N31" s="3081"/>
      <c r="O31" s="3081"/>
      <c r="P31" s="3081"/>
    </row>
    <row r="32" spans="1:19">
      <c r="A32" s="1896"/>
      <c r="B32" s="2220" t="s">
        <v>2308</v>
      </c>
      <c r="C32" s="2487"/>
      <c r="D32" s="1183"/>
      <c r="E32" s="1183">
        <f>SUMIF(C19:C26,"*住宅*",E19:E26)</f>
        <v>155327</v>
      </c>
      <c r="F32" s="1183"/>
      <c r="G32" s="1183"/>
      <c r="H32" s="3081"/>
      <c r="I32" s="3081"/>
      <c r="J32" s="3081"/>
      <c r="K32" s="3081"/>
      <c r="L32" s="3081"/>
      <c r="M32" s="3081"/>
      <c r="N32" s="3081"/>
      <c r="O32" s="3081"/>
      <c r="P32" s="3081"/>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217" priority="1" stopIfTrue="1" operator="containsText" text="面积有误">
      <formula>NOT(ISERROR(SEARCH("面积有误",E27)))</formula>
    </cfRule>
    <cfRule type="cellIs" dxfId="216" priority="3" stopIfTrue="1" operator="equal">
      <formula>"地下面积有误"</formula>
    </cfRule>
  </conditionalFormatting>
  <conditionalFormatting sqref="F27">
    <cfRule type="cellIs" dxfId="21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F15" activePane="bottomRight" state="frozen"/>
      <selection pane="topRight" activeCell="D1" sqref="D1"/>
      <selection pane="bottomLeft" activeCell="A4" sqref="A4"/>
      <selection pane="bottomRight" activeCell="B30" sqref="B30"/>
    </sheetView>
  </sheetViews>
  <sheetFormatPr defaultColWidth="13.625" defaultRowHeight="12.75"/>
  <cols>
    <col min="1" max="1" width="20.875" style="1198" customWidth="1"/>
    <col min="2" max="3" width="12" style="1185" customWidth="1"/>
    <col min="4" max="4" width="9.125" style="1199" customWidth="1"/>
    <col min="5" max="5" width="16.125" style="1185" customWidth="1"/>
    <col min="6" max="10" width="8.875" style="1185" customWidth="1"/>
    <col min="11" max="12" width="12.375" style="1200" customWidth="1"/>
    <col min="13" max="13" width="8.625" style="1185" customWidth="1"/>
    <col min="14"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625" style="1185" customWidth="1"/>
    <col min="25" max="25" width="8.125" style="1185" customWidth="1"/>
    <col min="26" max="30" width="6.625" style="1185" customWidth="1"/>
    <col min="31" max="31" width="6.5" style="1185" customWidth="1"/>
    <col min="32" max="34" width="7.125" style="1185" customWidth="1"/>
    <col min="35" max="39" width="8" style="1185" customWidth="1"/>
    <col min="40" max="41" width="13.625" style="1906"/>
    <col min="42" max="42" width="13.625" style="1906" customWidth="1"/>
    <col min="43" max="83" width="13.625" style="1906"/>
    <col min="84" max="16384" width="13.62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8"/>
      <c r="AO1" s="3088"/>
      <c r="AP1" s="3088"/>
      <c r="AQ1" s="3088"/>
      <c r="AR1" s="3088"/>
      <c r="AS1" s="3088"/>
      <c r="AT1" s="3088"/>
      <c r="AU1" s="3088"/>
      <c r="AV1" s="3088"/>
      <c r="AW1" s="3088"/>
      <c r="AX1" s="3088"/>
      <c r="AY1" s="3088"/>
      <c r="AZ1" s="3088"/>
    </row>
    <row r="2" spans="1:83" s="1188" customFormat="1" ht="15.75" thickBot="1">
      <c r="A2" s="147" t="s">
        <v>235</v>
      </c>
      <c r="B2" s="2216">
        <f>项目基本情况!D3</f>
        <v>44125</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1"/>
      <c r="AO2" s="3091"/>
      <c r="AP2" s="3091"/>
      <c r="AQ2" s="3091"/>
      <c r="AR2" s="3091"/>
      <c r="AS2" s="3091"/>
      <c r="AT2" s="3091"/>
      <c r="AU2" s="3091"/>
      <c r="AV2" s="3091"/>
      <c r="AW2" s="3091"/>
      <c r="AX2" s="3091"/>
      <c r="AY2" s="3091"/>
      <c r="AZ2" s="3091"/>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1"/>
      <c r="AO3" s="3091"/>
      <c r="AP3" s="3091"/>
      <c r="AQ3" s="3091"/>
      <c r="AR3" s="3091"/>
      <c r="AS3" s="3091"/>
      <c r="AT3" s="3091"/>
      <c r="AU3" s="3091"/>
      <c r="AV3" s="3091"/>
      <c r="AW3" s="3091"/>
      <c r="AX3" s="3091"/>
      <c r="AY3" s="3091"/>
      <c r="AZ3" s="3091"/>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2310</v>
      </c>
      <c r="AI5" s="169" t="s">
        <v>2279</v>
      </c>
      <c r="AJ5" s="169" t="s">
        <v>258</v>
      </c>
      <c r="AK5" s="157" t="s">
        <v>259</v>
      </c>
      <c r="AL5" s="157" t="s">
        <v>260</v>
      </c>
      <c r="AM5" s="170" t="s">
        <v>261</v>
      </c>
      <c r="AN5" s="2244" t="s">
        <v>2357</v>
      </c>
      <c r="AO5" s="3102"/>
      <c r="AP5" s="3087" t="s">
        <v>2968</v>
      </c>
      <c r="AQ5" s="3102"/>
      <c r="AR5" s="3102"/>
      <c r="AS5" s="3102"/>
      <c r="AT5" s="3102"/>
      <c r="AU5" s="3102"/>
      <c r="AV5" s="3102"/>
      <c r="AW5" s="3102"/>
      <c r="AX5" s="3102"/>
      <c r="AY5" s="3102"/>
      <c r="AZ5" s="3102"/>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住宅</v>
      </c>
      <c r="B6" s="2215" t="str">
        <f>IF(A6=0,"","经营性")</f>
        <v>经营性</v>
      </c>
      <c r="C6" s="171" t="s">
        <v>914</v>
      </c>
      <c r="D6" s="2186">
        <f>SUMIF(项目基本情况!D$15:I$15,C6,项目基本情况!D$18:I$18)</f>
        <v>70</v>
      </c>
      <c r="E6" s="2187">
        <f>IF(B6="","",SUMIF(项目基本情况!D$15:I$15,C6,项目基本情况!D$17:I$17))</f>
        <v>69691</v>
      </c>
      <c r="F6" s="172">
        <f>SUMIF(项目基本情况!D$15:I$15,C6,项目基本情况!D$19:I$19)</f>
        <v>70</v>
      </c>
      <c r="G6" s="173">
        <f>IF(ISERROR(ROUND(POWER(1+H6,D6-F6)*(POWER(1+H6,F6)-1)/(POWER(1+H6,D6)-1),3)),0,ROUND(POWER(1+H6,D6-F6)*(POWER(1+H6,F6)-1)/(POWER(1+H6,D6)-1),3))</f>
        <v>1</v>
      </c>
      <c r="H6" s="2737">
        <v>0.03</v>
      </c>
      <c r="I6" s="2737">
        <v>0.04</v>
      </c>
      <c r="J6" s="174">
        <v>0.05</v>
      </c>
      <c r="K6" s="177">
        <f>SUMIF('数据-汇总表'!C$19:C$33,'数据-取费表'!A6,'数据-汇总表'!E$19:E$33)</f>
        <v>155327</v>
      </c>
      <c r="L6" s="2738">
        <f>面积拆分!D27</f>
        <v>4700</v>
      </c>
      <c r="M6" s="175">
        <f t="shared" ref="M6:M14" si="0">ROUND(K6*L6/10000,0)</f>
        <v>73004</v>
      </c>
      <c r="N6" s="2739">
        <v>0</v>
      </c>
      <c r="O6" s="175">
        <f>IF($N$5="成新度","——",ROUND(M6*N6,0))</f>
        <v>0</v>
      </c>
      <c r="P6" s="176">
        <f>IF($N$5="成新度","——",M6-O6)</f>
        <v>73004</v>
      </c>
      <c r="Q6" s="2740">
        <v>0.15</v>
      </c>
      <c r="R6" s="177">
        <f>SUMIF('数据-汇总表'!C$19:C$33,A6,'数据-汇总表'!R$19:R$33)</f>
        <v>92814.78</v>
      </c>
      <c r="S6" s="132">
        <f>IF('数据-汇总表'!$I$17="按面积比例",SUMIF('数据-汇总表'!C$19:C$33,A6,'数据-汇总表'!K$19:K$33),SUMIF('数据-汇总表'!C$19:C$33,A6,'数据-汇总表'!N$19:N$33))</f>
        <v>6076.6</v>
      </c>
      <c r="T6" s="2112">
        <f>IF($T$4="按面积比例",IF(ISERROR(ROUND($M$14*S6/S$16,0)),"0",ROUND($M$14*S6/S$16,0)),"需自行计算录入")</f>
        <v>2127</v>
      </c>
      <c r="U6" s="178">
        <f>'不动产比较法-住宅'!C49</f>
        <v>1.9</v>
      </c>
      <c r="V6" s="179">
        <v>0</v>
      </c>
      <c r="W6" s="179">
        <v>0.05</v>
      </c>
      <c r="X6" s="2199"/>
      <c r="Y6" s="180">
        <v>1</v>
      </c>
      <c r="Z6" s="181"/>
      <c r="AA6" s="174"/>
      <c r="AB6" s="174"/>
      <c r="AC6" s="2202"/>
      <c r="AD6" s="182"/>
      <c r="AE6" s="960">
        <f ca="1">IF(AN6="",0,SUMIF(INDIRECT("'"&amp;AN6&amp;"'"&amp;"!E:E"),$AE$5,INDIRECT("'"&amp;AN6&amp;"'"&amp;"!F:F")))</f>
        <v>70</v>
      </c>
      <c r="AF6" s="139"/>
      <c r="AG6" s="1195">
        <f>IF(AF6="",0,AE6-AF6)</f>
        <v>0</v>
      </c>
      <c r="AH6" s="139"/>
      <c r="AI6" s="185">
        <v>365</v>
      </c>
      <c r="AJ6" s="186"/>
      <c r="AK6" s="187">
        <v>0.01</v>
      </c>
      <c r="AL6" s="188">
        <v>1E-3</v>
      </c>
      <c r="AM6" s="2751">
        <v>0.01</v>
      </c>
      <c r="AN6" s="2245" t="s">
        <v>3393</v>
      </c>
      <c r="AO6" s="3091"/>
      <c r="AP6" s="1186">
        <f>ROUND(1-1/(1+H6)^F6,3)</f>
        <v>0.874</v>
      </c>
      <c r="AQ6" s="3091"/>
      <c r="AR6" s="3091"/>
      <c r="AS6" s="3091"/>
      <c r="AT6" s="3091"/>
      <c r="AU6" s="3091"/>
      <c r="AV6" s="3091"/>
      <c r="AW6" s="3091"/>
      <c r="AX6" s="3091"/>
      <c r="AY6" s="3091"/>
      <c r="AZ6" s="3091"/>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t="str">
        <f>'数据-汇总表'!C20</f>
        <v>商业（底商）</v>
      </c>
      <c r="B7" s="2215" t="str">
        <f t="shared" ref="B7:B13" si="1">IF(A7=0,"","经营性")</f>
        <v>经营性</v>
      </c>
      <c r="C7" s="171" t="s">
        <v>3345</v>
      </c>
      <c r="D7" s="2186">
        <f>SUMIF(项目基本情况!D$15:I$15,C7,项目基本情况!D$18:I$18)</f>
        <v>40</v>
      </c>
      <c r="E7" s="2187">
        <f>IF(B7="","",SUMIF(项目基本情况!D$15:I$15,C7,项目基本情况!D$17:I$17))</f>
        <v>58734</v>
      </c>
      <c r="F7" s="172">
        <f>SUMIF(项目基本情况!D$15:I$15,C7,项目基本情况!D$19:I$19)</f>
        <v>40</v>
      </c>
      <c r="G7" s="173">
        <f t="shared" ref="G7:G11" si="2">IF(ISERROR(ROUND(POWER(1+H7,D7-F7)*(POWER(1+H7,F7)-1)/(POWER(1+H7,D7)-1),3)),0,ROUND(POWER(1+H7,D7-F7)*(POWER(1+H7,F7)-1)/(POWER(1+H7,D7)-1),3))</f>
        <v>1</v>
      </c>
      <c r="H7" s="2737">
        <v>0.05</v>
      </c>
      <c r="I7" s="2737">
        <v>0.06</v>
      </c>
      <c r="J7" s="174">
        <v>6.5000000000000002E-2</v>
      </c>
      <c r="K7" s="177">
        <f>SUMIF('数据-汇总表'!C$19:C$33,'数据-取费表'!A7,'数据-汇总表'!E$19:E$33)</f>
        <v>32206</v>
      </c>
      <c r="L7" s="2738">
        <f>面积拆分!D28</f>
        <v>4000</v>
      </c>
      <c r="M7" s="175">
        <f t="shared" si="0"/>
        <v>12882</v>
      </c>
      <c r="N7" s="2739">
        <f>N6</f>
        <v>0</v>
      </c>
      <c r="O7" s="175">
        <f t="shared" ref="O7:O14" si="3">IF($N$5="成新度","——",ROUND(M7*N7,0))</f>
        <v>0</v>
      </c>
      <c r="P7" s="176">
        <f t="shared" ref="P7:P14" si="4">IF($N$5="成新度","——",M7-O7)</f>
        <v>12882</v>
      </c>
      <c r="Q7" s="2740">
        <f>Q6</f>
        <v>0.15</v>
      </c>
      <c r="R7" s="177">
        <f>SUMIF('数据-汇总表'!C$19:C$33,A7,'数据-汇总表'!R$19:R$33)</f>
        <v>19244.52</v>
      </c>
      <c r="S7" s="132">
        <f>IF('数据-汇总表'!$I$17="按面积比例",SUMIF('数据-汇总表'!C$19:C$33,A7,'数据-汇总表'!K$19:K$33),SUMIF('数据-汇总表'!C$19:C$33,A7,'数据-汇总表'!N$19:N$33))</f>
        <v>1259.94</v>
      </c>
      <c r="T7" s="2112">
        <f t="shared" ref="T7:T13" si="5">IF($T$4="按面积比例",IF(ISERROR(ROUND($M$14*S7/S$16,0)),"0",ROUND($M$14*S7/S$16,0)),"需自行计算录入")</f>
        <v>441</v>
      </c>
      <c r="U7" s="178">
        <f>'不动产比较法-商业'!N23</f>
        <v>3.5</v>
      </c>
      <c r="V7" s="179">
        <v>0</v>
      </c>
      <c r="W7" s="179">
        <v>0.15</v>
      </c>
      <c r="X7" s="2199"/>
      <c r="Y7" s="180">
        <f>Y6</f>
        <v>1</v>
      </c>
      <c r="Z7" s="181"/>
      <c r="AA7" s="174"/>
      <c r="AB7" s="174"/>
      <c r="AC7" s="2202"/>
      <c r="AD7" s="182"/>
      <c r="AE7" s="960">
        <f t="shared" ref="AE7:AE13" ca="1" si="6">IF(AN7="",0,SUMIF(INDIRECT("'"&amp;AN7&amp;"'"&amp;"!E:E"),$AE$5,INDIRECT("'"&amp;AN7&amp;"'"&amp;"!F:F")))</f>
        <v>40</v>
      </c>
      <c r="AF7" s="139"/>
      <c r="AG7" s="1195">
        <f t="shared" ref="AG7:AG13" si="7">IF(AF7="",0,AE7-AF7)</f>
        <v>0</v>
      </c>
      <c r="AH7" s="139"/>
      <c r="AI7" s="185">
        <v>365</v>
      </c>
      <c r="AJ7" s="186"/>
      <c r="AK7" s="187">
        <v>0.02</v>
      </c>
      <c r="AL7" s="188">
        <v>2E-3</v>
      </c>
      <c r="AM7" s="2243">
        <v>0.02</v>
      </c>
      <c r="AN7" s="2245" t="s">
        <v>3395</v>
      </c>
      <c r="AO7" s="3091"/>
      <c r="AP7" s="1186">
        <f t="shared" ref="AP7:AP13" si="8">ROUND(1-1/(1+H7)^F7,3)</f>
        <v>0.85799999999999998</v>
      </c>
      <c r="AQ7" s="3091"/>
      <c r="AR7" s="3091"/>
      <c r="AS7" s="3091"/>
      <c r="AT7" s="3091"/>
      <c r="AU7" s="3091"/>
      <c r="AV7" s="3091"/>
      <c r="AW7" s="3091"/>
      <c r="AX7" s="3091"/>
      <c r="AY7" s="3091"/>
      <c r="AZ7" s="3091"/>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t="str">
        <f>'数据-汇总表'!C21</f>
        <v>商业（独立）</v>
      </c>
      <c r="B8" s="2215" t="str">
        <f t="shared" si="1"/>
        <v>经营性</v>
      </c>
      <c r="C8" s="171" t="s">
        <v>3345</v>
      </c>
      <c r="D8" s="2186">
        <f>SUMIF(项目基本情况!D$15:I$15,C8,项目基本情况!D$18:I$18)</f>
        <v>40</v>
      </c>
      <c r="E8" s="2187">
        <f>IF(B8="","",SUMIF(项目基本情况!D$15:I$15,C8,项目基本情况!D$17:I$17))</f>
        <v>58734</v>
      </c>
      <c r="F8" s="172">
        <f>SUMIF(项目基本情况!D$15:I$15,C8,项目基本情况!D$19:I$19)</f>
        <v>40</v>
      </c>
      <c r="G8" s="173">
        <f t="shared" si="2"/>
        <v>1</v>
      </c>
      <c r="H8" s="2737">
        <f>H7</f>
        <v>0.05</v>
      </c>
      <c r="I8" s="2737">
        <f>I7</f>
        <v>0.06</v>
      </c>
      <c r="J8" s="174">
        <f>J7</f>
        <v>6.5000000000000002E-2</v>
      </c>
      <c r="K8" s="177">
        <f>SUMIF('数据-汇总表'!C$19:C$33,'数据-取费表'!A8,'数据-汇总表'!E$19:E$33)</f>
        <v>16603</v>
      </c>
      <c r="L8" s="2738">
        <f>面积拆分!D29</f>
        <v>4000</v>
      </c>
      <c r="M8" s="175">
        <f>ROUND(K8*L8/10000,0)</f>
        <v>6641</v>
      </c>
      <c r="N8" s="2739">
        <f>N6</f>
        <v>0</v>
      </c>
      <c r="O8" s="175">
        <f t="shared" si="3"/>
        <v>0</v>
      </c>
      <c r="P8" s="176">
        <f t="shared" si="4"/>
        <v>6641</v>
      </c>
      <c r="Q8" s="2740">
        <f>Q6</f>
        <v>0.15</v>
      </c>
      <c r="R8" s="177">
        <f>SUMIF('数据-汇总表'!C$19:C$33,A8,'数据-汇总表'!R$19:R$33)</f>
        <v>9921.0300000000007</v>
      </c>
      <c r="S8" s="132">
        <f>IF('数据-汇总表'!$I$17="按面积比例",SUMIF('数据-汇总表'!C$19:C$33,A8,'数据-汇总表'!K$19:K$33),SUMIF('数据-汇总表'!C$19:C$33,A8,'数据-汇总表'!N$19:N$33))</f>
        <v>649.53</v>
      </c>
      <c r="T8" s="2112">
        <f t="shared" si="5"/>
        <v>227</v>
      </c>
      <c r="U8" s="178">
        <f>'不动产比较法-商业'!N22</f>
        <v>2.8</v>
      </c>
      <c r="V8" s="179">
        <v>0</v>
      </c>
      <c r="W8" s="179">
        <f>W7</f>
        <v>0.15</v>
      </c>
      <c r="X8" s="2199"/>
      <c r="Y8" s="180">
        <f>Y6</f>
        <v>1</v>
      </c>
      <c r="Z8" s="181"/>
      <c r="AA8" s="174"/>
      <c r="AB8" s="174"/>
      <c r="AC8" s="2202"/>
      <c r="AD8" s="182"/>
      <c r="AE8" s="960">
        <f t="shared" ca="1" si="6"/>
        <v>40</v>
      </c>
      <c r="AF8" s="139"/>
      <c r="AG8" s="1195">
        <f t="shared" si="7"/>
        <v>0</v>
      </c>
      <c r="AH8" s="139"/>
      <c r="AI8" s="185">
        <v>365</v>
      </c>
      <c r="AJ8" s="186"/>
      <c r="AK8" s="187">
        <f>AK7</f>
        <v>0.02</v>
      </c>
      <c r="AL8" s="188">
        <f>AL7</f>
        <v>2E-3</v>
      </c>
      <c r="AM8" s="2243">
        <f>AM7</f>
        <v>0.02</v>
      </c>
      <c r="AN8" s="2245" t="s">
        <v>3396</v>
      </c>
      <c r="AO8" s="3091"/>
      <c r="AP8" s="1186">
        <f t="shared" si="8"/>
        <v>0.85799999999999998</v>
      </c>
      <c r="AQ8" s="3091"/>
      <c r="AR8" s="3091"/>
      <c r="AS8" s="3091"/>
      <c r="AT8" s="3091"/>
      <c r="AU8" s="3091"/>
      <c r="AV8" s="3091"/>
      <c r="AW8" s="3091"/>
      <c r="AX8" s="3091"/>
      <c r="AY8" s="3091"/>
      <c r="AZ8" s="3091"/>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t="str">
        <f>'数据-汇总表'!C22</f>
        <v>办公</v>
      </c>
      <c r="B9" s="2215" t="str">
        <f t="shared" si="1"/>
        <v>经营性</v>
      </c>
      <c r="C9" s="171" t="s">
        <v>1668</v>
      </c>
      <c r="D9" s="2186">
        <f>SUMIF(项目基本情况!D$15:I$15,C9,项目基本情况!D$18:I$18)</f>
        <v>40</v>
      </c>
      <c r="E9" s="2187">
        <f>IF(B9="","",SUMIF(项目基本情况!D$15:I$15,C9,项目基本情况!D$17:I$17))</f>
        <v>58734</v>
      </c>
      <c r="F9" s="172">
        <f>SUMIF(项目基本情况!D$15:I$15,C9,项目基本情况!D$19:I$19)</f>
        <v>40</v>
      </c>
      <c r="G9" s="173">
        <f t="shared" si="2"/>
        <v>1</v>
      </c>
      <c r="H9" s="174">
        <v>4.4999999999999998E-2</v>
      </c>
      <c r="I9" s="174">
        <v>0.05</v>
      </c>
      <c r="J9" s="174">
        <v>0.06</v>
      </c>
      <c r="K9" s="177">
        <f>SUMIF('数据-汇总表'!C$19:C$33,'数据-取费表'!A9,'数据-汇总表'!E$19:E$33)</f>
        <v>25604</v>
      </c>
      <c r="L9" s="191">
        <f>面积拆分!D30</f>
        <v>4000</v>
      </c>
      <c r="M9" s="175">
        <f t="shared" si="0"/>
        <v>10242</v>
      </c>
      <c r="N9" s="192">
        <f>N6</f>
        <v>0</v>
      </c>
      <c r="O9" s="175">
        <f t="shared" si="3"/>
        <v>0</v>
      </c>
      <c r="P9" s="176">
        <f t="shared" si="4"/>
        <v>10242</v>
      </c>
      <c r="Q9" s="190">
        <f>Q6</f>
        <v>0.15</v>
      </c>
      <c r="R9" s="177">
        <f>SUMIF('数据-汇总表'!C$19:C$33,A9,'数据-汇总表'!R$19:R$33)</f>
        <v>15299.52</v>
      </c>
      <c r="S9" s="132">
        <f>IF('数据-汇总表'!$I$17="按面积比例",SUMIF('数据-汇总表'!C$19:C$33,A9,'数据-汇总表'!K$19:K$33),SUMIF('数据-汇总表'!C$19:C$33,A9,'数据-汇总表'!N$19:N$33))</f>
        <v>1001.66</v>
      </c>
      <c r="T9" s="2112">
        <f t="shared" si="5"/>
        <v>351</v>
      </c>
      <c r="U9" s="178">
        <f>'不动产比较法-办公'!C50</f>
        <v>2.5</v>
      </c>
      <c r="V9" s="179">
        <v>0</v>
      </c>
      <c r="W9" s="179">
        <v>0.1</v>
      </c>
      <c r="X9" s="2199"/>
      <c r="Y9" s="180">
        <f>Y6</f>
        <v>1</v>
      </c>
      <c r="Z9" s="181"/>
      <c r="AA9" s="174"/>
      <c r="AB9" s="174"/>
      <c r="AC9" s="2202"/>
      <c r="AD9" s="182"/>
      <c r="AE9" s="960">
        <f t="shared" ca="1" si="6"/>
        <v>40</v>
      </c>
      <c r="AF9" s="139"/>
      <c r="AG9" s="1195">
        <f t="shared" si="7"/>
        <v>0</v>
      </c>
      <c r="AH9" s="139"/>
      <c r="AI9" s="185">
        <v>365</v>
      </c>
      <c r="AJ9" s="186"/>
      <c r="AK9" s="187">
        <f>AK6</f>
        <v>0.01</v>
      </c>
      <c r="AL9" s="188">
        <f>AL6</f>
        <v>1E-3</v>
      </c>
      <c r="AM9" s="2243">
        <f>AM6</f>
        <v>0.01</v>
      </c>
      <c r="AN9" s="2245" t="s">
        <v>3397</v>
      </c>
      <c r="AO9" s="3091"/>
      <c r="AP9" s="1186">
        <f t="shared" si="8"/>
        <v>0.82799999999999996</v>
      </c>
      <c r="AQ9" s="3091"/>
      <c r="AR9" s="3091"/>
      <c r="AS9" s="3091"/>
      <c r="AT9" s="3091"/>
      <c r="AU9" s="3091"/>
      <c r="AV9" s="3091"/>
      <c r="AW9" s="3091"/>
      <c r="AX9" s="3091"/>
      <c r="AY9" s="3091"/>
      <c r="AZ9" s="3091"/>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t="str">
        <f>'数据-汇总表'!C23</f>
        <v>公寓</v>
      </c>
      <c r="B10" s="2215" t="str">
        <f t="shared" si="1"/>
        <v>经营性</v>
      </c>
      <c r="C10" s="171" t="s">
        <v>1668</v>
      </c>
      <c r="D10" s="2186">
        <f>SUMIF(项目基本情况!D$15:I$15,C10,项目基本情况!D$18:I$18)</f>
        <v>40</v>
      </c>
      <c r="E10" s="2187">
        <f>IF(B10="","",SUMIF(项目基本情况!D$15:I$15,C10,项目基本情况!D$17:I$17))</f>
        <v>58734</v>
      </c>
      <c r="F10" s="172">
        <f>SUMIF(项目基本情况!D$15:I$15,C10,项目基本情况!D$19:I$19)</f>
        <v>40</v>
      </c>
      <c r="G10" s="173">
        <f t="shared" si="2"/>
        <v>1</v>
      </c>
      <c r="H10" s="174">
        <f>H6</f>
        <v>0.03</v>
      </c>
      <c r="I10" s="174">
        <f>I6</f>
        <v>0.04</v>
      </c>
      <c r="J10" s="174">
        <f>J6</f>
        <v>0.05</v>
      </c>
      <c r="K10" s="177">
        <f>SUMIF('数据-汇总表'!C$19:C$33,'数据-取费表'!A10,'数据-汇总表'!E$19:E$33)</f>
        <v>38707</v>
      </c>
      <c r="L10" s="191">
        <f>面积拆分!D31</f>
        <v>4000</v>
      </c>
      <c r="M10" s="175">
        <f t="shared" si="0"/>
        <v>15483</v>
      </c>
      <c r="N10" s="192">
        <f>N6</f>
        <v>0</v>
      </c>
      <c r="O10" s="175">
        <f t="shared" si="3"/>
        <v>0</v>
      </c>
      <c r="P10" s="176">
        <f t="shared" si="4"/>
        <v>15483</v>
      </c>
      <c r="Q10" s="190">
        <f>Q6</f>
        <v>0.15</v>
      </c>
      <c r="R10" s="177">
        <f>SUMIF('数据-汇总表'!C$19:C$33,A10,'数据-汇总表'!R$19:R$33)</f>
        <v>23129.149999999998</v>
      </c>
      <c r="S10" s="132">
        <f>IF('数据-汇总表'!$I$17="按面积比例",SUMIF('数据-汇总表'!C$19:C$33,A10,'数据-汇总表'!K$19:K$33),SUMIF('数据-汇总表'!C$19:C$33,A10,'数据-汇总表'!N$19:N$33))</f>
        <v>1514.27</v>
      </c>
      <c r="T10" s="2112">
        <f t="shared" si="5"/>
        <v>530</v>
      </c>
      <c r="U10" s="178">
        <f>U6</f>
        <v>1.9</v>
      </c>
      <c r="V10" s="179">
        <v>0</v>
      </c>
      <c r="W10" s="179">
        <v>0.05</v>
      </c>
      <c r="X10" s="2199"/>
      <c r="Y10" s="180">
        <f>Y6</f>
        <v>1</v>
      </c>
      <c r="Z10" s="181"/>
      <c r="AA10" s="174"/>
      <c r="AB10" s="174"/>
      <c r="AC10" s="2202"/>
      <c r="AD10" s="182"/>
      <c r="AE10" s="960">
        <f t="shared" ca="1" si="6"/>
        <v>40</v>
      </c>
      <c r="AF10" s="139"/>
      <c r="AG10" s="1195">
        <f t="shared" si="7"/>
        <v>0</v>
      </c>
      <c r="AH10" s="139"/>
      <c r="AI10" s="185">
        <v>365</v>
      </c>
      <c r="AJ10" s="186"/>
      <c r="AK10" s="187">
        <f>AK6</f>
        <v>0.01</v>
      </c>
      <c r="AL10" s="188">
        <f>AL6</f>
        <v>1E-3</v>
      </c>
      <c r="AM10" s="2243">
        <f>AM6</f>
        <v>0.01</v>
      </c>
      <c r="AN10" s="2245" t="s">
        <v>3398</v>
      </c>
      <c r="AO10" s="3091"/>
      <c r="AP10" s="1186">
        <f t="shared" si="8"/>
        <v>0.69299999999999995</v>
      </c>
      <c r="AQ10" s="3091"/>
      <c r="AR10" s="3091"/>
      <c r="AS10" s="3091"/>
      <c r="AT10" s="3091"/>
      <c r="AU10" s="3091"/>
      <c r="AV10" s="3091"/>
      <c r="AW10" s="3091"/>
      <c r="AX10" s="3091"/>
      <c r="AY10" s="3091"/>
      <c r="AZ10" s="3091"/>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f t="shared" si="5"/>
        <v>0</v>
      </c>
      <c r="U11" s="183"/>
      <c r="V11" s="174"/>
      <c r="W11" s="174"/>
      <c r="X11" s="2202"/>
      <c r="Y11" s="180"/>
      <c r="Z11" s="193"/>
      <c r="AA11" s="174"/>
      <c r="AB11" s="174"/>
      <c r="AC11" s="2202"/>
      <c r="AD11" s="182"/>
      <c r="AE11" s="960">
        <f t="shared" ca="1" si="6"/>
        <v>0</v>
      </c>
      <c r="AF11" s="139"/>
      <c r="AG11" s="1195">
        <f t="shared" si="7"/>
        <v>0</v>
      </c>
      <c r="AH11" s="139"/>
      <c r="AI11" s="185"/>
      <c r="AJ11" s="186"/>
      <c r="AK11" s="194"/>
      <c r="AL11" s="195"/>
      <c r="AM11" s="1730"/>
      <c r="AN11" s="2245"/>
      <c r="AO11" s="3091"/>
      <c r="AP11" s="1186">
        <f t="shared" si="8"/>
        <v>0</v>
      </c>
      <c r="AQ11" s="3091"/>
      <c r="AR11" s="3091"/>
      <c r="AS11" s="3091"/>
      <c r="AT11" s="3091"/>
      <c r="AU11" s="3091"/>
      <c r="AV11" s="3091"/>
      <c r="AW11" s="3091"/>
      <c r="AX11" s="3091"/>
      <c r="AY11" s="3091"/>
      <c r="AZ11" s="3091"/>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f t="shared" si="5"/>
        <v>0</v>
      </c>
      <c r="U12" s="183"/>
      <c r="V12" s="174"/>
      <c r="W12" s="174"/>
      <c r="X12" s="2202"/>
      <c r="Y12" s="180"/>
      <c r="Z12" s="193"/>
      <c r="AA12" s="174"/>
      <c r="AB12" s="174"/>
      <c r="AC12" s="2202"/>
      <c r="AD12" s="182"/>
      <c r="AE12" s="960">
        <f t="shared" ca="1" si="6"/>
        <v>0</v>
      </c>
      <c r="AF12" s="139"/>
      <c r="AG12" s="1195">
        <f t="shared" si="7"/>
        <v>0</v>
      </c>
      <c r="AH12" s="139"/>
      <c r="AI12" s="185"/>
      <c r="AJ12" s="186"/>
      <c r="AK12" s="194"/>
      <c r="AL12" s="195"/>
      <c r="AM12" s="1730"/>
      <c r="AN12" s="2245"/>
      <c r="AO12" s="3091"/>
      <c r="AP12" s="1186">
        <f t="shared" si="8"/>
        <v>0</v>
      </c>
      <c r="AQ12" s="3091"/>
      <c r="AR12" s="3091"/>
      <c r="AS12" s="3091"/>
      <c r="AT12" s="3091"/>
      <c r="AU12" s="3091"/>
      <c r="AV12" s="3091"/>
      <c r="AW12" s="3091"/>
      <c r="AX12" s="3091"/>
      <c r="AY12" s="3091"/>
      <c r="AZ12" s="3091"/>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f t="shared" si="5"/>
        <v>0</v>
      </c>
      <c r="U13" s="178"/>
      <c r="V13" s="179"/>
      <c r="W13" s="179"/>
      <c r="X13" s="2199"/>
      <c r="Y13" s="180"/>
      <c r="Z13" s="181"/>
      <c r="AA13" s="174"/>
      <c r="AB13" s="174"/>
      <c r="AC13" s="2202"/>
      <c r="AD13" s="182"/>
      <c r="AE13" s="960">
        <f t="shared" ca="1" si="6"/>
        <v>0</v>
      </c>
      <c r="AF13" s="139"/>
      <c r="AG13" s="1195">
        <f t="shared" si="7"/>
        <v>0</v>
      </c>
      <c r="AH13" s="139"/>
      <c r="AI13" s="185"/>
      <c r="AJ13" s="186"/>
      <c r="AK13" s="187"/>
      <c r="AL13" s="188"/>
      <c r="AM13" s="2243"/>
      <c r="AN13" s="2245"/>
      <c r="AO13" s="3091"/>
      <c r="AP13" s="1186">
        <f t="shared" si="8"/>
        <v>0</v>
      </c>
      <c r="AQ13" s="3091"/>
      <c r="AR13" s="3091"/>
      <c r="AS13" s="3091"/>
      <c r="AT13" s="3091"/>
      <c r="AU13" s="3091"/>
      <c r="AV13" s="3091"/>
      <c r="AW13" s="3091"/>
      <c r="AX13" s="3091"/>
      <c r="AY13" s="3091"/>
      <c r="AZ13" s="3091"/>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1670</v>
      </c>
      <c r="C14" s="2185" t="s">
        <v>2301</v>
      </c>
      <c r="D14" s="2186"/>
      <c r="E14" s="2187"/>
      <c r="F14" s="172"/>
      <c r="G14" s="173"/>
      <c r="H14" s="2188"/>
      <c r="I14" s="2188"/>
      <c r="J14" s="2188"/>
      <c r="K14" s="177">
        <f>SUMIF('数据-汇总表'!C$19:C$33,'数据-取费表'!A14,'数据-汇总表'!E$19:E$33)</f>
        <v>10502</v>
      </c>
      <c r="L14" s="191">
        <f>面积拆分!D32</f>
        <v>3500</v>
      </c>
      <c r="M14" s="175">
        <f t="shared" si="0"/>
        <v>3676</v>
      </c>
      <c r="N14" s="192"/>
      <c r="O14" s="175">
        <f t="shared" si="3"/>
        <v>0</v>
      </c>
      <c r="P14" s="176">
        <f t="shared" si="4"/>
        <v>3676</v>
      </c>
      <c r="Q14" s="2196"/>
      <c r="R14" s="177"/>
      <c r="S14" s="132"/>
      <c r="T14" s="2195"/>
      <c r="U14" s="962"/>
      <c r="V14" s="2198"/>
      <c r="W14" s="2198"/>
      <c r="X14" s="2199"/>
      <c r="Y14" s="2200"/>
      <c r="Z14" s="135"/>
      <c r="AA14" s="2201"/>
      <c r="AB14" s="2201"/>
      <c r="AC14" s="2202"/>
      <c r="AD14" s="2199"/>
      <c r="AE14" s="960"/>
      <c r="AF14" s="2174"/>
      <c r="AG14" s="1195"/>
      <c r="AH14" s="2174"/>
      <c r="AI14" s="1505"/>
      <c r="AJ14" s="1505"/>
      <c r="AK14" s="2203"/>
      <c r="AL14" s="2204"/>
      <c r="AM14" s="2205"/>
      <c r="AN14" s="3091"/>
      <c r="AO14" s="3091"/>
      <c r="AP14" s="3091"/>
      <c r="AQ14" s="3091"/>
      <c r="AR14" s="3091"/>
      <c r="AS14" s="3091"/>
      <c r="AT14" s="3091"/>
      <c r="AU14" s="3091"/>
      <c r="AV14" s="3091"/>
      <c r="AW14" s="3091"/>
      <c r="AX14" s="3091"/>
      <c r="AY14" s="3091"/>
      <c r="AZ14" s="3091"/>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1670</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2"/>
      <c r="V15" s="2198"/>
      <c r="W15" s="2198"/>
      <c r="X15" s="2199"/>
      <c r="Y15" s="2200"/>
      <c r="Z15" s="135"/>
      <c r="AA15" s="2201"/>
      <c r="AB15" s="2201"/>
      <c r="AC15" s="2202"/>
      <c r="AD15" s="2199"/>
      <c r="AE15" s="960"/>
      <c r="AF15" s="2174"/>
      <c r="AG15" s="1195"/>
      <c r="AH15" s="2174"/>
      <c r="AI15" s="1505"/>
      <c r="AJ15" s="1505"/>
      <c r="AK15" s="2203"/>
      <c r="AL15" s="2204"/>
      <c r="AM15" s="2205"/>
      <c r="AN15" s="3091"/>
      <c r="AO15" s="3091"/>
      <c r="AP15" s="3091"/>
      <c r="AQ15" s="3091"/>
      <c r="AR15" s="3091"/>
      <c r="AS15" s="3091"/>
      <c r="AT15" s="3091"/>
      <c r="AU15" s="3091"/>
      <c r="AV15" s="3091"/>
      <c r="AW15" s="3091"/>
      <c r="AX15" s="3091"/>
      <c r="AY15" s="3091"/>
      <c r="AZ15" s="3091"/>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1</v>
      </c>
      <c r="H16" s="201">
        <f>ROUND(SUMPRODUCT(H6:H13,K6:K13)/SUMPRODUCT((H6:H13&gt;0)*(K6:K13)),3)</f>
        <v>3.5000000000000003E-2</v>
      </c>
      <c r="I16" s="202"/>
      <c r="J16" s="202"/>
      <c r="K16" s="203">
        <f>SUM(K6:K15)</f>
        <v>278949</v>
      </c>
      <c r="L16" s="204">
        <f>ROUND(M16*10000/SUM(K6:K14),0)</f>
        <v>4371</v>
      </c>
      <c r="M16" s="204">
        <f>SUM(M6:M14)</f>
        <v>121928</v>
      </c>
      <c r="N16" s="205">
        <f>ROUND(SUMPRODUCT(M6:M14,N6:N14)/M16,3)</f>
        <v>0</v>
      </c>
      <c r="O16" s="204">
        <f>SUM(O6:O14)</f>
        <v>0</v>
      </c>
      <c r="P16" s="204">
        <f>SUM(P6:P14)</f>
        <v>121928</v>
      </c>
      <c r="Q16" s="206">
        <f>ROUND(SUMPRODUCT(Q6:Q13,K6:K13)/SUMPRODUCT((Q6:Q13&gt;0)*(K6:K13)),2)</f>
        <v>0.15</v>
      </c>
      <c r="R16" s="2189">
        <f>SUM(R6:R13)</f>
        <v>160409</v>
      </c>
      <c r="S16" s="207">
        <f>SUM(S6:S13)</f>
        <v>10502.000000000002</v>
      </c>
      <c r="T16" s="208">
        <f>IF(SUMIF(T6:T13,"&lt;9E307")=M14,SUMIF(T6:T13,"&lt;9E307"),"有误，请检查")</f>
        <v>3676</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6">
        <f>ROUND(SUMPRODUCT(AP6:AP13,K6:K13)/SUMPRODUCT((AP6:AP13&gt;0)*(K6:K13)),3)</f>
        <v>0.84099999999999997</v>
      </c>
      <c r="AQ16" s="3091"/>
      <c r="AR16" s="3091"/>
      <c r="AS16" s="3091"/>
      <c r="AT16" s="3091"/>
      <c r="AU16" s="3091"/>
      <c r="AV16" s="3091"/>
      <c r="AW16" s="3091"/>
      <c r="AX16" s="3091"/>
      <c r="AY16" s="3091"/>
      <c r="AZ16" s="3091"/>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2</v>
      </c>
      <c r="C19" s="3103" t="s">
        <v>2981</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v>
      </c>
      <c r="C20" s="3103" t="s">
        <v>2322</v>
      </c>
      <c r="D20" s="3092"/>
      <c r="E20" s="3091"/>
      <c r="F20" s="3091"/>
      <c r="G20" s="3091"/>
      <c r="H20" s="3091"/>
      <c r="I20" s="3091"/>
      <c r="J20" s="3091"/>
      <c r="K20" s="3090"/>
      <c r="L20" s="3090"/>
      <c r="M20" s="3088"/>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090"/>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4</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2</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89"/>
      <c r="B25" s="1186"/>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7" customFormat="1" ht="27.75">
      <c r="A27" s="224" t="s">
        <v>2324</v>
      </c>
      <c r="B27" s="225">
        <v>160</v>
      </c>
      <c r="C27" s="3104" t="s">
        <v>2982</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200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230">
        <v>0</v>
      </c>
      <c r="C29" s="3105" t="s">
        <v>2326</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3" t="s">
        <v>273</v>
      </c>
      <c r="B30" s="3333">
        <v>30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30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5" t="s">
        <v>275</v>
      </c>
      <c r="B32" s="1328"/>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9">
        <v>0.05</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1">
        <v>0.05</v>
      </c>
      <c r="C34" s="3106" t="s">
        <v>2970</v>
      </c>
      <c r="D34" s="3107" t="s">
        <v>2978</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v>350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0.01</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0.01</v>
      </c>
      <c r="C38" s="3106" t="s">
        <v>2973</v>
      </c>
      <c r="D38" s="3092"/>
      <c r="E38" s="3091"/>
      <c r="F38" s="3091"/>
      <c r="G38" s="3091"/>
      <c r="H38" s="3091"/>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0" t="s">
        <v>2437</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2340" t="s">
        <v>2438</v>
      </c>
      <c r="B40" s="2332">
        <f ca="1">存贷款利率!E2</f>
        <v>4.7500000000000001E-2</v>
      </c>
      <c r="C40" s="3106" t="s">
        <v>2974</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5.5000000000000007E-2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6"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6" t="s">
        <v>284</v>
      </c>
      <c r="B43" s="239">
        <f>B42*(B44+B45+B46)+B47</f>
        <v>5.000000000000001E-3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0.05</v>
      </c>
      <c r="C44" s="3106" t="s">
        <v>2979</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2975</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2976</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c r="C47" s="3104" t="s">
        <v>2983</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0.03</v>
      </c>
      <c r="C48" s="3109" t="s">
        <v>2975</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2977</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3</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1398</v>
      </c>
      <c r="C53" s="3099" t="s">
        <v>2872</v>
      </c>
      <c r="D53" s="3110" t="s">
        <v>2980</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2873</v>
      </c>
      <c r="B54" s="184"/>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2874</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2875</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2876</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2877</v>
      </c>
      <c r="B58" s="184">
        <v>3</v>
      </c>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2878</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2879</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2880</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2881</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2882</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4" type="noConversion"/>
  <conditionalFormatting sqref="T6:T15">
    <cfRule type="containsText" dxfId="214" priority="12" stopIfTrue="1" operator="containsText" text="自行计算">
      <formula>NOT(ISERROR(SEARCH("自行计算",T6)))</formula>
    </cfRule>
    <cfRule type="containsText" dxfId="213" priority="13" stopIfTrue="1" operator="containsText" text="自行计算">
      <formula>NOT(ISERROR(SEARCH("自行计算",T6)))</formula>
    </cfRule>
  </conditionalFormatting>
  <conditionalFormatting sqref="T6:T13">
    <cfRule type="containsText" dxfId="212" priority="10" stopIfTrue="1" operator="containsText" text="自行计算">
      <formula>NOT(ISERROR(SEARCH("自行计算",T6)))</formula>
    </cfRule>
    <cfRule type="containsText" dxfId="211" priority="11" stopIfTrue="1" operator="containsText" text="自行计算">
      <formula>NOT(ISERROR(SEARCH("自行计算",T6)))</formula>
    </cfRule>
  </conditionalFormatting>
  <conditionalFormatting sqref="T12:T13">
    <cfRule type="containsText" dxfId="210" priority="4" stopIfTrue="1" operator="containsText" text="自行计算">
      <formula>NOT(ISERROR(SEARCH("自行计算",T12)))</formula>
    </cfRule>
    <cfRule type="containsText" dxfId="209" priority="5" stopIfTrue="1" operator="containsText" text="自行计算">
      <formula>NOT(ISERROR(SEARCH("自行计算",T12)))</formula>
    </cfRule>
  </conditionalFormatting>
  <conditionalFormatting sqref="T12:T13">
    <cfRule type="containsText" dxfId="208" priority="2" stopIfTrue="1" operator="containsText" text="自行计算">
      <formula>NOT(ISERROR(SEARCH("自行计算",T12)))</formula>
    </cfRule>
    <cfRule type="containsText" dxfId="207" priority="3" stopIfTrue="1" operator="containsText" text="自行计算">
      <formula>NOT(ISERROR(SEARCH("自行计算",T12)))</formula>
    </cfRule>
  </conditionalFormatting>
  <conditionalFormatting sqref="T6:T15">
    <cfRule type="expression" dxfId="20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selection activeCell="E35" sqref="E35"/>
    </sheetView>
  </sheetViews>
  <sheetFormatPr defaultColWidth="8.875" defaultRowHeight="13.5"/>
  <cols>
    <col min="2" max="2" width="18.125" customWidth="1"/>
    <col min="3" max="3" width="18.5" customWidth="1"/>
    <col min="4" max="4" width="13.375" customWidth="1"/>
    <col min="5" max="5" width="13.625" customWidth="1"/>
    <col min="6" max="6" width="19.875" customWidth="1"/>
    <col min="8" max="8" width="21.625" customWidth="1"/>
  </cols>
  <sheetData>
    <row r="1" spans="1:10" ht="27">
      <c r="A1" s="3284" t="s">
        <v>2995</v>
      </c>
      <c r="B1" s="3284" t="s">
        <v>2996</v>
      </c>
      <c r="C1" s="3284" t="s">
        <v>2997</v>
      </c>
      <c r="D1" s="3284" t="s">
        <v>2998</v>
      </c>
      <c r="E1" s="3284" t="s">
        <v>2999</v>
      </c>
      <c r="F1" s="3284" t="s">
        <v>3000</v>
      </c>
      <c r="G1" s="3285" t="s">
        <v>3001</v>
      </c>
      <c r="H1" s="3286" t="s">
        <v>3002</v>
      </c>
      <c r="I1" s="3286" t="s">
        <v>3003</v>
      </c>
      <c r="J1" s="3287" t="s">
        <v>3004</v>
      </c>
    </row>
    <row r="2" spans="1:10">
      <c r="A2" s="3435" t="s">
        <v>3005</v>
      </c>
      <c r="B2" s="3436" t="s">
        <v>3006</v>
      </c>
      <c r="C2" s="3288" t="s">
        <v>3007</v>
      </c>
      <c r="D2" s="3288" t="s">
        <v>3008</v>
      </c>
      <c r="E2" s="3288">
        <v>7784</v>
      </c>
      <c r="F2" s="3288" t="s">
        <v>3009</v>
      </c>
      <c r="G2" s="3289">
        <v>2</v>
      </c>
      <c r="H2" s="3290" t="s">
        <v>3010</v>
      </c>
      <c r="I2" s="3290" t="s">
        <v>3010</v>
      </c>
      <c r="J2" s="3291">
        <f t="shared" ref="J2:J11" si="0">E2*G2</f>
        <v>15568</v>
      </c>
    </row>
    <row r="3" spans="1:10">
      <c r="A3" s="3435"/>
      <c r="B3" s="3437"/>
      <c r="C3" s="3288" t="s">
        <v>3011</v>
      </c>
      <c r="D3" s="3288" t="s">
        <v>3008</v>
      </c>
      <c r="E3" s="3288">
        <v>20508</v>
      </c>
      <c r="F3" s="3288" t="s">
        <v>3009</v>
      </c>
      <c r="G3" s="3289">
        <v>1.5</v>
      </c>
      <c r="H3" s="3290" t="s">
        <v>3010</v>
      </c>
      <c r="I3" s="3290" t="s">
        <v>3010</v>
      </c>
      <c r="J3" s="3291">
        <f t="shared" si="0"/>
        <v>30762</v>
      </c>
    </row>
    <row r="4" spans="1:10">
      <c r="A4" s="3435"/>
      <c r="B4" s="3437"/>
      <c r="C4" s="3288" t="s">
        <v>3012</v>
      </c>
      <c r="D4" s="3288" t="s">
        <v>3008</v>
      </c>
      <c r="E4" s="3288">
        <v>12077</v>
      </c>
      <c r="F4" s="3288" t="s">
        <v>3009</v>
      </c>
      <c r="G4" s="3289">
        <v>1.5</v>
      </c>
      <c r="H4" s="3290" t="s">
        <v>3010</v>
      </c>
      <c r="I4" s="3290" t="s">
        <v>3010</v>
      </c>
      <c r="J4" s="3291">
        <f t="shared" si="0"/>
        <v>18115.5</v>
      </c>
    </row>
    <row r="5" spans="1:10">
      <c r="A5" s="3435"/>
      <c r="B5" s="3437"/>
      <c r="C5" s="3288" t="s">
        <v>3013</v>
      </c>
      <c r="D5" s="3288" t="s">
        <v>3014</v>
      </c>
      <c r="E5" s="3288">
        <v>13328</v>
      </c>
      <c r="F5" s="3288" t="s">
        <v>3015</v>
      </c>
      <c r="G5" s="3289">
        <v>2</v>
      </c>
      <c r="H5" s="3290" t="s">
        <v>3010</v>
      </c>
      <c r="I5" s="3290" t="s">
        <v>3010</v>
      </c>
      <c r="J5" s="3291">
        <f t="shared" si="0"/>
        <v>26656</v>
      </c>
    </row>
    <row r="6" spans="1:10">
      <c r="A6" s="3435"/>
      <c r="B6" s="3437"/>
      <c r="C6" s="3288" t="s">
        <v>3016</v>
      </c>
      <c r="D6" s="3288" t="s">
        <v>3014</v>
      </c>
      <c r="E6" s="3288">
        <v>5740</v>
      </c>
      <c r="F6" s="3288" t="s">
        <v>3015</v>
      </c>
      <c r="G6" s="3289">
        <v>2</v>
      </c>
      <c r="H6" s="3290" t="s">
        <v>3010</v>
      </c>
      <c r="I6" s="3290" t="s">
        <v>3010</v>
      </c>
      <c r="J6" s="3291">
        <f t="shared" si="0"/>
        <v>11480</v>
      </c>
    </row>
    <row r="7" spans="1:10">
      <c r="A7" s="3435"/>
      <c r="B7" s="3437"/>
      <c r="C7" s="3288" t="s">
        <v>3017</v>
      </c>
      <c r="D7" s="3288" t="s">
        <v>3014</v>
      </c>
      <c r="E7" s="3288">
        <v>13195</v>
      </c>
      <c r="F7" s="3288" t="s">
        <v>3015</v>
      </c>
      <c r="G7" s="3289">
        <v>2</v>
      </c>
      <c r="H7" s="3290" t="s">
        <v>3010</v>
      </c>
      <c r="I7" s="3290" t="s">
        <v>3010</v>
      </c>
      <c r="J7" s="3291">
        <f t="shared" si="0"/>
        <v>26390</v>
      </c>
    </row>
    <row r="8" spans="1:10">
      <c r="A8" s="3435"/>
      <c r="B8" s="3438"/>
      <c r="C8" s="3288" t="s">
        <v>3018</v>
      </c>
      <c r="D8" s="3288" t="s">
        <v>3014</v>
      </c>
      <c r="E8" s="3288">
        <v>8309</v>
      </c>
      <c r="F8" s="3288" t="s">
        <v>3015</v>
      </c>
      <c r="G8" s="3289">
        <v>2</v>
      </c>
      <c r="H8" s="3290" t="s">
        <v>3010</v>
      </c>
      <c r="I8" s="3290" t="s">
        <v>3010</v>
      </c>
      <c r="J8" s="3291">
        <f t="shared" si="0"/>
        <v>16618</v>
      </c>
    </row>
    <row r="9" spans="1:10">
      <c r="A9" s="3435"/>
      <c r="B9" s="3436" t="s">
        <v>3019</v>
      </c>
      <c r="C9" s="3288" t="s">
        <v>3020</v>
      </c>
      <c r="D9" s="3288" t="s">
        <v>3014</v>
      </c>
      <c r="E9" s="3288">
        <v>10372</v>
      </c>
      <c r="F9" s="3288" t="s">
        <v>3015</v>
      </c>
      <c r="G9" s="3289">
        <v>2</v>
      </c>
      <c r="H9" s="3290" t="s">
        <v>3010</v>
      </c>
      <c r="I9" s="3290" t="s">
        <v>3010</v>
      </c>
      <c r="J9" s="3291">
        <f t="shared" si="0"/>
        <v>20744</v>
      </c>
    </row>
    <row r="10" spans="1:10">
      <c r="A10" s="3435"/>
      <c r="B10" s="3437"/>
      <c r="C10" s="3288" t="s">
        <v>3021</v>
      </c>
      <c r="D10" s="3288" t="s">
        <v>3014</v>
      </c>
      <c r="E10" s="3288">
        <v>11413</v>
      </c>
      <c r="F10" s="3288" t="s">
        <v>3015</v>
      </c>
      <c r="G10" s="3289">
        <v>2</v>
      </c>
      <c r="H10" s="3290" t="s">
        <v>3010</v>
      </c>
      <c r="I10" s="3290" t="s">
        <v>3010</v>
      </c>
      <c r="J10" s="3291">
        <f t="shared" si="0"/>
        <v>22826</v>
      </c>
    </row>
    <row r="11" spans="1:10">
      <c r="A11" s="3435"/>
      <c r="B11" s="3437"/>
      <c r="C11" s="3288" t="s">
        <v>3022</v>
      </c>
      <c r="D11" s="3288" t="s">
        <v>3014</v>
      </c>
      <c r="E11" s="3288">
        <v>13183</v>
      </c>
      <c r="F11" s="3288" t="s">
        <v>3015</v>
      </c>
      <c r="G11" s="3289">
        <v>2</v>
      </c>
      <c r="H11" s="3290" t="s">
        <v>3010</v>
      </c>
      <c r="I11" s="3290" t="s">
        <v>3010</v>
      </c>
      <c r="J11" s="3291">
        <f t="shared" si="0"/>
        <v>26366</v>
      </c>
    </row>
    <row r="12" spans="1:10">
      <c r="A12" s="3435"/>
      <c r="B12" s="3437"/>
      <c r="C12" s="3288" t="s">
        <v>3023</v>
      </c>
      <c r="D12" s="3288" t="s">
        <v>3024</v>
      </c>
      <c r="E12" s="3288">
        <v>3147</v>
      </c>
      <c r="F12" s="3288" t="s">
        <v>3025</v>
      </c>
      <c r="G12" s="3292" t="s">
        <v>3010</v>
      </c>
      <c r="H12" s="3290" t="s">
        <v>3026</v>
      </c>
      <c r="I12" s="3290" t="s">
        <v>3010</v>
      </c>
      <c r="J12" s="3288" t="s">
        <v>3010</v>
      </c>
    </row>
    <row r="13" spans="1:10">
      <c r="A13" s="3435"/>
      <c r="B13" s="3437"/>
      <c r="C13" s="3288" t="s">
        <v>3027</v>
      </c>
      <c r="D13" s="3288" t="s">
        <v>3028</v>
      </c>
      <c r="E13" s="3288">
        <v>6551</v>
      </c>
      <c r="F13" s="3288" t="s">
        <v>3029</v>
      </c>
      <c r="G13" s="3289">
        <v>0.7</v>
      </c>
      <c r="H13" s="3290" t="s">
        <v>3030</v>
      </c>
      <c r="I13" s="3290" t="s">
        <v>3031</v>
      </c>
      <c r="J13" s="3291">
        <f t="shared" ref="J13:J17" si="1">E13*G13</f>
        <v>4585.7</v>
      </c>
    </row>
    <row r="14" spans="1:10" ht="75.75" customHeight="1">
      <c r="A14" s="3435"/>
      <c r="B14" s="3437"/>
      <c r="C14" s="3288" t="s">
        <v>3032</v>
      </c>
      <c r="D14" s="3288" t="s">
        <v>3008</v>
      </c>
      <c r="E14" s="3288">
        <v>4953</v>
      </c>
      <c r="F14" s="3288" t="s">
        <v>3009</v>
      </c>
      <c r="G14" s="3289">
        <v>2</v>
      </c>
      <c r="H14" s="3293" t="s">
        <v>3038</v>
      </c>
      <c r="I14" s="3290" t="s">
        <v>3010</v>
      </c>
      <c r="J14" s="3291">
        <f t="shared" si="1"/>
        <v>9906</v>
      </c>
    </row>
    <row r="15" spans="1:10">
      <c r="A15" s="3435"/>
      <c r="B15" s="3437"/>
      <c r="C15" s="3288" t="s">
        <v>3033</v>
      </c>
      <c r="D15" s="3288" t="s">
        <v>3034</v>
      </c>
      <c r="E15" s="3288">
        <v>8317</v>
      </c>
      <c r="F15" s="3288" t="s">
        <v>3035</v>
      </c>
      <c r="G15" s="3289">
        <v>2</v>
      </c>
      <c r="H15" s="3290" t="s">
        <v>3010</v>
      </c>
      <c r="I15" s="3290" t="s">
        <v>3010</v>
      </c>
      <c r="J15" s="3291">
        <f t="shared" si="1"/>
        <v>16634</v>
      </c>
    </row>
    <row r="16" spans="1:10">
      <c r="A16" s="3435"/>
      <c r="B16" s="3437"/>
      <c r="C16" s="3288" t="s">
        <v>3036</v>
      </c>
      <c r="D16" s="3288" t="s">
        <v>3008</v>
      </c>
      <c r="E16" s="3288">
        <v>8272</v>
      </c>
      <c r="F16" s="3288" t="s">
        <v>3009</v>
      </c>
      <c r="G16" s="3289">
        <v>1.5</v>
      </c>
      <c r="H16" s="3290" t="s">
        <v>3010</v>
      </c>
      <c r="I16" s="3290" t="s">
        <v>3010</v>
      </c>
      <c r="J16" s="3291">
        <f t="shared" si="1"/>
        <v>12408</v>
      </c>
    </row>
    <row r="17" spans="1:27">
      <c r="A17" s="3435"/>
      <c r="B17" s="3438"/>
      <c r="C17" s="3288" t="s">
        <v>3037</v>
      </c>
      <c r="D17" s="3288" t="s">
        <v>3008</v>
      </c>
      <c r="E17" s="3288">
        <v>13260</v>
      </c>
      <c r="F17" s="3288" t="s">
        <v>3009</v>
      </c>
      <c r="G17" s="3289">
        <v>1.5</v>
      </c>
      <c r="H17" s="3290" t="s">
        <v>3010</v>
      </c>
      <c r="I17" s="3290" t="s">
        <v>3010</v>
      </c>
      <c r="J17" s="3291">
        <f t="shared" si="1"/>
        <v>19890</v>
      </c>
    </row>
    <row r="18" spans="1:27">
      <c r="E18" s="3336">
        <f>SUM(E2:E17)</f>
        <v>160409</v>
      </c>
      <c r="F18" s="3336"/>
      <c r="G18" s="3336"/>
      <c r="H18" s="3336"/>
      <c r="I18" s="3336"/>
      <c r="J18" s="3337">
        <f>SUM(J2:J17)</f>
        <v>278949.2</v>
      </c>
    </row>
    <row r="20" spans="1:27">
      <c r="B20" s="3439" t="s">
        <v>3041</v>
      </c>
      <c r="C20" s="3441" t="s">
        <v>3042</v>
      </c>
      <c r="D20" s="3443" t="s">
        <v>3043</v>
      </c>
      <c r="E20" s="3443" t="s">
        <v>3044</v>
      </c>
      <c r="F20" s="3445" t="s">
        <v>3045</v>
      </c>
      <c r="G20" s="3447" t="s">
        <v>3046</v>
      </c>
      <c r="H20" s="3432" t="s">
        <v>3047</v>
      </c>
      <c r="I20" s="3433"/>
      <c r="J20" s="3434"/>
      <c r="K20" s="3432" t="s">
        <v>3048</v>
      </c>
      <c r="L20" s="3433"/>
      <c r="M20" s="3433"/>
      <c r="N20" s="3433"/>
      <c r="O20" s="3434"/>
      <c r="P20" s="3432" t="s">
        <v>3049</v>
      </c>
      <c r="Q20" s="3433"/>
      <c r="R20" s="3433"/>
      <c r="S20" s="3433"/>
      <c r="T20" s="3433"/>
      <c r="U20" s="3433"/>
      <c r="V20" s="3433"/>
      <c r="W20" s="3433"/>
      <c r="X20" s="3433"/>
      <c r="Y20" s="3433"/>
      <c r="Z20" s="3433"/>
      <c r="AA20" s="3434"/>
    </row>
    <row r="21" spans="1:27" ht="60">
      <c r="B21" s="3440"/>
      <c r="C21" s="3442"/>
      <c r="D21" s="3444"/>
      <c r="E21" s="3444"/>
      <c r="F21" s="3446"/>
      <c r="G21" s="3448"/>
      <c r="H21" s="3299" t="s">
        <v>3050</v>
      </c>
      <c r="I21" s="3300" t="s">
        <v>3051</v>
      </c>
      <c r="J21" s="3301" t="s">
        <v>3052</v>
      </c>
      <c r="K21" s="3302" t="s">
        <v>3053</v>
      </c>
      <c r="L21" s="3300" t="s">
        <v>3054</v>
      </c>
      <c r="M21" s="3300" t="s">
        <v>3055</v>
      </c>
      <c r="N21" s="3300" t="s">
        <v>3056</v>
      </c>
      <c r="O21" s="3301" t="s">
        <v>3057</v>
      </c>
      <c r="P21" s="3302" t="s">
        <v>3058</v>
      </c>
      <c r="Q21" s="3300" t="s">
        <v>3059</v>
      </c>
      <c r="R21" s="3300" t="s">
        <v>3060</v>
      </c>
      <c r="S21" s="3300" t="s">
        <v>3061</v>
      </c>
      <c r="T21" s="3300" t="s">
        <v>3062</v>
      </c>
      <c r="U21" s="3300" t="s">
        <v>3063</v>
      </c>
      <c r="V21" s="3300" t="s">
        <v>3064</v>
      </c>
      <c r="W21" s="3301" t="s">
        <v>3065</v>
      </c>
      <c r="X21" s="3300" t="s">
        <v>3066</v>
      </c>
      <c r="Y21" s="3301"/>
      <c r="Z21" s="3300" t="s">
        <v>3067</v>
      </c>
      <c r="AA21" s="3301" t="s">
        <v>3068</v>
      </c>
    </row>
    <row r="22" spans="1:27">
      <c r="B22" s="3303" t="s">
        <v>3071</v>
      </c>
      <c r="C22" s="3304">
        <f t="shared" ref="C22" si="2">SUM(D22:E22)</f>
        <v>16.04</v>
      </c>
      <c r="D22" s="3305">
        <v>15.73</v>
      </c>
      <c r="E22" s="3305">
        <v>0.31</v>
      </c>
      <c r="F22" s="3306">
        <f t="shared" ref="F22" si="3">SUM(I22,K22,P22)</f>
        <v>27.89</v>
      </c>
      <c r="G22" s="3306">
        <f>SUM(O22,J22,W22,Y22,AA22)</f>
        <v>9.59</v>
      </c>
      <c r="H22" s="3306">
        <f t="shared" ref="H22" si="4">SUM(I22:J22)</f>
        <v>22.049999999999997</v>
      </c>
      <c r="I22" s="3307">
        <v>15.53</v>
      </c>
      <c r="J22" s="3307">
        <v>6.52</v>
      </c>
      <c r="K22" s="3307">
        <f>SUM(M22:N22)</f>
        <v>1.05</v>
      </c>
      <c r="L22" s="3307">
        <v>0</v>
      </c>
      <c r="M22" s="3307">
        <v>0.59</v>
      </c>
      <c r="N22" s="3307">
        <v>0.46</v>
      </c>
      <c r="O22" s="3307">
        <v>0.15</v>
      </c>
      <c r="P22" s="3307">
        <f>SUM(Q22:V22,X22,Z22)</f>
        <v>11.31</v>
      </c>
      <c r="Q22" s="3307">
        <v>1.51</v>
      </c>
      <c r="R22" s="3307">
        <v>1.55</v>
      </c>
      <c r="S22" s="3307">
        <v>2.3199999999999998</v>
      </c>
      <c r="T22" s="3307">
        <v>3.87</v>
      </c>
      <c r="U22" s="3307">
        <v>0.16</v>
      </c>
      <c r="V22" s="3307">
        <v>0.24</v>
      </c>
      <c r="W22" s="3307">
        <v>2.4900000000000002</v>
      </c>
      <c r="X22" s="3307">
        <v>0</v>
      </c>
      <c r="Y22" s="3307">
        <v>0</v>
      </c>
      <c r="Z22" s="3307">
        <v>1.66</v>
      </c>
      <c r="AA22" s="3307">
        <v>0.43</v>
      </c>
    </row>
    <row r="23" spans="1:27" s="3294" customFormat="1">
      <c r="B23" s="3296"/>
      <c r="C23" s="3296"/>
      <c r="D23" s="3296"/>
      <c r="E23" s="3296"/>
      <c r="F23" s="3296"/>
      <c r="G23" s="3296"/>
      <c r="H23" s="3296"/>
      <c r="I23" s="3296">
        <f>I22/$F$22</f>
        <v>0.55683040516314086</v>
      </c>
      <c r="J23" s="3296"/>
      <c r="K23" s="3296"/>
      <c r="L23" s="3296"/>
      <c r="M23" s="3296">
        <f>M22/$F$22</f>
        <v>2.1154535675869484E-2</v>
      </c>
      <c r="N23" s="3296">
        <f>N22/$F$22</f>
        <v>1.6493366798135532E-2</v>
      </c>
      <c r="O23" s="3296"/>
      <c r="P23" s="3296"/>
      <c r="Q23" s="3296">
        <f t="shared" ref="Q23:V23" si="5">Q22/$F$22</f>
        <v>5.4141269272140552E-2</v>
      </c>
      <c r="R23" s="3296">
        <f t="shared" si="5"/>
        <v>5.5575475080674078E-2</v>
      </c>
      <c r="S23" s="3296">
        <f t="shared" si="5"/>
        <v>8.318393689494441E-2</v>
      </c>
      <c r="T23" s="3296">
        <f t="shared" si="5"/>
        <v>0.1387594119756185</v>
      </c>
      <c r="U23" s="3296">
        <f t="shared" si="5"/>
        <v>5.7368232341340987E-3</v>
      </c>
      <c r="V23" s="3296">
        <f t="shared" si="5"/>
        <v>8.6052348512011476E-3</v>
      </c>
      <c r="W23" s="3296"/>
      <c r="X23" s="3296"/>
      <c r="Y23" s="3296"/>
      <c r="Z23" s="3296">
        <f>Z22/$F$22</f>
        <v>5.9519541054141263E-2</v>
      </c>
      <c r="AA23" s="3296"/>
    </row>
    <row r="24" spans="1:27" s="3294" customFormat="1">
      <c r="B24" s="3296"/>
      <c r="C24" s="3296"/>
      <c r="D24" s="3296"/>
      <c r="E24" s="3296"/>
      <c r="F24" s="3295">
        <f>J18</f>
        <v>278949.2</v>
      </c>
      <c r="G24" s="3296"/>
      <c r="H24" s="3296"/>
      <c r="I24" s="3335">
        <f>ROUND(I23*$F$24,0)</f>
        <v>155327</v>
      </c>
      <c r="J24" s="3334"/>
      <c r="K24" s="3334"/>
      <c r="L24" s="3334"/>
      <c r="M24" s="3335">
        <f>ROUND(M23*$F$24,0)</f>
        <v>5901</v>
      </c>
      <c r="N24" s="3335">
        <f>ROUND(N23*$F$24,0)</f>
        <v>4601</v>
      </c>
      <c r="O24" s="3334"/>
      <c r="P24" s="3334"/>
      <c r="Q24" s="3335">
        <f t="shared" ref="Q24:V24" si="6">ROUND(Q23*$F$24,0)</f>
        <v>15103</v>
      </c>
      <c r="R24" s="3335">
        <f t="shared" si="6"/>
        <v>15503</v>
      </c>
      <c r="S24" s="3335">
        <f t="shared" si="6"/>
        <v>23204</v>
      </c>
      <c r="T24" s="3335">
        <f t="shared" si="6"/>
        <v>38707</v>
      </c>
      <c r="U24" s="3335">
        <f t="shared" si="6"/>
        <v>1600</v>
      </c>
      <c r="V24" s="3335">
        <f t="shared" si="6"/>
        <v>2400</v>
      </c>
      <c r="W24" s="3334"/>
      <c r="X24" s="3334"/>
      <c r="Y24" s="3334"/>
      <c r="Z24" s="3335">
        <f>ROUND(Z23*$F$24,0)</f>
        <v>16603</v>
      </c>
      <c r="AA24" s="3334"/>
    </row>
    <row r="26" spans="1:27" s="2" customFormat="1" ht="27.75">
      <c r="B26" s="3341" t="s">
        <v>3378</v>
      </c>
      <c r="C26" s="3341" t="s">
        <v>3379</v>
      </c>
      <c r="D26" s="3341" t="s">
        <v>3380</v>
      </c>
      <c r="E26" s="3341" t="s">
        <v>3404</v>
      </c>
      <c r="F26" s="3341" t="s">
        <v>3405</v>
      </c>
    </row>
    <row r="27" spans="1:27" ht="14.25">
      <c r="B27" s="3338" t="s">
        <v>3381</v>
      </c>
      <c r="C27" s="3338">
        <f>I24</f>
        <v>155327</v>
      </c>
      <c r="D27" s="3338">
        <v>4700</v>
      </c>
      <c r="E27" s="3338">
        <f>'数据-取费表'!U6</f>
        <v>1.9</v>
      </c>
      <c r="F27" s="3338">
        <f ca="1">'不动产收益法-住宅'!B3</f>
        <v>12515</v>
      </c>
    </row>
    <row r="28" spans="1:27" ht="14.25">
      <c r="B28" s="3338" t="s">
        <v>3382</v>
      </c>
      <c r="C28" s="3338">
        <f>Q24+R24+U24</f>
        <v>32206</v>
      </c>
      <c r="D28" s="3338">
        <v>4000</v>
      </c>
      <c r="E28" s="3338">
        <f>'数据-取费表'!U7</f>
        <v>3.5</v>
      </c>
      <c r="F28" s="3338">
        <f ca="1">'不动产收益法-底商'!B3</f>
        <v>13105</v>
      </c>
    </row>
    <row r="29" spans="1:27" ht="14.25">
      <c r="B29" s="3338" t="s">
        <v>3383</v>
      </c>
      <c r="C29" s="3338">
        <f>Z24</f>
        <v>16603</v>
      </c>
      <c r="D29" s="3338">
        <v>4000</v>
      </c>
      <c r="E29" s="3338">
        <f>'数据-取费表'!U8</f>
        <v>2.8</v>
      </c>
      <c r="F29" s="3338">
        <f ca="1">'不动产收益法-独商'!B3</f>
        <v>10068</v>
      </c>
    </row>
    <row r="30" spans="1:27" ht="14.25">
      <c r="B30" s="3338" t="s">
        <v>3384</v>
      </c>
      <c r="C30" s="3338">
        <f>S24+V24</f>
        <v>25604</v>
      </c>
      <c r="D30" s="3338">
        <v>4000</v>
      </c>
      <c r="E30" s="3338">
        <f>'数据-取费表'!U9</f>
        <v>2.5</v>
      </c>
      <c r="F30" s="3338">
        <f ca="1">'不动产收益法-办公'!B3</f>
        <v>12036</v>
      </c>
    </row>
    <row r="31" spans="1:27" ht="14.25">
      <c r="B31" s="3338" t="s">
        <v>3385</v>
      </c>
      <c r="C31" s="3338">
        <f>T24</f>
        <v>38707</v>
      </c>
      <c r="D31" s="3338">
        <v>4000</v>
      </c>
      <c r="E31" s="3338">
        <f>'数据-取费表'!U10</f>
        <v>1.9</v>
      </c>
      <c r="F31" s="3338">
        <f ca="1">'不动产收益法-公寓'!B3</f>
        <v>10861</v>
      </c>
    </row>
    <row r="32" spans="1:27" ht="14.25">
      <c r="B32" s="3338" t="s">
        <v>3386</v>
      </c>
      <c r="C32" s="3338">
        <f>M24</f>
        <v>5901</v>
      </c>
      <c r="D32" s="3338">
        <v>3500</v>
      </c>
      <c r="E32" s="3338" t="s">
        <v>3403</v>
      </c>
      <c r="F32" s="3338" t="s">
        <v>3403</v>
      </c>
    </row>
    <row r="33" spans="2:6" ht="14.25">
      <c r="B33" s="3338" t="s">
        <v>3387</v>
      </c>
      <c r="C33" s="3338">
        <f>N24</f>
        <v>4601</v>
      </c>
      <c r="D33" s="3338">
        <f>D32</f>
        <v>3500</v>
      </c>
      <c r="E33" s="3338" t="s">
        <v>3403</v>
      </c>
      <c r="F33" s="3338" t="s">
        <v>3403</v>
      </c>
    </row>
  </sheetData>
  <mergeCells count="12">
    <mergeCell ref="P20:AA20"/>
    <mergeCell ref="A2:A17"/>
    <mergeCell ref="B2:B8"/>
    <mergeCell ref="B9:B17"/>
    <mergeCell ref="B20:B21"/>
    <mergeCell ref="C20:C21"/>
    <mergeCell ref="D20:D21"/>
    <mergeCell ref="E20:E21"/>
    <mergeCell ref="F20:F21"/>
    <mergeCell ref="G20:G21"/>
    <mergeCell ref="H20:J20"/>
    <mergeCell ref="K20:O20"/>
  </mergeCells>
  <phoneticPr fontId="282"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F8" sqref="F8:F9"/>
    </sheetView>
  </sheetViews>
  <sheetFormatPr defaultColWidth="9" defaultRowHeight="13.5"/>
  <cols>
    <col min="1" max="1" width="9.5" style="3122" customWidth="1"/>
    <col min="2" max="2" width="23.5" style="3155" customWidth="1"/>
    <col min="3" max="3" width="32.125" style="3157" customWidth="1"/>
    <col min="4" max="4" width="2.625" style="3157" customWidth="1"/>
    <col min="5" max="5" width="5.875" style="3157" customWidth="1"/>
    <col min="6" max="6" width="23.625" style="3155" customWidth="1"/>
    <col min="7" max="7" width="33.375" style="3156" customWidth="1"/>
    <col min="8" max="8" width="11.875" style="3155" customWidth="1"/>
    <col min="9" max="9" width="16.625" style="3156" customWidth="1"/>
    <col min="10" max="10" width="2.625" style="3157" customWidth="1"/>
    <col min="11" max="11" width="11.875" style="3155" customWidth="1"/>
    <col min="12" max="12" width="16.625" style="3156" customWidth="1"/>
    <col min="13" max="13" width="2.625" style="3157" customWidth="1"/>
    <col min="14" max="14" width="11.875" style="3155" customWidth="1"/>
    <col min="15" max="15" width="16.625" style="3156" customWidth="1"/>
    <col min="16" max="16" width="2.625" style="3157" customWidth="1"/>
    <col min="17" max="17" width="11.875" style="3155" customWidth="1"/>
    <col min="18" max="18" width="16.625" style="3158" customWidth="1"/>
    <col min="19" max="16384" width="9" style="3122"/>
  </cols>
  <sheetData>
    <row r="1" spans="1:18" s="3116" customFormat="1" ht="19.5" thickBot="1">
      <c r="A1" s="3449" t="s">
        <v>1654</v>
      </c>
      <c r="B1" s="3450"/>
      <c r="C1" s="3450"/>
      <c r="D1" s="3450"/>
      <c r="E1" s="3450"/>
      <c r="F1" s="3450"/>
      <c r="G1" s="3450"/>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8.5">
      <c r="A3" s="3123" t="s">
        <v>1657</v>
      </c>
      <c r="B3" s="3124" t="s">
        <v>1644</v>
      </c>
      <c r="C3" s="3318" t="s">
        <v>3274</v>
      </c>
      <c r="D3" s="3125"/>
      <c r="E3" s="3126" t="s">
        <v>1657</v>
      </c>
      <c r="F3" s="3127" t="s">
        <v>1645</v>
      </c>
      <c r="G3" s="3128" t="s">
        <v>2887</v>
      </c>
      <c r="H3" s="3122"/>
      <c r="I3" s="3122"/>
      <c r="J3" s="3122"/>
      <c r="K3" s="3122"/>
      <c r="L3" s="3122"/>
      <c r="M3" s="3122"/>
      <c r="N3" s="3122"/>
      <c r="O3" s="3122"/>
      <c r="P3" s="3122"/>
      <c r="Q3" s="3122"/>
      <c r="R3" s="3122"/>
    </row>
    <row r="4" spans="1:18" ht="40.5">
      <c r="A4" s="3126"/>
      <c r="B4" s="3129" t="s">
        <v>1658</v>
      </c>
      <c r="C4" s="3319" t="s">
        <v>3275</v>
      </c>
      <c r="D4" s="3125"/>
      <c r="E4" s="3130"/>
      <c r="F4" s="3131" t="s">
        <v>1659</v>
      </c>
      <c r="G4" s="3132" t="s">
        <v>2884</v>
      </c>
      <c r="H4" s="3122"/>
      <c r="I4" s="3122"/>
      <c r="J4" s="3122"/>
      <c r="K4" s="3122"/>
      <c r="L4" s="3122"/>
      <c r="M4" s="3122"/>
      <c r="N4" s="3122"/>
      <c r="O4" s="3122"/>
      <c r="P4" s="3122"/>
      <c r="Q4" s="3122"/>
      <c r="R4" s="3122"/>
    </row>
    <row r="5" spans="1:18" ht="27">
      <c r="A5" s="3126"/>
      <c r="B5" s="3129" t="s">
        <v>1660</v>
      </c>
      <c r="C5" s="3320" t="s">
        <v>3275</v>
      </c>
      <c r="D5" s="3125"/>
      <c r="E5" s="3130"/>
      <c r="F5" s="3129" t="s">
        <v>2527</v>
      </c>
      <c r="G5" s="3132" t="s">
        <v>2885</v>
      </c>
      <c r="H5" s="3122"/>
      <c r="I5" s="3122"/>
      <c r="J5" s="3122"/>
      <c r="K5" s="3122"/>
      <c r="L5" s="3122"/>
      <c r="M5" s="3122"/>
      <c r="N5" s="3122"/>
      <c r="O5" s="3122"/>
      <c r="P5" s="3122"/>
      <c r="Q5" s="3122"/>
      <c r="R5" s="3122"/>
    </row>
    <row r="6" spans="1:18">
      <c r="A6" s="3126"/>
      <c r="B6" s="3129" t="s">
        <v>1646</v>
      </c>
      <c r="C6" s="3319" t="s">
        <v>3275</v>
      </c>
      <c r="D6" s="3125"/>
      <c r="E6" s="3130"/>
      <c r="F6" s="3129" t="s">
        <v>2528</v>
      </c>
      <c r="G6" s="3132" t="s">
        <v>2883</v>
      </c>
      <c r="H6" s="3122"/>
      <c r="I6" s="3122"/>
      <c r="J6" s="3122"/>
      <c r="K6" s="3122"/>
      <c r="L6" s="3122"/>
      <c r="M6" s="3122"/>
      <c r="N6" s="3122"/>
      <c r="O6" s="3122"/>
      <c r="P6" s="3122"/>
      <c r="Q6" s="3122"/>
      <c r="R6" s="3122"/>
    </row>
    <row r="7" spans="1:18" ht="27.75" thickBot="1">
      <c r="A7" s="3126"/>
      <c r="B7" s="3129" t="s">
        <v>2527</v>
      </c>
      <c r="C7" s="3321" t="str">
        <f>C3</f>
        <v>现状差，未来好</v>
      </c>
      <c r="D7" s="3133"/>
      <c r="E7" s="3134"/>
      <c r="F7" s="3135" t="s">
        <v>1661</v>
      </c>
      <c r="G7" s="3136" t="s">
        <v>2886</v>
      </c>
      <c r="H7" s="3122"/>
      <c r="I7" s="3122"/>
      <c r="J7" s="3122"/>
      <c r="K7" s="3122"/>
      <c r="L7" s="3122"/>
      <c r="M7" s="3122"/>
      <c r="N7" s="3122"/>
      <c r="O7" s="3122"/>
      <c r="P7" s="3122"/>
      <c r="Q7" s="3122"/>
      <c r="R7" s="3122"/>
    </row>
    <row r="8" spans="1:18" ht="14.25">
      <c r="A8" s="3126"/>
      <c r="B8" s="3129" t="s">
        <v>2528</v>
      </c>
      <c r="C8" s="3322" t="s">
        <v>3276</v>
      </c>
      <c r="D8" s="3133"/>
      <c r="E8" s="3133"/>
      <c r="F8" s="3137"/>
      <c r="G8" s="3137"/>
      <c r="H8" s="3122"/>
      <c r="I8" s="3122"/>
      <c r="J8" s="3122"/>
      <c r="K8" s="3122"/>
      <c r="L8" s="3122"/>
      <c r="M8" s="3122"/>
      <c r="N8" s="3122"/>
      <c r="O8" s="3122"/>
      <c r="P8" s="3122"/>
      <c r="Q8" s="3122"/>
      <c r="R8" s="3122"/>
    </row>
    <row r="9" spans="1:18">
      <c r="A9" s="3126"/>
      <c r="B9" s="3129" t="s">
        <v>1647</v>
      </c>
      <c r="C9" s="3319" t="s">
        <v>3277</v>
      </c>
      <c r="D9" s="3125"/>
      <c r="E9" s="3133"/>
      <c r="F9" s="3137"/>
      <c r="G9" s="3137"/>
      <c r="H9" s="3122"/>
      <c r="I9" s="3122"/>
      <c r="J9" s="3122"/>
      <c r="K9" s="3122"/>
      <c r="L9" s="3122"/>
      <c r="M9" s="3122"/>
      <c r="N9" s="3122"/>
      <c r="O9" s="3122"/>
      <c r="P9" s="3122"/>
      <c r="Q9" s="3122"/>
      <c r="R9" s="3122"/>
    </row>
    <row r="10" spans="1:18" s="3144" customFormat="1" ht="15" thickBot="1">
      <c r="A10" s="3138"/>
      <c r="B10" s="3139" t="s">
        <v>1662</v>
      </c>
      <c r="C10" s="3140"/>
      <c r="D10" s="3125"/>
      <c r="E10" s="3125"/>
      <c r="F10" s="3137"/>
      <c r="G10" s="3137"/>
      <c r="H10" s="3141"/>
      <c r="I10" s="3142"/>
      <c r="J10" s="3143"/>
      <c r="K10" s="3141"/>
      <c r="L10" s="3142"/>
      <c r="M10" s="3143"/>
      <c r="N10" s="3141"/>
      <c r="O10" s="3142"/>
      <c r="P10" s="3143"/>
      <c r="Q10" s="3141"/>
      <c r="R10" s="3142"/>
    </row>
    <row r="11" spans="1:18" s="3144" customFormat="1">
      <c r="A11" s="3145"/>
      <c r="B11" s="3133"/>
      <c r="C11" s="3125"/>
      <c r="D11" s="3125"/>
      <c r="E11" s="3125"/>
      <c r="F11" s="3133"/>
      <c r="G11" s="3146"/>
      <c r="H11" s="3141"/>
      <c r="I11" s="3142"/>
      <c r="J11" s="3143"/>
      <c r="K11" s="3141"/>
      <c r="L11" s="3142"/>
      <c r="M11" s="3143"/>
      <c r="N11" s="3141"/>
      <c r="O11" s="3142"/>
      <c r="P11" s="3143"/>
      <c r="Q11" s="3141"/>
      <c r="R11" s="3142"/>
    </row>
    <row r="12" spans="1:18" s="3116" customFormat="1" ht="18.75">
      <c r="A12" s="3145"/>
      <c r="B12" s="3133"/>
      <c r="C12" s="3125"/>
      <c r="D12" s="3147"/>
      <c r="E12" s="3125"/>
      <c r="F12" s="3133"/>
      <c r="G12" s="3146"/>
      <c r="H12" s="3148"/>
      <c r="I12" s="3149"/>
      <c r="J12" s="3148"/>
      <c r="K12" s="3148"/>
      <c r="L12" s="3150"/>
      <c r="M12" s="3148"/>
      <c r="N12" s="3151"/>
      <c r="O12" s="3152"/>
      <c r="P12" s="3153"/>
      <c r="Q12" s="3151"/>
      <c r="R12" s="3115"/>
    </row>
    <row r="13" spans="1:18" ht="19.5" thickBot="1">
      <c r="A13" s="3154" t="s">
        <v>1663</v>
      </c>
      <c r="B13" s="3147"/>
      <c r="C13" s="3147"/>
      <c r="D13" s="3120"/>
      <c r="E13" s="3147"/>
      <c r="F13" s="3147"/>
      <c r="G13" s="3147"/>
    </row>
    <row r="14" spans="1:18" ht="14.25" thickBot="1">
      <c r="A14" s="3159"/>
      <c r="B14" s="3159"/>
      <c r="C14" s="3160" t="s">
        <v>1655</v>
      </c>
      <c r="D14" s="3125"/>
      <c r="E14" s="3161"/>
      <c r="F14" s="3161"/>
      <c r="G14" s="3119" t="s">
        <v>1656</v>
      </c>
    </row>
    <row r="15" spans="1:18" ht="27">
      <c r="A15" s="3162" t="s">
        <v>1648</v>
      </c>
      <c r="B15" s="3163" t="s">
        <v>1644</v>
      </c>
      <c r="C15" s="3164" t="str">
        <f>C3</f>
        <v>现状差，未来好</v>
      </c>
      <c r="D15" s="3125"/>
      <c r="E15" s="3165" t="s">
        <v>1649</v>
      </c>
      <c r="F15" s="3163" t="s">
        <v>1664</v>
      </c>
      <c r="G15" s="3166" t="str">
        <f>G3</f>
        <v>估价对象位于XX开发区，园区建设成熟度XX，产业集聚程度XX</v>
      </c>
    </row>
    <row r="16" spans="1:18" ht="40.5">
      <c r="A16" s="3167"/>
      <c r="B16" s="3168" t="s">
        <v>1658</v>
      </c>
      <c r="C16" s="3169" t="str">
        <f>C4</f>
        <v>现状差，未来较好</v>
      </c>
      <c r="D16" s="3125"/>
      <c r="E16" s="3170"/>
      <c r="F16" s="3171" t="s">
        <v>1659</v>
      </c>
      <c r="G16" s="3172" t="str">
        <f>G4</f>
        <v>估价对象周边道路状况、公共交通通达情况、停车便捷程度，综合评价交通便捷度较好</v>
      </c>
    </row>
    <row r="17" spans="1:7" ht="14.25">
      <c r="A17" s="3167"/>
      <c r="B17" s="3168" t="s">
        <v>1660</v>
      </c>
      <c r="C17" s="3169" t="str">
        <f>C5</f>
        <v>现状差，未来较好</v>
      </c>
      <c r="D17" s="3133"/>
      <c r="E17" s="3170"/>
      <c r="F17" s="3171" t="s">
        <v>1665</v>
      </c>
      <c r="G17" s="3173"/>
    </row>
    <row r="18" spans="1:7" ht="27">
      <c r="A18" s="3167"/>
      <c r="B18" s="3171" t="s">
        <v>1646</v>
      </c>
      <c r="C18" s="3172" t="str">
        <f>C6</f>
        <v>现状差，未来较好</v>
      </c>
      <c r="D18" s="3133"/>
      <c r="E18" s="3170"/>
      <c r="F18" s="3171" t="s">
        <v>1661</v>
      </c>
      <c r="G18" s="3172" t="str">
        <f>G7</f>
        <v>该园区内是否有污染型企业，绿化情况，卫生条件，整体环境状况判断</v>
      </c>
    </row>
    <row r="19" spans="1:7" ht="27">
      <c r="A19" s="3167"/>
      <c r="B19" s="3171" t="s">
        <v>1650</v>
      </c>
      <c r="C19" s="3173"/>
      <c r="D19" s="3125"/>
      <c r="E19" s="3170"/>
      <c r="F19" s="3129" t="s">
        <v>2527</v>
      </c>
      <c r="G19" s="3172" t="str">
        <f>G5</f>
        <v>估价对象所在区域公共配套设施齐备情况</v>
      </c>
    </row>
    <row r="20" spans="1:7">
      <c r="A20" s="3167"/>
      <c r="B20" s="3171" t="s">
        <v>1651</v>
      </c>
      <c r="C20" s="3169" t="str">
        <f>C9</f>
        <v>现状一般，未来较好</v>
      </c>
      <c r="D20" s="3133"/>
      <c r="E20" s="3170"/>
      <c r="F20" s="3129" t="s">
        <v>2528</v>
      </c>
      <c r="G20" s="3172" t="str">
        <f>G6</f>
        <v>估价对象所在区域基础设施水平</v>
      </c>
    </row>
    <row r="21" spans="1:7" ht="14.25">
      <c r="A21" s="3167"/>
      <c r="B21" s="3129" t="s">
        <v>2527</v>
      </c>
      <c r="C21" s="3172" t="str">
        <f>C7</f>
        <v>现状差，未来好</v>
      </c>
      <c r="D21" s="3125"/>
      <c r="E21" s="3170"/>
      <c r="F21" s="3171" t="s">
        <v>1652</v>
      </c>
      <c r="G21" s="3174"/>
    </row>
    <row r="22" spans="1:7" ht="14.25">
      <c r="A22" s="3167"/>
      <c r="B22" s="3129" t="s">
        <v>2528</v>
      </c>
      <c r="C22" s="3172" t="str">
        <f>C8</f>
        <v>七桶</v>
      </c>
      <c r="D22" s="3125"/>
      <c r="E22" s="3170"/>
      <c r="F22" s="3171" t="s">
        <v>1662</v>
      </c>
      <c r="G22" s="3173"/>
    </row>
    <row r="23" spans="1:7" ht="15" thickBot="1">
      <c r="A23" s="3167"/>
      <c r="B23" s="3171" t="s">
        <v>1652</v>
      </c>
      <c r="C23" s="3174"/>
      <c r="E23" s="3175"/>
      <c r="F23" s="3176" t="s">
        <v>1666</v>
      </c>
      <c r="G23" s="3177"/>
    </row>
    <row r="24" spans="1:7" ht="14.25" thickBot="1">
      <c r="A24" s="3178"/>
      <c r="B24" s="3176" t="s">
        <v>1653</v>
      </c>
      <c r="C24" s="3179">
        <f>C10</f>
        <v>0</v>
      </c>
      <c r="E24" s="3180"/>
      <c r="F24" s="3180"/>
      <c r="G24" s="3181"/>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S47" sqref="S47"/>
    </sheetView>
  </sheetViews>
  <sheetFormatPr defaultColWidth="6.625" defaultRowHeight="12.75"/>
  <cols>
    <col min="1" max="1" width="10.125" style="2005" customWidth="1"/>
    <col min="2" max="2" width="25.62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5" t="s">
        <v>460</v>
      </c>
      <c r="B1" s="2525"/>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2632</v>
      </c>
      <c r="B6" s="427"/>
      <c r="C6" s="1551">
        <f>SUM(C10:K10)</f>
        <v>0</v>
      </c>
      <c r="D6" s="1990"/>
      <c r="E6" s="1990"/>
      <c r="F6" s="1990"/>
      <c r="G6" s="1990"/>
      <c r="H6" s="1990"/>
      <c r="I6" s="1990"/>
      <c r="J6" s="1990"/>
      <c r="K6" s="1991"/>
      <c r="L6" s="3194"/>
      <c r="M6" s="3194"/>
      <c r="N6" s="3194"/>
      <c r="O6" s="3194"/>
      <c r="P6" s="3194"/>
      <c r="Q6" s="3194"/>
      <c r="R6" s="3194"/>
      <c r="S6" s="3194"/>
      <c r="T6" s="3194"/>
      <c r="U6" s="3194"/>
      <c r="V6" s="3194"/>
      <c r="W6" s="3194"/>
      <c r="X6" s="3194"/>
      <c r="Y6" s="3194"/>
      <c r="Z6" s="3194"/>
    </row>
    <row r="7" spans="1:41" s="1994" customFormat="1" ht="15">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4"/>
      <c r="M11" s="3194"/>
      <c r="N11" s="3194"/>
      <c r="O11" s="3194"/>
      <c r="P11" s="3194"/>
      <c r="Q11" s="3194"/>
      <c r="R11" s="3194"/>
      <c r="S11" s="3194"/>
      <c r="T11" s="3194"/>
      <c r="U11" s="3194"/>
      <c r="V11" s="3194"/>
      <c r="W11" s="3194"/>
      <c r="X11" s="3194"/>
      <c r="Y11" s="3194"/>
      <c r="Z11" s="3194"/>
    </row>
    <row r="12" spans="1:41" s="1966" customFormat="1" ht="13.5" customHeight="1">
      <c r="A12" s="428" t="s">
        <v>464</v>
      </c>
      <c r="B12" s="438" t="s">
        <v>465</v>
      </c>
      <c r="C12" s="439" t="s">
        <v>469</v>
      </c>
      <c r="D12" s="440" t="s">
        <v>470</v>
      </c>
      <c r="E12" s="440" t="s">
        <v>471</v>
      </c>
      <c r="F12" s="440" t="s">
        <v>472</v>
      </c>
      <c r="G12" s="438"/>
      <c r="H12" s="441"/>
      <c r="I12" s="441"/>
      <c r="J12" s="441"/>
      <c r="K12" s="442"/>
      <c r="L12" s="3195"/>
      <c r="M12" s="3195"/>
      <c r="N12" s="3195"/>
      <c r="O12" s="3195"/>
      <c r="P12" s="3195"/>
      <c r="Q12" s="3195"/>
      <c r="R12" s="3195"/>
      <c r="S12" s="3195"/>
      <c r="T12" s="3195"/>
      <c r="U12" s="3195"/>
      <c r="V12" s="3195"/>
      <c r="W12" s="3195"/>
      <c r="X12" s="3195"/>
      <c r="Y12" s="3195"/>
      <c r="Z12" s="3195"/>
    </row>
    <row r="13" spans="1:41" s="1997" customFormat="1" ht="13.5" customHeight="1">
      <c r="A13" s="1561" t="s">
        <v>1838</v>
      </c>
      <c r="B13" s="443" t="s">
        <v>473</v>
      </c>
      <c r="C13" s="444">
        <f ca="1">IF(B1="",'数据-取费表'!M16,INDIRECT("'数据-取费表'!M"&amp;$K$1)+INDIRECT("'数据-取费表'!t"&amp;$K$1))</f>
        <v>121928</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6096</v>
      </c>
      <c r="D14" s="445"/>
      <c r="E14" s="363"/>
      <c r="F14" s="447">
        <f>'数据-取费表'!B33</f>
        <v>0.05</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3650</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9763</v>
      </c>
      <c r="D16" s="445">
        <f ca="1">IF(B1="",'数据-汇总表'!E3,INDIRECT("'数据-取费表'!K"&amp;$K$1)+INDIRECT("'数据-取费表'!S"&amp;$K$1))</f>
        <v>278949</v>
      </c>
      <c r="E16" s="53">
        <f>'数据-取费表'!B35</f>
        <v>350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1829</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143266</v>
      </c>
      <c r="D18" s="455"/>
      <c r="E18" s="456"/>
      <c r="F18" s="456"/>
      <c r="G18" s="1280" t="s">
        <v>2415</v>
      </c>
      <c r="H18" s="441"/>
      <c r="I18" s="441"/>
      <c r="J18" s="441"/>
      <c r="K18" s="442"/>
      <c r="L18" s="3197"/>
      <c r="M18" s="3197"/>
      <c r="N18" s="3197"/>
      <c r="O18" s="3197"/>
      <c r="P18" s="3197"/>
      <c r="Q18" s="3197"/>
      <c r="R18" s="3197"/>
      <c r="S18" s="3197"/>
      <c r="T18" s="3197"/>
      <c r="U18" s="3197"/>
      <c r="V18" s="3197"/>
      <c r="W18" s="3197"/>
      <c r="X18" s="3197"/>
      <c r="Y18" s="3197"/>
      <c r="Z18" s="3197"/>
    </row>
    <row r="19" spans="1:26" s="2000" customFormat="1" ht="13.5" customHeight="1">
      <c r="A19" s="1562" t="s">
        <v>1844</v>
      </c>
      <c r="B19" s="453" t="s">
        <v>487</v>
      </c>
      <c r="C19" s="454">
        <f ca="1">ROUND(C18*F19,0)</f>
        <v>1433</v>
      </c>
      <c r="D19" s="456"/>
      <c r="E19" s="456"/>
      <c r="F19" s="460">
        <f>'数据-取费表'!B37</f>
        <v>0.01</v>
      </c>
      <c r="G19" s="438" t="s">
        <v>497</v>
      </c>
      <c r="H19" s="441"/>
      <c r="I19" s="441"/>
      <c r="J19" s="441"/>
      <c r="K19" s="442"/>
      <c r="L19" s="3199"/>
      <c r="M19" s="3199"/>
      <c r="N19" s="3199"/>
      <c r="O19" s="3197"/>
      <c r="P19" s="3197"/>
      <c r="Q19" s="3197"/>
      <c r="R19" s="3197"/>
      <c r="S19" s="3197"/>
      <c r="T19" s="3197"/>
      <c r="U19" s="3197"/>
      <c r="V19" s="3197"/>
      <c r="W19" s="3197"/>
      <c r="X19" s="3197"/>
      <c r="Y19" s="3197"/>
      <c r="Z19" s="3197"/>
    </row>
    <row r="20" spans="1:26" s="2000" customFormat="1" ht="13.5" customHeight="1">
      <c r="A20" s="1562" t="s">
        <v>1845</v>
      </c>
      <c r="B20" s="453" t="s">
        <v>498</v>
      </c>
      <c r="C20" s="2742">
        <f>F20</f>
        <v>0.01</v>
      </c>
      <c r="D20" s="463" t="s">
        <v>499</v>
      </c>
      <c r="E20" s="463"/>
      <c r="F20" s="480">
        <f>'数据-取费表'!B38</f>
        <v>0.01</v>
      </c>
      <c r="G20" s="1280" t="s">
        <v>500</v>
      </c>
      <c r="H20" s="441"/>
      <c r="I20" s="441"/>
      <c r="J20" s="441"/>
      <c r="K20" s="442"/>
      <c r="L20" s="3199"/>
      <c r="M20" s="3199"/>
      <c r="N20" s="3199"/>
      <c r="O20" s="3197"/>
      <c r="P20" s="3197"/>
      <c r="Q20" s="3197"/>
      <c r="R20" s="3197"/>
      <c r="S20" s="3197"/>
      <c r="T20" s="3197"/>
      <c r="U20" s="3197"/>
      <c r="V20" s="3197"/>
      <c r="W20" s="3197"/>
      <c r="X20" s="3197"/>
      <c r="Y20" s="3197"/>
      <c r="Z20" s="3197"/>
    </row>
    <row r="21" spans="1:26" s="2002" customFormat="1" ht="13.5" customHeight="1">
      <c r="A21" s="1562" t="s">
        <v>1848</v>
      </c>
      <c r="B21" s="455" t="s">
        <v>488</v>
      </c>
      <c r="C21" s="464">
        <f ca="1">C22</f>
        <v>6873</v>
      </c>
      <c r="D21" s="461">
        <f ca="1">C23</f>
        <v>5.0000000000000001E-4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5" t="s">
        <v>2436</v>
      </c>
      <c r="M21" s="3206"/>
      <c r="N21" s="3206"/>
      <c r="O21" s="3206"/>
      <c r="P21" s="3206"/>
      <c r="Q21" s="3199"/>
      <c r="R21" s="3199"/>
      <c r="S21" s="3199"/>
      <c r="T21" s="3199"/>
      <c r="U21" s="3199"/>
      <c r="V21" s="3199"/>
      <c r="W21" s="3199"/>
      <c r="X21" s="3199"/>
      <c r="Y21" s="3199"/>
      <c r="Z21" s="3199"/>
    </row>
    <row r="22" spans="1:26" s="2001" customFormat="1" ht="13.5" customHeight="1">
      <c r="A22" s="1561" t="s">
        <v>1838</v>
      </c>
      <c r="B22" s="1281" t="s">
        <v>2418</v>
      </c>
      <c r="C22" s="481">
        <f ca="1">ROUND(IF('数据-取费表'!B22&lt;=1,(C18+C19)*F21*'数据-取费表'!B20/2,(C18+C19)*(POWER((1+F21),'数据-取费表'!B20/2)-1)),0)</f>
        <v>6873</v>
      </c>
      <c r="D22" s="466"/>
      <c r="E22" s="467"/>
      <c r="F22" s="468"/>
      <c r="G22" s="2419" t="str">
        <f>IF('数据-取费表'!B22&lt;=1,"((1)+(2))×年利率×建设期÷2","((1)+(2))×((1+年利率)^(建设期÷2)-1)")</f>
        <v>((1)+(2))×((1+年利率)^(建设期÷2)-1)</v>
      </c>
      <c r="H22" s="451"/>
      <c r="I22" s="451"/>
      <c r="J22" s="451"/>
      <c r="K22" s="452"/>
      <c r="L22" s="3198"/>
      <c r="M22" s="3198"/>
      <c r="N22" s="3198"/>
      <c r="O22" s="3198"/>
      <c r="P22" s="3198"/>
      <c r="Q22" s="3198"/>
      <c r="R22" s="3198"/>
      <c r="S22" s="3198"/>
      <c r="T22" s="3198"/>
      <c r="U22" s="3198"/>
      <c r="V22" s="3198"/>
      <c r="W22" s="3198"/>
      <c r="X22" s="3198"/>
      <c r="Y22" s="3198"/>
      <c r="Z22" s="3198"/>
    </row>
    <row r="23" spans="1:26" s="2001" customFormat="1" ht="13.5" customHeight="1">
      <c r="A23" s="1561" t="s">
        <v>1839</v>
      </c>
      <c r="B23" s="1281" t="s">
        <v>502</v>
      </c>
      <c r="C23" s="482">
        <f ca="1">ROUND(IF('数据-取费表'!B22&lt;=1,F20*F21*'数据-取费表'!B20/2,F20*(POWER((1+F21),'数据-取费表'!B20/2)-1)),4)</f>
        <v>5.0000000000000001E-4</v>
      </c>
      <c r="D23" s="466"/>
      <c r="E23" s="467"/>
      <c r="F23" s="468"/>
      <c r="G23" s="2419" t="str">
        <f>IF('数据-取费表'!B22&lt;=1,"销售费用率×年利率×建设期÷2","销售费用率×((1+年利率)^(建设期÷2)-1)")</f>
        <v>销售费用率×((1+年利率)^(建设期÷2)-1)</v>
      </c>
      <c r="H23" s="451"/>
      <c r="I23" s="451"/>
      <c r="J23" s="451"/>
      <c r="K23" s="452"/>
      <c r="L23" s="3198"/>
      <c r="M23" s="3198"/>
      <c r="N23" s="3198"/>
      <c r="O23" s="3198"/>
      <c r="P23" s="3198"/>
      <c r="Q23" s="3198"/>
      <c r="R23" s="3198"/>
      <c r="S23" s="3198"/>
      <c r="T23" s="3198"/>
      <c r="U23" s="3198"/>
      <c r="V23" s="3198"/>
      <c r="W23" s="3198"/>
      <c r="X23" s="3198"/>
      <c r="Y23" s="3198"/>
      <c r="Z23" s="3198"/>
    </row>
    <row r="24" spans="1:26" s="2001" customFormat="1" ht="13.5" customHeight="1">
      <c r="A24" s="1562" t="s">
        <v>1849</v>
      </c>
      <c r="B24" s="2744" t="s">
        <v>2811</v>
      </c>
      <c r="C24" s="472">
        <f ca="1">C25</f>
        <v>21705</v>
      </c>
      <c r="D24" s="483">
        <f ca="1">C26</f>
        <v>1.5E-3</v>
      </c>
      <c r="E24" s="463" t="s">
        <v>501</v>
      </c>
      <c r="F24" s="473">
        <f ca="1">IF(B1="",'数据-取费表'!Q16,INDIRECT("'数据-取费表'!q"&amp;$K$1))</f>
        <v>0.15</v>
      </c>
      <c r="G24" s="438"/>
      <c r="H24" s="441"/>
      <c r="I24" s="441"/>
      <c r="J24" s="441"/>
      <c r="K24" s="442"/>
      <c r="L24" s="3198"/>
      <c r="M24" s="3198"/>
      <c r="N24" s="3198"/>
      <c r="O24" s="3198"/>
      <c r="P24" s="3198"/>
      <c r="Q24" s="3198"/>
      <c r="R24" s="3198"/>
      <c r="S24" s="3198"/>
      <c r="T24" s="3198"/>
      <c r="U24" s="3198"/>
      <c r="V24" s="3198"/>
      <c r="W24" s="3198"/>
      <c r="X24" s="3198"/>
      <c r="Y24" s="3198"/>
      <c r="Z24" s="3198"/>
    </row>
    <row r="25" spans="1:26" s="2001" customFormat="1" ht="13.5" customHeight="1">
      <c r="A25" s="1561" t="s">
        <v>1838</v>
      </c>
      <c r="B25" s="1281" t="s">
        <v>2419</v>
      </c>
      <c r="C25" s="484">
        <f ca="1">ROUND((C18+C19)*F24,0)</f>
        <v>21705</v>
      </c>
      <c r="D25" s="466"/>
      <c r="E25" s="467"/>
      <c r="F25" s="474"/>
      <c r="G25" s="1279" t="s">
        <v>2416</v>
      </c>
      <c r="H25" s="451"/>
      <c r="I25" s="451"/>
      <c r="J25" s="451"/>
      <c r="K25" s="452"/>
      <c r="L25" s="3198"/>
      <c r="M25" s="3198"/>
      <c r="N25" s="3198"/>
      <c r="O25" s="3198"/>
      <c r="P25" s="3198"/>
      <c r="Q25" s="3198"/>
      <c r="R25" s="3198"/>
      <c r="S25" s="3198"/>
      <c r="T25" s="3198"/>
      <c r="U25" s="3198"/>
      <c r="V25" s="3198"/>
      <c r="W25" s="3198"/>
      <c r="X25" s="3198"/>
      <c r="Y25" s="3198"/>
      <c r="Z25" s="3198"/>
    </row>
    <row r="26" spans="1:26" s="2001" customFormat="1" ht="13.5" customHeight="1">
      <c r="A26" s="1561" t="s">
        <v>1839</v>
      </c>
      <c r="B26" s="1281" t="s">
        <v>503</v>
      </c>
      <c r="C26" s="485">
        <f ca="1">ROUND(F20*F24,4)</f>
        <v>1.5E-3</v>
      </c>
      <c r="D26" s="466"/>
      <c r="E26" s="475"/>
      <c r="F26" s="474"/>
      <c r="G26" s="1279" t="s">
        <v>504</v>
      </c>
      <c r="H26" s="451"/>
      <c r="I26" s="451"/>
      <c r="J26" s="451"/>
      <c r="K26" s="452"/>
      <c r="L26" s="3198"/>
      <c r="M26" s="3198"/>
      <c r="N26" s="3198"/>
      <c r="O26" s="3198"/>
      <c r="P26" s="3198"/>
      <c r="Q26" s="3198"/>
      <c r="R26" s="3198"/>
      <c r="S26" s="3198"/>
      <c r="T26" s="3198"/>
      <c r="U26" s="3198"/>
      <c r="V26" s="3198"/>
      <c r="W26" s="3198"/>
      <c r="X26" s="3198"/>
      <c r="Y26" s="3198"/>
      <c r="Z26" s="3198"/>
    </row>
    <row r="27" spans="1:26" s="2001" customFormat="1" ht="13.5" customHeight="1">
      <c r="A27" s="1565" t="s">
        <v>1857</v>
      </c>
      <c r="B27" s="453" t="s">
        <v>505</v>
      </c>
      <c r="C27" s="2743">
        <f>ROUND(F27/(1+'数据-取费表'!C42),4)</f>
        <v>5.2400000000000002E-2</v>
      </c>
      <c r="D27" s="456" t="s">
        <v>2809</v>
      </c>
      <c r="E27" s="456"/>
      <c r="F27" s="460">
        <f>'数据-取费表'!B41</f>
        <v>5.5000000000000007E-2</v>
      </c>
      <c r="G27" s="1873" t="s">
        <v>2278</v>
      </c>
      <c r="H27" s="441"/>
      <c r="I27" s="441"/>
      <c r="J27" s="441"/>
      <c r="K27" s="442"/>
      <c r="L27" s="3198"/>
      <c r="M27" s="3198"/>
      <c r="N27" s="3198"/>
      <c r="O27" s="3198"/>
      <c r="P27" s="3198"/>
      <c r="Q27" s="3198"/>
      <c r="R27" s="3198"/>
      <c r="S27" s="3198"/>
      <c r="T27" s="3198"/>
      <c r="U27" s="3198"/>
      <c r="V27" s="3198"/>
      <c r="W27" s="3198"/>
      <c r="X27" s="3198"/>
      <c r="Y27" s="3198"/>
      <c r="Z27" s="3198"/>
    </row>
    <row r="28" spans="1:26" s="2002" customFormat="1" ht="13.5" customHeight="1">
      <c r="A28" s="1565" t="s">
        <v>1858</v>
      </c>
      <c r="B28" s="470" t="s">
        <v>506</v>
      </c>
      <c r="C28" s="464">
        <f ca="1">ROUND((C18+C19+C21+C24)/(1-C20-D21-D24-C27),0)</f>
        <v>185204</v>
      </c>
      <c r="D28" s="471"/>
      <c r="E28" s="463"/>
      <c r="F28" s="465"/>
      <c r="G28" s="1280" t="s">
        <v>2417</v>
      </c>
      <c r="H28" s="441"/>
      <c r="I28" s="441"/>
      <c r="J28" s="441"/>
      <c r="K28" s="442"/>
      <c r="L28" s="3199"/>
      <c r="M28" s="3199"/>
      <c r="N28" s="3199"/>
      <c r="O28" s="3199"/>
      <c r="P28" s="3199"/>
      <c r="Q28" s="3199"/>
      <c r="R28" s="3199"/>
      <c r="S28" s="3199"/>
      <c r="T28" s="3199"/>
      <c r="U28" s="3199"/>
      <c r="V28" s="3199"/>
      <c r="W28" s="3199"/>
      <c r="X28" s="3199"/>
      <c r="Y28" s="3199"/>
      <c r="Z28" s="3199"/>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199"/>
      <c r="M29" s="3199"/>
      <c r="N29" s="3199"/>
      <c r="O29" s="3199"/>
      <c r="P29" s="3199"/>
      <c r="Q29" s="3199"/>
      <c r="R29" s="3199"/>
      <c r="S29" s="3199"/>
      <c r="T29" s="3199"/>
      <c r="U29" s="3199"/>
      <c r="V29" s="3199"/>
      <c r="W29" s="3199"/>
      <c r="X29" s="3199"/>
      <c r="Y29" s="3199"/>
      <c r="Z29" s="3199"/>
    </row>
    <row r="30" spans="1:26" s="2002" customFormat="1" ht="13.5" customHeight="1">
      <c r="A30" s="437">
        <v>2</v>
      </c>
      <c r="B30" s="470" t="s">
        <v>508</v>
      </c>
      <c r="C30" s="491">
        <f ca="1">ROUND(C28*C29,0)</f>
        <v>0</v>
      </c>
      <c r="D30" s="487"/>
      <c r="E30" s="492"/>
      <c r="F30" s="493"/>
      <c r="G30" s="1282" t="s">
        <v>509</v>
      </c>
      <c r="H30" s="490"/>
      <c r="I30" s="490"/>
      <c r="J30" s="441"/>
      <c r="K30" s="442"/>
      <c r="L30" s="3199"/>
      <c r="M30" s="3199"/>
      <c r="N30" s="3199"/>
      <c r="O30" s="3199"/>
      <c r="P30" s="3199"/>
      <c r="Q30" s="3199"/>
      <c r="R30" s="3199"/>
      <c r="S30" s="3199"/>
      <c r="T30" s="3199"/>
      <c r="U30" s="3199"/>
      <c r="V30" s="3199"/>
      <c r="W30" s="3199"/>
      <c r="X30" s="3199"/>
      <c r="Y30" s="3199"/>
      <c r="Z30" s="3199"/>
    </row>
    <row r="31" spans="1:26" s="2007" customFormat="1" ht="13.5" customHeight="1">
      <c r="A31" s="2334" t="s">
        <v>1855</v>
      </c>
      <c r="B31" s="1283"/>
      <c r="C31" s="494">
        <f>ROUND(C6*F31/(1+'数据-取费表'!C42),0)</f>
        <v>0</v>
      </c>
      <c r="D31" s="1284"/>
      <c r="E31" s="1284"/>
      <c r="F31" s="495">
        <f>'数据-取费表'!B41</f>
        <v>5.5000000000000007E-2</v>
      </c>
      <c r="G31" s="1285"/>
      <c r="H31" s="1285"/>
      <c r="I31" s="1285"/>
      <c r="J31" s="1286"/>
      <c r="K31" s="1287"/>
      <c r="L31" s="3204"/>
      <c r="M31" s="3204"/>
      <c r="N31" s="3204"/>
      <c r="O31" s="3204"/>
      <c r="P31" s="3204"/>
      <c r="Q31" s="3204"/>
      <c r="R31" s="3204"/>
      <c r="S31" s="3204"/>
      <c r="T31" s="3204"/>
      <c r="U31" s="3204"/>
      <c r="V31" s="3204"/>
      <c r="W31" s="3204"/>
      <c r="X31" s="3204"/>
      <c r="Y31" s="3204"/>
      <c r="Z31" s="3204"/>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5" t="s">
        <v>2933</v>
      </c>
      <c r="H32" s="477"/>
      <c r="I32" s="477"/>
      <c r="J32" s="477"/>
      <c r="K32" s="479"/>
      <c r="L32" s="3195"/>
      <c r="M32" s="3195"/>
      <c r="N32" s="3195"/>
      <c r="O32" s="3195"/>
      <c r="P32" s="3195"/>
      <c r="Q32" s="3195"/>
      <c r="R32" s="3195"/>
      <c r="S32" s="3195"/>
      <c r="T32" s="3195"/>
      <c r="U32" s="3195"/>
      <c r="V32" s="3195"/>
      <c r="W32" s="3195"/>
      <c r="X32" s="3195"/>
      <c r="Y32" s="3195"/>
      <c r="Z32" s="3195"/>
    </row>
    <row r="33" spans="1:5" s="1996" customFormat="1">
      <c r="A33" s="3202"/>
      <c r="C33" s="3203"/>
      <c r="E33" s="3202"/>
    </row>
    <row r="34" spans="1:5" s="1996" customFormat="1" ht="12.75" customHeight="1">
      <c r="A34" s="3202"/>
      <c r="C34" s="3203"/>
      <c r="E34" s="3202"/>
    </row>
    <row r="35" spans="1:5" s="1996" customFormat="1">
      <c r="A35" s="3202"/>
      <c r="C35" s="3203"/>
      <c r="E35" s="3202"/>
    </row>
    <row r="36" spans="1:5" s="1996" customFormat="1">
      <c r="A36" s="3202"/>
      <c r="C36" s="3203"/>
      <c r="E36" s="3202"/>
    </row>
    <row r="37" spans="1:5" s="1996" customFormat="1">
      <c r="A37" s="3202"/>
      <c r="C37" s="3203"/>
      <c r="E37" s="3202"/>
    </row>
    <row r="38" spans="1:5" s="1996" customFormat="1">
      <c r="A38" s="3202"/>
      <c r="C38" s="3203"/>
      <c r="E38" s="3202"/>
    </row>
    <row r="39" spans="1:5" s="1996" customFormat="1">
      <c r="A39" s="3202"/>
      <c r="C39" s="3203"/>
      <c r="E39" s="3202"/>
    </row>
    <row r="40" spans="1:5" s="1996" customFormat="1">
      <c r="A40" s="3202"/>
      <c r="C40" s="3203"/>
      <c r="E40" s="3202"/>
    </row>
    <row r="41" spans="1:5" s="1996" customFormat="1">
      <c r="A41" s="3202"/>
      <c r="C41" s="3203"/>
      <c r="E41" s="3202"/>
    </row>
    <row r="42" spans="1:5" s="1996" customFormat="1">
      <c r="A42" s="3202"/>
      <c r="C42" s="3203"/>
      <c r="E42" s="3202"/>
    </row>
    <row r="43" spans="1:5" s="1996" customFormat="1">
      <c r="A43" s="3202"/>
      <c r="C43" s="3203"/>
      <c r="E43" s="3202"/>
    </row>
    <row r="44" spans="1:5" s="1996" customFormat="1">
      <c r="A44" s="3202"/>
      <c r="C44" s="3203"/>
      <c r="E44" s="3202"/>
    </row>
    <row r="45" spans="1:5" s="1996" customFormat="1">
      <c r="A45" s="3202"/>
      <c r="C45" s="3203"/>
      <c r="E45" s="3202"/>
    </row>
    <row r="46" spans="1:5" s="1996" customFormat="1">
      <c r="A46" s="3202"/>
      <c r="C46" s="3203"/>
      <c r="E46" s="3202"/>
    </row>
    <row r="47" spans="1:5" s="1996" customFormat="1">
      <c r="A47" s="3202"/>
      <c r="C47" s="3203"/>
      <c r="E47" s="3202"/>
    </row>
    <row r="48" spans="1:5"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sheetData>
  <sheetProtection password="CEE9"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1" zoomScale="60" zoomScaleNormal="95" workbookViewId="0">
      <selection activeCell="S47" sqref="S47"/>
    </sheetView>
  </sheetViews>
  <sheetFormatPr defaultColWidth="9" defaultRowHeight="14.25"/>
  <cols>
    <col min="1" max="2" width="15.625" style="1290" customWidth="1"/>
    <col min="3" max="3" width="15.125" style="1290" customWidth="1"/>
    <col min="4" max="4" width="12.125" style="1290" customWidth="1"/>
    <col min="5" max="5" width="16.125" style="1290" customWidth="1"/>
    <col min="6" max="6" width="12.125" style="1290" customWidth="1"/>
    <col min="7" max="7" width="15.625" style="1290" customWidth="1"/>
    <col min="8" max="8" width="12.125" style="1290" customWidth="1"/>
    <col min="9" max="9" width="15.62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7"/>
      <c r="M1" s="3208"/>
      <c r="N1" s="3208"/>
      <c r="O1" s="3208"/>
      <c r="P1" s="2013"/>
      <c r="Q1" s="2013"/>
      <c r="R1" s="2013"/>
      <c r="S1" s="2013"/>
      <c r="T1" s="2013"/>
      <c r="U1" s="2013"/>
      <c r="V1" s="2013"/>
      <c r="W1" s="2013"/>
      <c r="X1" s="2013"/>
      <c r="Y1" s="2013"/>
      <c r="Z1" s="2013"/>
      <c r="AA1" s="2013"/>
      <c r="AB1" s="2013"/>
      <c r="AC1" s="3209"/>
      <c r="AD1" s="1288"/>
    </row>
    <row r="2" spans="1:30" s="1289" customFormat="1" ht="28.5" customHeight="1">
      <c r="A2" s="417" t="s">
        <v>461</v>
      </c>
      <c r="B2" s="502" t="e">
        <f>F68</f>
        <v>#DIV/0!</v>
      </c>
      <c r="C2" s="3217"/>
      <c r="D2" s="3217"/>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c r="AD2" s="1288"/>
    </row>
    <row r="3" spans="1:30" s="1289" customFormat="1" ht="28.5" customHeight="1">
      <c r="A3" s="1330" t="s">
        <v>1674</v>
      </c>
      <c r="B3" s="504" t="e">
        <f>ROUND(B2*10000/'数据-汇总表'!E3,0)</f>
        <v>#DIV/0!</v>
      </c>
      <c r="C3" s="3218"/>
      <c r="D3" s="3222"/>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3210"/>
      <c r="AC3" s="1943"/>
    </row>
    <row r="4" spans="1:30" s="1289" customFormat="1" ht="28.5" customHeight="1">
      <c r="A4" s="505" t="s">
        <v>514</v>
      </c>
      <c r="B4" s="421" t="e">
        <f>IF(B48="单位面积地价",C50,ROUND(B2*10000/'数据-汇总表'!D3,0))</f>
        <v>#DIV/0!</v>
      </c>
      <c r="C4" s="3218"/>
      <c r="D4" s="3222"/>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2013"/>
      <c r="AC5" s="1943"/>
    </row>
    <row r="6" spans="1:30" ht="20.25">
      <c r="A6" s="506" t="s">
        <v>515</v>
      </c>
      <c r="B6" s="507"/>
      <c r="C6" s="3474" t="s">
        <v>516</v>
      </c>
      <c r="D6" s="3475"/>
      <c r="E6" s="3474" t="s">
        <v>517</v>
      </c>
      <c r="F6" s="3475"/>
      <c r="G6" s="3474" t="s">
        <v>518</v>
      </c>
      <c r="H6" s="3475"/>
      <c r="I6" s="3474" t="s">
        <v>519</v>
      </c>
      <c r="J6" s="3475"/>
      <c r="K6" s="508" t="s">
        <v>520</v>
      </c>
      <c r="L6" s="2014"/>
      <c r="M6" s="2013"/>
      <c r="N6" s="2013"/>
      <c r="O6" s="2015"/>
      <c r="P6" s="3476" t="s">
        <v>521</v>
      </c>
      <c r="Q6" s="3477"/>
      <c r="R6" s="3461" t="s">
        <v>517</v>
      </c>
      <c r="S6" s="3462"/>
      <c r="T6" s="3461" t="s">
        <v>518</v>
      </c>
      <c r="U6" s="3462"/>
      <c r="V6" s="3482" t="s">
        <v>519</v>
      </c>
      <c r="W6" s="3482"/>
      <c r="X6" s="1501"/>
      <c r="Y6" s="3461" t="s">
        <v>521</v>
      </c>
      <c r="Z6" s="3462"/>
      <c r="AA6" s="3456" t="s">
        <v>517</v>
      </c>
      <c r="AB6" s="3457" t="s">
        <v>518</v>
      </c>
      <c r="AC6" s="3456" t="s">
        <v>519</v>
      </c>
    </row>
    <row r="7" spans="1:30" ht="20.25">
      <c r="A7" s="509"/>
      <c r="B7" s="510"/>
      <c r="C7" s="3485" t="s">
        <v>2893</v>
      </c>
      <c r="D7" s="3486"/>
      <c r="E7" s="3485" t="s">
        <v>2894</v>
      </c>
      <c r="F7" s="3486"/>
      <c r="G7" s="3485" t="s">
        <v>2895</v>
      </c>
      <c r="H7" s="3486"/>
      <c r="I7" s="3485" t="s">
        <v>2896</v>
      </c>
      <c r="J7" s="3486"/>
      <c r="K7" s="508"/>
      <c r="L7" s="2014"/>
      <c r="M7" s="2013"/>
      <c r="N7" s="2013"/>
      <c r="O7" s="2015"/>
      <c r="P7" s="3478"/>
      <c r="Q7" s="3479"/>
      <c r="R7" s="3463"/>
      <c r="S7" s="3464"/>
      <c r="T7" s="3463"/>
      <c r="U7" s="3464"/>
      <c r="V7" s="3482"/>
      <c r="W7" s="3482"/>
      <c r="X7" s="1501"/>
      <c r="Y7" s="3463"/>
      <c r="Z7" s="3464"/>
      <c r="AA7" s="3457"/>
      <c r="AB7" s="3457"/>
      <c r="AC7" s="3457"/>
    </row>
    <row r="8" spans="1:30" ht="21" thickBot="1">
      <c r="A8" s="509"/>
      <c r="B8" s="510"/>
      <c r="C8" s="3487" t="s">
        <v>2897</v>
      </c>
      <c r="D8" s="3488"/>
      <c r="E8" s="3487" t="s">
        <v>2897</v>
      </c>
      <c r="F8" s="3488"/>
      <c r="G8" s="3483" t="s">
        <v>2897</v>
      </c>
      <c r="H8" s="3484"/>
      <c r="I8" s="3483" t="s">
        <v>2897</v>
      </c>
      <c r="J8" s="3484"/>
      <c r="K8" s="508" t="s">
        <v>522</v>
      </c>
      <c r="L8" s="2014"/>
      <c r="M8" s="2013"/>
      <c r="N8" s="2013"/>
      <c r="O8" s="2015"/>
      <c r="P8" s="3480"/>
      <c r="Q8" s="3481"/>
      <c r="R8" s="3463"/>
      <c r="S8" s="3464"/>
      <c r="T8" s="3466"/>
      <c r="U8" s="3467"/>
      <c r="V8" s="3482"/>
      <c r="W8" s="3482"/>
      <c r="X8" s="1501"/>
      <c r="Y8" s="3466"/>
      <c r="Z8" s="3467"/>
      <c r="AA8" s="3458"/>
      <c r="AB8" s="3458"/>
      <c r="AC8" s="3458"/>
    </row>
    <row r="9" spans="1:30" s="1202" customFormat="1" ht="21" thickBot="1">
      <c r="A9" s="2628"/>
      <c r="B9" s="2635" t="s">
        <v>523</v>
      </c>
      <c r="C9" s="2627">
        <f>'数据-取费表'!B2</f>
        <v>44125</v>
      </c>
      <c r="D9" s="514">
        <v>100</v>
      </c>
      <c r="E9" s="515"/>
      <c r="F9" s="516">
        <f>SUMIF(72:72,YEAR(E9)&amp;"-"&amp;INT((MONTH(E9)+2)/3),73:73)</f>
        <v>0</v>
      </c>
      <c r="G9" s="517"/>
      <c r="H9" s="514">
        <f>SUMIF(72:72,YEAR(G9)&amp;"-"&amp;INT((MONTH(G9)+2)/3),73:73)</f>
        <v>0</v>
      </c>
      <c r="I9" s="517"/>
      <c r="J9" s="514">
        <f>SUMIF(72:72,YEAR(I9)&amp;"-"&amp;INT((MONTH(I9)+2)/3),73:73)</f>
        <v>0</v>
      </c>
      <c r="K9" s="518"/>
      <c r="L9" s="2016"/>
      <c r="M9" s="2013"/>
      <c r="N9" s="2013"/>
      <c r="O9" s="2017"/>
      <c r="P9" s="3459" t="s">
        <v>524</v>
      </c>
      <c r="Q9" s="3469"/>
      <c r="R9" s="1502" t="s">
        <v>8</v>
      </c>
      <c r="S9" s="1503">
        <f t="shared" ref="S9:S17" si="0">F9</f>
        <v>0</v>
      </c>
      <c r="T9" s="1502" t="s">
        <v>8</v>
      </c>
      <c r="U9" s="1503">
        <f t="shared" ref="U9:U17" si="1">H9</f>
        <v>0</v>
      </c>
      <c r="V9" s="1502" t="s">
        <v>8</v>
      </c>
      <c r="W9" s="1503">
        <f t="shared" ref="W9:W17" si="2">J9</f>
        <v>0</v>
      </c>
      <c r="X9" s="1504"/>
      <c r="Y9" s="3459" t="s">
        <v>524</v>
      </c>
      <c r="Z9" s="3460"/>
      <c r="AA9" s="1505" t="e">
        <f>D9/F9</f>
        <v>#DIV/0!</v>
      </c>
      <c r="AB9" s="1505" t="e">
        <f>D9/H9</f>
        <v>#DIV/0!</v>
      </c>
      <c r="AC9" s="1505" t="e">
        <f>D9/J9</f>
        <v>#DIV/0!</v>
      </c>
    </row>
    <row r="10" spans="1:30" s="1202" customFormat="1" ht="21" thickBot="1">
      <c r="A10" s="2629"/>
      <c r="B10" s="2636" t="s">
        <v>525</v>
      </c>
      <c r="C10" s="845" t="s">
        <v>526</v>
      </c>
      <c r="D10" s="514">
        <v>100</v>
      </c>
      <c r="E10" s="519"/>
      <c r="F10" s="516">
        <f>SUMIF(75:75,E10,76:76)-SUMIF(75:75,C10,76:76)+100</f>
        <v>0</v>
      </c>
      <c r="G10" s="519"/>
      <c r="H10" s="514">
        <f>SUMIF(75:75,G10,76:76)-SUMIF(75:75,C10,76:76)+100</f>
        <v>0</v>
      </c>
      <c r="I10" s="519"/>
      <c r="J10" s="514">
        <f>SUMIF(75:75,I10,76:76)-SUMIF(75:75,C10,76:76)+100</f>
        <v>0</v>
      </c>
      <c r="K10" s="518"/>
      <c r="L10" s="2016"/>
      <c r="M10" s="2013"/>
      <c r="N10" s="2013"/>
      <c r="O10" s="2017"/>
      <c r="P10" s="3459" t="s">
        <v>527</v>
      </c>
      <c r="Q10" s="3460"/>
      <c r="R10" s="1502" t="s">
        <v>8</v>
      </c>
      <c r="S10" s="1503">
        <f t="shared" si="0"/>
        <v>0</v>
      </c>
      <c r="T10" s="1502" t="s">
        <v>8</v>
      </c>
      <c r="U10" s="1503">
        <f t="shared" si="1"/>
        <v>0</v>
      </c>
      <c r="V10" s="1502" t="s">
        <v>8</v>
      </c>
      <c r="W10" s="1503">
        <f t="shared" si="2"/>
        <v>0</v>
      </c>
      <c r="X10" s="1504"/>
      <c r="Y10" s="3459" t="s">
        <v>527</v>
      </c>
      <c r="Z10" s="3460"/>
      <c r="AA10" s="1505" t="e">
        <f t="shared" ref="AA10:AA47" si="3">D10/F10</f>
        <v>#DIV/0!</v>
      </c>
      <c r="AB10" s="1505" t="e">
        <f t="shared" ref="AB10:AB47" si="4">D10/H10</f>
        <v>#DIV/0!</v>
      </c>
      <c r="AC10" s="1505" t="e">
        <f t="shared" ref="AC10:AC47" si="5">D10/J10</f>
        <v>#DIV/0!</v>
      </c>
    </row>
    <row r="11" spans="1:30" s="1202" customFormat="1" ht="20.25">
      <c r="A11" s="2630"/>
      <c r="B11" s="2637" t="s">
        <v>2736</v>
      </c>
      <c r="C11" s="2624"/>
      <c r="D11" s="252">
        <v>100</v>
      </c>
      <c r="E11" s="520"/>
      <c r="F11" s="252">
        <f>SUMIF(77:77,E11,78:78)-SUMIF(77:77,C11,78:78)+100</f>
        <v>100</v>
      </c>
      <c r="G11" s="520"/>
      <c r="H11" s="252">
        <f>SUMIF(77:77,G11,78:78)-SUMIF(77:77,C11,78:78)+100</f>
        <v>100</v>
      </c>
      <c r="I11" s="520"/>
      <c r="J11" s="252">
        <f>SUMIF(77:77,I11,78:78)-SUMIF(77:77,C11,78:78)+100</f>
        <v>100</v>
      </c>
      <c r="K11" s="518"/>
      <c r="L11" s="2016"/>
      <c r="M11" s="2013"/>
      <c r="N11" s="2013"/>
      <c r="O11" s="2018"/>
      <c r="P11" s="3468" t="s">
        <v>529</v>
      </c>
      <c r="Q11" s="1133" t="str">
        <f t="shared" ref="Q11:Q17" si="6">B11</f>
        <v>用途</v>
      </c>
      <c r="R11" s="1502" t="s">
        <v>8</v>
      </c>
      <c r="S11" s="1503">
        <f t="shared" si="0"/>
        <v>100</v>
      </c>
      <c r="T11" s="1502" t="s">
        <v>8</v>
      </c>
      <c r="U11" s="1503">
        <f t="shared" si="1"/>
        <v>100</v>
      </c>
      <c r="V11" s="1502" t="s">
        <v>8</v>
      </c>
      <c r="W11" s="1503">
        <f t="shared" si="2"/>
        <v>100</v>
      </c>
      <c r="X11" s="1504"/>
      <c r="Y11" s="3465" t="s">
        <v>530</v>
      </c>
      <c r="Z11" s="1132" t="str">
        <f t="shared" ref="Z11:Z17" si="7">Q11</f>
        <v>用途</v>
      </c>
      <c r="AA11" s="1505">
        <f t="shared" si="3"/>
        <v>1</v>
      </c>
      <c r="AB11" s="1505">
        <f t="shared" si="4"/>
        <v>1</v>
      </c>
      <c r="AC11" s="1505">
        <f t="shared" si="5"/>
        <v>1</v>
      </c>
    </row>
    <row r="12" spans="1:30" s="1291" customFormat="1" ht="27">
      <c r="A12" s="2631"/>
      <c r="B12" s="2636" t="s">
        <v>2737</v>
      </c>
      <c r="C12" s="899"/>
      <c r="D12" s="253">
        <v>100</v>
      </c>
      <c r="E12" s="523"/>
      <c r="F12" s="253">
        <f>ROUND(100/'数据-取费表'!G16,0)</f>
        <v>100</v>
      </c>
      <c r="G12" s="524"/>
      <c r="H12" s="253">
        <f>ROUND(100/'数据-取费表'!G16,0)</f>
        <v>100</v>
      </c>
      <c r="I12" s="524"/>
      <c r="J12" s="253">
        <f>ROUND(100/'数据-取费表'!G16,0)</f>
        <v>100</v>
      </c>
      <c r="K12" s="525"/>
      <c r="L12" s="2019"/>
      <c r="M12" s="2013"/>
      <c r="N12" s="2013"/>
      <c r="O12" s="2020"/>
      <c r="P12" s="3468"/>
      <c r="Q12" s="1133" t="str">
        <f t="shared" si="6"/>
        <v>土地使用年限（年）</v>
      </c>
      <c r="R12" s="1502" t="s">
        <v>8</v>
      </c>
      <c r="S12" s="1503">
        <f t="shared" si="0"/>
        <v>100</v>
      </c>
      <c r="T12" s="1502" t="s">
        <v>8</v>
      </c>
      <c r="U12" s="1503">
        <f t="shared" si="1"/>
        <v>100</v>
      </c>
      <c r="V12" s="1502" t="s">
        <v>8</v>
      </c>
      <c r="W12" s="1503">
        <f t="shared" si="2"/>
        <v>100</v>
      </c>
      <c r="X12" s="1504"/>
      <c r="Y12" s="3465"/>
      <c r="Z12" s="1132" t="str">
        <f t="shared" si="7"/>
        <v>土地使用年限（年）</v>
      </c>
      <c r="AA12" s="1505">
        <f t="shared" si="3"/>
        <v>1</v>
      </c>
      <c r="AB12" s="1505">
        <f t="shared" si="4"/>
        <v>1</v>
      </c>
      <c r="AC12" s="1505">
        <f t="shared" si="5"/>
        <v>1</v>
      </c>
    </row>
    <row r="13" spans="1:30" ht="20.25">
      <c r="A13" s="2632"/>
      <c r="B13" s="2636" t="s">
        <v>2738</v>
      </c>
      <c r="C13" s="528"/>
      <c r="D13" s="253">
        <v>100</v>
      </c>
      <c r="E13" s="527"/>
      <c r="F13" s="253" t="e">
        <f>LOOKUP(E13,82:82,83:83)-LOOKUP(C13,82:82,83:83)+100</f>
        <v>#N/A</v>
      </c>
      <c r="G13" s="528"/>
      <c r="H13" s="253" t="e">
        <f>LOOKUP(G13,82:82,83:83)-LOOKUP(C13,82:82,83:83)+100</f>
        <v>#N/A</v>
      </c>
      <c r="I13" s="527"/>
      <c r="J13" s="253" t="e">
        <f>LOOKUP(I13,82:82,83:83)-LOOKUP(C13,82:82,83:83)+100</f>
        <v>#N/A</v>
      </c>
      <c r="K13" s="529"/>
      <c r="L13" s="2021"/>
      <c r="M13" s="2013"/>
      <c r="N13" s="2013"/>
      <c r="O13" s="2022"/>
      <c r="P13" s="3468"/>
      <c r="Q13" s="1133" t="str">
        <f t="shared" si="6"/>
        <v>容积率</v>
      </c>
      <c r="R13" s="1502" t="s">
        <v>8</v>
      </c>
      <c r="S13" s="1503" t="e">
        <f t="shared" si="0"/>
        <v>#N/A</v>
      </c>
      <c r="T13" s="1502" t="s">
        <v>8</v>
      </c>
      <c r="U13" s="1503" t="e">
        <f t="shared" si="1"/>
        <v>#N/A</v>
      </c>
      <c r="V13" s="1502" t="s">
        <v>8</v>
      </c>
      <c r="W13" s="1503" t="e">
        <f t="shared" si="2"/>
        <v>#N/A</v>
      </c>
      <c r="X13" s="1504"/>
      <c r="Y13" s="3465"/>
      <c r="Z13" s="1132" t="str">
        <f t="shared" si="7"/>
        <v>容积率</v>
      </c>
      <c r="AA13" s="1505" t="e">
        <f t="shared" si="3"/>
        <v>#N/A</v>
      </c>
      <c r="AB13" s="1505" t="e">
        <f t="shared" si="4"/>
        <v>#N/A</v>
      </c>
      <c r="AC13" s="1505" t="e">
        <f t="shared" si="5"/>
        <v>#N/A</v>
      </c>
    </row>
    <row r="14" spans="1:30" s="1202" customFormat="1" ht="20.25">
      <c r="A14" s="2629"/>
      <c r="B14" s="2638" t="s">
        <v>2739</v>
      </c>
      <c r="C14" s="2625"/>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468"/>
      <c r="Q14" s="1133" t="str">
        <f t="shared" si="6"/>
        <v>配建</v>
      </c>
      <c r="R14" s="1502" t="s">
        <v>8</v>
      </c>
      <c r="S14" s="1503">
        <f t="shared" si="0"/>
        <v>100</v>
      </c>
      <c r="T14" s="1502" t="s">
        <v>8</v>
      </c>
      <c r="U14" s="1503">
        <f t="shared" si="1"/>
        <v>100</v>
      </c>
      <c r="V14" s="1502" t="s">
        <v>8</v>
      </c>
      <c r="W14" s="1503">
        <f t="shared" si="2"/>
        <v>100</v>
      </c>
      <c r="X14" s="1504"/>
      <c r="Y14" s="3465"/>
      <c r="Z14" s="1132" t="str">
        <f t="shared" si="7"/>
        <v>配建</v>
      </c>
      <c r="AA14" s="1505">
        <f>D14/F14</f>
        <v>1</v>
      </c>
      <c r="AB14" s="1505">
        <f>D14/H14</f>
        <v>1</v>
      </c>
      <c r="AC14" s="1505">
        <f>D14/J14</f>
        <v>1</v>
      </c>
    </row>
    <row r="15" spans="1:30" ht="20.25">
      <c r="A15" s="2633"/>
      <c r="B15" s="2639">
        <v>111</v>
      </c>
      <c r="C15" s="901"/>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468"/>
      <c r="Q15" s="1133">
        <f t="shared" si="6"/>
        <v>111</v>
      </c>
      <c r="R15" s="1502" t="s">
        <v>8</v>
      </c>
      <c r="S15" s="1503">
        <f t="shared" si="0"/>
        <v>100</v>
      </c>
      <c r="T15" s="1502" t="s">
        <v>8</v>
      </c>
      <c r="U15" s="1503">
        <f t="shared" si="1"/>
        <v>100</v>
      </c>
      <c r="V15" s="1502" t="s">
        <v>8</v>
      </c>
      <c r="W15" s="1503">
        <f t="shared" si="2"/>
        <v>100</v>
      </c>
      <c r="X15" s="1504"/>
      <c r="Y15" s="3465"/>
      <c r="Z15" s="1132">
        <f t="shared" si="7"/>
        <v>111</v>
      </c>
      <c r="AA15" s="1505">
        <f>D15/F15</f>
        <v>1</v>
      </c>
      <c r="AB15" s="1505">
        <f>D15/H15</f>
        <v>1</v>
      </c>
      <c r="AC15" s="1505">
        <f>D15/J15</f>
        <v>1</v>
      </c>
    </row>
    <row r="16" spans="1:30" ht="21" thickBot="1">
      <c r="A16" s="2634"/>
      <c r="B16" s="2640">
        <v>111</v>
      </c>
      <c r="C16" s="904"/>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468"/>
      <c r="Q16" s="1133">
        <f t="shared" si="6"/>
        <v>111</v>
      </c>
      <c r="R16" s="1502" t="s">
        <v>8</v>
      </c>
      <c r="S16" s="1503">
        <f t="shared" si="0"/>
        <v>100</v>
      </c>
      <c r="T16" s="1502" t="s">
        <v>8</v>
      </c>
      <c r="U16" s="1503">
        <f t="shared" si="1"/>
        <v>100</v>
      </c>
      <c r="V16" s="1502" t="s">
        <v>8</v>
      </c>
      <c r="W16" s="1503">
        <f t="shared" si="2"/>
        <v>100</v>
      </c>
      <c r="X16" s="1504"/>
      <c r="Y16" s="3465"/>
      <c r="Z16" s="1132">
        <f t="shared" si="7"/>
        <v>111</v>
      </c>
      <c r="AA16" s="1505">
        <f>D16/F16</f>
        <v>1</v>
      </c>
      <c r="AB16" s="1505">
        <f>D16/H16</f>
        <v>1</v>
      </c>
      <c r="AC16" s="1505">
        <f>D16/J16</f>
        <v>1</v>
      </c>
    </row>
    <row r="17" spans="1:29" ht="20.25">
      <c r="A17" s="2626" t="s">
        <v>2734</v>
      </c>
      <c r="B17" s="572" t="s">
        <v>295</v>
      </c>
      <c r="C17" s="542" t="str">
        <f>估价对象房地状况!C15</f>
        <v>现状差，未来好</v>
      </c>
      <c r="D17" s="545">
        <v>100</v>
      </c>
      <c r="E17" s="546"/>
      <c r="F17" s="543">
        <f>SUMIF(90:90,E18,91:91)-SUMIF(90:90,C18,91:91)+100</f>
        <v>100</v>
      </c>
      <c r="G17" s="544"/>
      <c r="H17" s="543">
        <f>SUMIF(90:90,G18,91:91)-SUMIF(90:90,C18,91:91)+100</f>
        <v>100</v>
      </c>
      <c r="I17" s="546"/>
      <c r="J17" s="543">
        <f>SUMIF(90:90,I18,91:91)-SUMIF(90:90,C18,91:91)+100</f>
        <v>100</v>
      </c>
      <c r="K17" s="529"/>
      <c r="L17" s="2023"/>
      <c r="M17" s="2013"/>
      <c r="N17" s="2013"/>
      <c r="O17" s="2022"/>
      <c r="P17" s="3470" t="s">
        <v>534</v>
      </c>
      <c r="Q17" s="1506" t="str">
        <f t="shared" si="6"/>
        <v>居住社区成熟度</v>
      </c>
      <c r="R17" s="1507" t="s">
        <v>8</v>
      </c>
      <c r="S17" s="1508">
        <f t="shared" si="0"/>
        <v>100</v>
      </c>
      <c r="T17" s="1507" t="s">
        <v>8</v>
      </c>
      <c r="U17" s="1508">
        <f t="shared" si="1"/>
        <v>100</v>
      </c>
      <c r="V17" s="1507" t="s">
        <v>8</v>
      </c>
      <c r="W17" s="1508">
        <f t="shared" si="2"/>
        <v>100</v>
      </c>
      <c r="X17" s="1501"/>
      <c r="Y17" s="3470" t="s">
        <v>534</v>
      </c>
      <c r="Z17" s="1509" t="str">
        <f t="shared" si="7"/>
        <v>居住社区成熟度</v>
      </c>
      <c r="AA17" s="1510">
        <f t="shared" si="3"/>
        <v>1</v>
      </c>
      <c r="AB17" s="1510">
        <f t="shared" si="4"/>
        <v>1</v>
      </c>
      <c r="AC17" s="1510">
        <f t="shared" si="5"/>
        <v>1</v>
      </c>
    </row>
    <row r="18" spans="1:29" ht="20.25">
      <c r="A18" s="526"/>
      <c r="B18" s="547"/>
      <c r="C18" s="548"/>
      <c r="D18" s="551"/>
      <c r="E18" s="552"/>
      <c r="F18" s="549"/>
      <c r="G18" s="550"/>
      <c r="H18" s="553"/>
      <c r="I18" s="552"/>
      <c r="J18" s="549"/>
      <c r="K18" s="525"/>
      <c r="L18" s="2023"/>
      <c r="M18" s="2013"/>
      <c r="N18" s="2013"/>
      <c r="O18" s="2022"/>
      <c r="P18" s="3471"/>
      <c r="Q18" s="1506"/>
      <c r="R18" s="1507"/>
      <c r="S18" s="1508"/>
      <c r="T18" s="1507"/>
      <c r="U18" s="1508"/>
      <c r="V18" s="1507"/>
      <c r="W18" s="1508"/>
      <c r="X18" s="1501"/>
      <c r="Y18" s="3471"/>
      <c r="Z18" s="1509"/>
      <c r="AA18" s="1510">
        <v>1</v>
      </c>
      <c r="AB18" s="1510">
        <v>1</v>
      </c>
      <c r="AC18" s="1510">
        <v>1</v>
      </c>
    </row>
    <row r="19" spans="1:29" ht="28.5">
      <c r="A19" s="526"/>
      <c r="B19" s="554" t="s">
        <v>535</v>
      </c>
      <c r="C19" s="555" t="str">
        <f>估价对象房地状况!C16</f>
        <v>现状差，未来较好</v>
      </c>
      <c r="D19" s="557">
        <v>100</v>
      </c>
      <c r="E19" s="558"/>
      <c r="F19" s="553">
        <f>SUMIF(92:92,E20,93:93)-SUMIF(92:92,C20,93:93)+100</f>
        <v>100</v>
      </c>
      <c r="G19" s="556"/>
      <c r="H19" s="559">
        <f>SUMIF(92:92,G20,93:93)-SUMIF(92:92,C20,93:93)+100</f>
        <v>100</v>
      </c>
      <c r="I19" s="558"/>
      <c r="J19" s="559">
        <f>SUMIF(92:92,I20,93:93)-SUMIF(92:92,C20,93:93)+100</f>
        <v>100</v>
      </c>
      <c r="K19" s="529"/>
      <c r="L19" s="2023"/>
      <c r="M19" s="2013"/>
      <c r="N19" s="2013"/>
      <c r="O19" s="2022"/>
      <c r="P19" s="3471"/>
      <c r="Q19" s="1506" t="str">
        <f>B19</f>
        <v>商业繁华度</v>
      </c>
      <c r="R19" s="1507" t="s">
        <v>8</v>
      </c>
      <c r="S19" s="1508">
        <f>F19</f>
        <v>100</v>
      </c>
      <c r="T19" s="1507" t="s">
        <v>8</v>
      </c>
      <c r="U19" s="1508">
        <f>H19</f>
        <v>100</v>
      </c>
      <c r="V19" s="1507" t="s">
        <v>8</v>
      </c>
      <c r="W19" s="1508">
        <f>J19</f>
        <v>100</v>
      </c>
      <c r="X19" s="1501"/>
      <c r="Y19" s="3471"/>
      <c r="Z19" s="1509" t="str">
        <f>Q19</f>
        <v>商业繁华度</v>
      </c>
      <c r="AA19" s="1510">
        <f t="shared" si="3"/>
        <v>1</v>
      </c>
      <c r="AB19" s="1510">
        <f t="shared" si="4"/>
        <v>1</v>
      </c>
      <c r="AC19" s="1510">
        <f t="shared" si="5"/>
        <v>1</v>
      </c>
    </row>
    <row r="20" spans="1:29" ht="20.25">
      <c r="A20" s="526"/>
      <c r="B20" s="560"/>
      <c r="C20" s="561"/>
      <c r="D20" s="557"/>
      <c r="E20" s="563"/>
      <c r="F20" s="553"/>
      <c r="G20" s="562"/>
      <c r="H20" s="549"/>
      <c r="I20" s="563"/>
      <c r="J20" s="549"/>
      <c r="K20" s="525"/>
      <c r="L20" s="2023"/>
      <c r="M20" s="2013"/>
      <c r="N20" s="2013"/>
      <c r="O20" s="2022"/>
      <c r="P20" s="3471"/>
      <c r="Q20" s="1506"/>
      <c r="R20" s="1507"/>
      <c r="S20" s="1508"/>
      <c r="T20" s="1507"/>
      <c r="U20" s="1508"/>
      <c r="V20" s="1507"/>
      <c r="W20" s="1508"/>
      <c r="X20" s="1501"/>
      <c r="Y20" s="3471"/>
      <c r="Z20" s="1509"/>
      <c r="AA20" s="1510">
        <v>1</v>
      </c>
      <c r="AB20" s="1510">
        <v>1</v>
      </c>
      <c r="AC20" s="1510">
        <v>1</v>
      </c>
    </row>
    <row r="21" spans="1:29" ht="28.5">
      <c r="A21" s="526"/>
      <c r="B21" s="554" t="s">
        <v>536</v>
      </c>
      <c r="C21" s="555" t="str">
        <f>估价对象房地状况!C17</f>
        <v>现状差，未来较好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471"/>
      <c r="Q21" s="1506" t="str">
        <f>B21</f>
        <v>办公集聚程度</v>
      </c>
      <c r="R21" s="1507" t="s">
        <v>8</v>
      </c>
      <c r="S21" s="1508">
        <f>F21</f>
        <v>100</v>
      </c>
      <c r="T21" s="1507" t="s">
        <v>8</v>
      </c>
      <c r="U21" s="1508">
        <f>H21</f>
        <v>100</v>
      </c>
      <c r="V21" s="1507" t="s">
        <v>8</v>
      </c>
      <c r="W21" s="1508">
        <f>J21</f>
        <v>100</v>
      </c>
      <c r="X21" s="1501"/>
      <c r="Y21" s="3471"/>
      <c r="Z21" s="1509" t="str">
        <f>Q21</f>
        <v>办公集聚程度</v>
      </c>
      <c r="AA21" s="1510">
        <f t="shared" si="3"/>
        <v>1</v>
      </c>
      <c r="AB21" s="1510">
        <f t="shared" si="4"/>
        <v>1</v>
      </c>
      <c r="AC21" s="1510">
        <f t="shared" si="5"/>
        <v>1</v>
      </c>
    </row>
    <row r="22" spans="1:29" ht="20.25">
      <c r="A22" s="526"/>
      <c r="B22" s="560"/>
      <c r="C22" s="548"/>
      <c r="D22" s="551"/>
      <c r="E22" s="552"/>
      <c r="F22" s="549"/>
      <c r="G22" s="550"/>
      <c r="H22" s="549"/>
      <c r="I22" s="552"/>
      <c r="J22" s="549"/>
      <c r="K22" s="525"/>
      <c r="L22" s="2023"/>
      <c r="M22" s="2013"/>
      <c r="N22" s="2013"/>
      <c r="O22" s="2022"/>
      <c r="P22" s="3471"/>
      <c r="Q22" s="1506"/>
      <c r="R22" s="1507"/>
      <c r="S22" s="1508"/>
      <c r="T22" s="1507"/>
      <c r="U22" s="1508"/>
      <c r="V22" s="1507"/>
      <c r="W22" s="1508"/>
      <c r="X22" s="1501"/>
      <c r="Y22" s="3471"/>
      <c r="Z22" s="1509"/>
      <c r="AA22" s="1510">
        <v>1</v>
      </c>
      <c r="AB22" s="1510">
        <v>1</v>
      </c>
      <c r="AC22" s="1510">
        <v>1</v>
      </c>
    </row>
    <row r="23" spans="1:29" ht="28.5">
      <c r="A23" s="526"/>
      <c r="B23" s="554" t="s">
        <v>537</v>
      </c>
      <c r="C23" s="567" t="str">
        <f>估价对象房地状况!C18</f>
        <v>现状差，未来较好</v>
      </c>
      <c r="D23" s="557">
        <v>100</v>
      </c>
      <c r="E23" s="558"/>
      <c r="F23" s="559">
        <f>SUMIF(96:96,E24,97:97)-SUMIF(96:96,C24,97:97)+100</f>
        <v>100</v>
      </c>
      <c r="G23" s="556"/>
      <c r="H23" s="553">
        <f>SUMIF(96:96,G24,97:97)-SUMIF(96:96,C24,97:97)+100</f>
        <v>100</v>
      </c>
      <c r="I23" s="558"/>
      <c r="J23" s="553">
        <f>SUMIF(96:96,I24,97:97)-SUMIF(96:96,C24,97:97)+100</f>
        <v>100</v>
      </c>
      <c r="K23" s="529"/>
      <c r="L23" s="2023"/>
      <c r="M23" s="2013"/>
      <c r="N23" s="2013"/>
      <c r="O23" s="2022"/>
      <c r="P23" s="3471"/>
      <c r="Q23" s="1506" t="str">
        <f>B23</f>
        <v>交通便捷度</v>
      </c>
      <c r="R23" s="1507" t="s">
        <v>8</v>
      </c>
      <c r="S23" s="1508">
        <f>F23</f>
        <v>100</v>
      </c>
      <c r="T23" s="1507" t="s">
        <v>8</v>
      </c>
      <c r="U23" s="1508">
        <f>H23</f>
        <v>100</v>
      </c>
      <c r="V23" s="1507" t="s">
        <v>8</v>
      </c>
      <c r="W23" s="1508">
        <f>J23</f>
        <v>100</v>
      </c>
      <c r="X23" s="1501"/>
      <c r="Y23" s="3471"/>
      <c r="Z23" s="1509" t="str">
        <f>Q23</f>
        <v>交通便捷度</v>
      </c>
      <c r="AA23" s="1510">
        <f t="shared" si="3"/>
        <v>1</v>
      </c>
      <c r="AB23" s="1510">
        <f t="shared" si="4"/>
        <v>1</v>
      </c>
      <c r="AC23" s="1510">
        <f t="shared" si="5"/>
        <v>1</v>
      </c>
    </row>
    <row r="24" spans="1:29" ht="20.25">
      <c r="A24" s="526"/>
      <c r="B24" s="572"/>
      <c r="C24" s="548"/>
      <c r="D24" s="551"/>
      <c r="E24" s="552"/>
      <c r="F24" s="549"/>
      <c r="G24" s="550"/>
      <c r="H24" s="549"/>
      <c r="I24" s="552"/>
      <c r="J24" s="549"/>
      <c r="K24" s="525"/>
      <c r="L24" s="2023"/>
      <c r="M24" s="2013"/>
      <c r="N24" s="2013"/>
      <c r="O24" s="2022"/>
      <c r="P24" s="3471"/>
      <c r="Q24" s="1506"/>
      <c r="R24" s="1507"/>
      <c r="S24" s="1508"/>
      <c r="T24" s="1507"/>
      <c r="U24" s="1508"/>
      <c r="V24" s="1507"/>
      <c r="W24" s="1508"/>
      <c r="X24" s="1501"/>
      <c r="Y24" s="3471"/>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3"/>
      <c r="M25" s="2013"/>
      <c r="N25" s="2013"/>
      <c r="O25" s="2022"/>
      <c r="P25" s="3471"/>
      <c r="Q25" s="1506" t="str">
        <f t="shared" ref="Q25:Q39" si="8">B25</f>
        <v>区域土地利用方向</v>
      </c>
      <c r="R25" s="1507" t="s">
        <v>8</v>
      </c>
      <c r="S25" s="1508">
        <f>F25</f>
        <v>100</v>
      </c>
      <c r="T25" s="1507" t="s">
        <v>8</v>
      </c>
      <c r="U25" s="1508">
        <f>H25</f>
        <v>100</v>
      </c>
      <c r="V25" s="1507" t="s">
        <v>8</v>
      </c>
      <c r="W25" s="1508">
        <f>J25</f>
        <v>100</v>
      </c>
      <c r="X25" s="1501"/>
      <c r="Y25" s="3471"/>
      <c r="Z25" s="1509" t="str">
        <f>Q25</f>
        <v>区域土地利用方向</v>
      </c>
      <c r="AA25" s="1510">
        <f t="shared" si="3"/>
        <v>1</v>
      </c>
      <c r="AB25" s="1510">
        <f t="shared" si="4"/>
        <v>1</v>
      </c>
      <c r="AC25" s="1510">
        <f t="shared" si="5"/>
        <v>1</v>
      </c>
    </row>
    <row r="26" spans="1:29" ht="20.25">
      <c r="A26" s="509"/>
      <c r="B26" s="993"/>
      <c r="C26" s="548"/>
      <c r="D26" s="551"/>
      <c r="E26" s="552"/>
      <c r="F26" s="549"/>
      <c r="G26" s="550"/>
      <c r="H26" s="549"/>
      <c r="I26" s="552"/>
      <c r="J26" s="549"/>
      <c r="K26" s="525"/>
      <c r="L26" s="2023"/>
      <c r="M26" s="2013"/>
      <c r="N26" s="2013"/>
      <c r="O26" s="2022"/>
      <c r="P26" s="3471"/>
      <c r="Q26" s="1506"/>
      <c r="R26" s="1507"/>
      <c r="S26" s="1508"/>
      <c r="T26" s="1507"/>
      <c r="U26" s="1508"/>
      <c r="V26" s="1507"/>
      <c r="W26" s="1508"/>
      <c r="X26" s="1501"/>
      <c r="Y26" s="3471"/>
      <c r="Z26" s="1509"/>
      <c r="AA26" s="1510"/>
      <c r="AB26" s="1510"/>
      <c r="AC26" s="1510"/>
    </row>
    <row r="27" spans="1:29" ht="28.5">
      <c r="A27" s="509"/>
      <c r="B27" s="572" t="s">
        <v>539</v>
      </c>
      <c r="C27" s="555" t="str">
        <f>估价对象房地状况!C20</f>
        <v>现状一般，未来较好</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3"/>
      <c r="M27" s="2013"/>
      <c r="N27" s="2013"/>
      <c r="O27" s="2022"/>
      <c r="P27" s="3471"/>
      <c r="Q27" s="1506" t="str">
        <f t="shared" si="8"/>
        <v>自然及人文环境状况</v>
      </c>
      <c r="R27" s="1507" t="s">
        <v>8</v>
      </c>
      <c r="S27" s="1508">
        <f>F27</f>
        <v>100</v>
      </c>
      <c r="T27" s="1507" t="s">
        <v>8</v>
      </c>
      <c r="U27" s="1508">
        <f>H27</f>
        <v>100</v>
      </c>
      <c r="V27" s="1507" t="s">
        <v>8</v>
      </c>
      <c r="W27" s="1508">
        <f>J27</f>
        <v>100</v>
      </c>
      <c r="X27" s="1501"/>
      <c r="Y27" s="3471"/>
      <c r="Z27" s="1509" t="str">
        <f>Q27</f>
        <v>自然及人文环境状况</v>
      </c>
      <c r="AA27" s="1510">
        <f t="shared" si="3"/>
        <v>1</v>
      </c>
      <c r="AB27" s="1510">
        <f t="shared" si="4"/>
        <v>1</v>
      </c>
      <c r="AC27" s="1510">
        <f t="shared" si="5"/>
        <v>1</v>
      </c>
    </row>
    <row r="28" spans="1:29" ht="20.25">
      <c r="A28" s="509"/>
      <c r="B28" s="560"/>
      <c r="C28" s="548"/>
      <c r="D28" s="551"/>
      <c r="E28" s="570"/>
      <c r="F28" s="549"/>
      <c r="G28" s="548"/>
      <c r="H28" s="549"/>
      <c r="I28" s="570"/>
      <c r="J28" s="549"/>
      <c r="K28" s="525"/>
      <c r="L28" s="2023"/>
      <c r="M28" s="2013"/>
      <c r="N28" s="2013"/>
      <c r="O28" s="2022"/>
      <c r="P28" s="3471"/>
      <c r="Q28" s="1506"/>
      <c r="R28" s="1507"/>
      <c r="S28" s="1508"/>
      <c r="T28" s="1507"/>
      <c r="U28" s="1508"/>
      <c r="V28" s="1507"/>
      <c r="W28" s="1508"/>
      <c r="X28" s="1501"/>
      <c r="Y28" s="3471"/>
      <c r="Z28" s="1509"/>
      <c r="AA28" s="1510">
        <v>1</v>
      </c>
      <c r="AB28" s="1510">
        <v>1</v>
      </c>
      <c r="AC28" s="1510">
        <v>1</v>
      </c>
    </row>
    <row r="29" spans="1:29" s="1202" customFormat="1" ht="20.25">
      <c r="A29" s="571"/>
      <c r="B29" s="2434" t="s">
        <v>2529</v>
      </c>
      <c r="C29" s="567" t="str">
        <f>估价对象房地状况!C21</f>
        <v>现状差，未来好</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6"/>
      <c r="M29" s="2013"/>
      <c r="N29" s="2013"/>
      <c r="O29" s="2018"/>
      <c r="P29" s="3471"/>
      <c r="Q29" s="1133" t="str">
        <f t="shared" si="8"/>
        <v>公共配套设施</v>
      </c>
      <c r="R29" s="1502" t="s">
        <v>8</v>
      </c>
      <c r="S29" s="1503">
        <f>F29</f>
        <v>100</v>
      </c>
      <c r="T29" s="1502" t="s">
        <v>8</v>
      </c>
      <c r="U29" s="1503">
        <f>H29</f>
        <v>100</v>
      </c>
      <c r="V29" s="1502" t="s">
        <v>8</v>
      </c>
      <c r="W29" s="1503">
        <f>J29</f>
        <v>100</v>
      </c>
      <c r="X29" s="1504"/>
      <c r="Y29" s="3471"/>
      <c r="Z29" s="1132" t="str">
        <f>Q29</f>
        <v>公共配套设施</v>
      </c>
      <c r="AA29" s="1510">
        <f>D29/F29</f>
        <v>1</v>
      </c>
      <c r="AB29" s="1510">
        <f>D29/H29</f>
        <v>1</v>
      </c>
      <c r="AC29" s="1510">
        <f>D29/J29</f>
        <v>1</v>
      </c>
    </row>
    <row r="30" spans="1:29" s="1202" customFormat="1" ht="20.25">
      <c r="A30" s="571"/>
      <c r="B30" s="560"/>
      <c r="C30" s="573"/>
      <c r="D30" s="551"/>
      <c r="E30" s="570"/>
      <c r="F30" s="549"/>
      <c r="G30" s="548"/>
      <c r="H30" s="549"/>
      <c r="I30" s="570"/>
      <c r="J30" s="549"/>
      <c r="K30" s="525"/>
      <c r="L30" s="2016"/>
      <c r="M30" s="2013"/>
      <c r="N30" s="2013"/>
      <c r="O30" s="2018"/>
      <c r="P30" s="3471"/>
      <c r="Q30" s="1133"/>
      <c r="R30" s="1502"/>
      <c r="S30" s="1503"/>
      <c r="T30" s="1502"/>
      <c r="U30" s="1503"/>
      <c r="V30" s="1502"/>
      <c r="W30" s="1503"/>
      <c r="X30" s="1504"/>
      <c r="Y30" s="3471"/>
      <c r="Z30" s="1132"/>
      <c r="AA30" s="1510">
        <v>1</v>
      </c>
      <c r="AB30" s="1510">
        <v>1</v>
      </c>
      <c r="AC30" s="1510">
        <v>1</v>
      </c>
    </row>
    <row r="31" spans="1:29" s="1202" customFormat="1" ht="20.25">
      <c r="A31" s="571"/>
      <c r="B31" s="2434" t="s">
        <v>2530</v>
      </c>
      <c r="C31" s="567" t="str">
        <f>估价对象房地状况!C22</f>
        <v>七桶</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6"/>
      <c r="M31" s="2013"/>
      <c r="N31" s="2013"/>
      <c r="O31" s="2018"/>
      <c r="P31" s="3471"/>
      <c r="Q31" s="2427" t="str">
        <f t="shared" ref="Q31" si="9">B31</f>
        <v>基础设施水平</v>
      </c>
      <c r="R31" s="1502" t="s">
        <v>8</v>
      </c>
      <c r="S31" s="1503">
        <f>F31</f>
        <v>100</v>
      </c>
      <c r="T31" s="1502" t="s">
        <v>8</v>
      </c>
      <c r="U31" s="1503">
        <f>H31</f>
        <v>100</v>
      </c>
      <c r="V31" s="1502" t="s">
        <v>8</v>
      </c>
      <c r="W31" s="1503">
        <f>J31</f>
        <v>100</v>
      </c>
      <c r="X31" s="1504"/>
      <c r="Y31" s="3471"/>
      <c r="Z31" s="2426" t="str">
        <f>Q31</f>
        <v>基础设施水平</v>
      </c>
      <c r="AA31" s="1510">
        <f>D31/F31</f>
        <v>1</v>
      </c>
      <c r="AB31" s="1510">
        <f>D31/H31</f>
        <v>1</v>
      </c>
      <c r="AC31" s="1510">
        <f>D31/J31</f>
        <v>1</v>
      </c>
    </row>
    <row r="32" spans="1:29" s="1202" customFormat="1" ht="20.25">
      <c r="A32" s="571"/>
      <c r="B32" s="560"/>
      <c r="C32" s="573"/>
      <c r="D32" s="551"/>
      <c r="E32" s="2435"/>
      <c r="F32" s="549"/>
      <c r="G32" s="573"/>
      <c r="H32" s="549"/>
      <c r="I32" s="573"/>
      <c r="J32" s="549"/>
      <c r="K32" s="525"/>
      <c r="L32" s="2016"/>
      <c r="M32" s="2013"/>
      <c r="N32" s="2013"/>
      <c r="O32" s="2018"/>
      <c r="P32" s="3471"/>
      <c r="Q32" s="2427"/>
      <c r="R32" s="1502"/>
      <c r="S32" s="1503"/>
      <c r="T32" s="1502"/>
      <c r="U32" s="1503"/>
      <c r="V32" s="1502"/>
      <c r="W32" s="1503"/>
      <c r="X32" s="1504"/>
      <c r="Y32" s="3471"/>
      <c r="Z32" s="2426"/>
      <c r="AA32" s="1510">
        <v>1</v>
      </c>
      <c r="AB32" s="1510">
        <v>1</v>
      </c>
      <c r="AC32" s="1510">
        <v>1</v>
      </c>
    </row>
    <row r="33" spans="1:29" ht="20.25">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471"/>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71"/>
      <c r="Z33" s="1509" t="str">
        <f t="shared" ref="Z33:Z47" si="13">Q33</f>
        <v>临街状况</v>
      </c>
      <c r="AA33" s="1510">
        <f t="shared" si="3"/>
        <v>1</v>
      </c>
      <c r="AB33" s="1510">
        <f t="shared" si="4"/>
        <v>1</v>
      </c>
      <c r="AC33" s="1510">
        <f t="shared" si="5"/>
        <v>1</v>
      </c>
    </row>
    <row r="34" spans="1:29" ht="27">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471"/>
      <c r="Q34" s="1506" t="str">
        <f t="shared" si="8"/>
        <v>毗邻道路的类型与等级</v>
      </c>
      <c r="R34" s="1507" t="s">
        <v>8</v>
      </c>
      <c r="S34" s="1508">
        <f t="shared" si="10"/>
        <v>100</v>
      </c>
      <c r="T34" s="1507" t="s">
        <v>8</v>
      </c>
      <c r="U34" s="1508">
        <f t="shared" si="11"/>
        <v>100</v>
      </c>
      <c r="V34" s="1507" t="s">
        <v>8</v>
      </c>
      <c r="W34" s="1508">
        <f t="shared" si="12"/>
        <v>100</v>
      </c>
      <c r="X34" s="1501"/>
      <c r="Y34" s="3471"/>
      <c r="Z34" s="1509" t="str">
        <f t="shared" si="13"/>
        <v>毗邻道路的类型与等级</v>
      </c>
      <c r="AA34" s="1510">
        <f t="shared" si="3"/>
        <v>1</v>
      </c>
      <c r="AB34" s="1510">
        <f t="shared" si="4"/>
        <v>1</v>
      </c>
      <c r="AC34" s="1510">
        <f t="shared" si="5"/>
        <v>1</v>
      </c>
    </row>
    <row r="35" spans="1:29" ht="20.25">
      <c r="A35" s="526"/>
      <c r="B35" s="560"/>
      <c r="C35" s="548"/>
      <c r="D35" s="551"/>
      <c r="E35" s="570"/>
      <c r="F35" s="549"/>
      <c r="G35" s="548"/>
      <c r="H35" s="549"/>
      <c r="I35" s="570"/>
      <c r="J35" s="549"/>
      <c r="K35" s="575"/>
      <c r="L35" s="2023"/>
      <c r="M35" s="2013"/>
      <c r="N35" s="2013"/>
      <c r="O35" s="2022"/>
      <c r="P35" s="3471"/>
      <c r="Q35" s="1506"/>
      <c r="R35" s="1507"/>
      <c r="S35" s="1508"/>
      <c r="T35" s="1507"/>
      <c r="U35" s="1508"/>
      <c r="V35" s="1507"/>
      <c r="W35" s="1508"/>
      <c r="X35" s="1501"/>
      <c r="Y35" s="3471"/>
      <c r="Z35" s="1509"/>
      <c r="AA35" s="1510">
        <v>1</v>
      </c>
      <c r="AB35" s="1510">
        <v>1</v>
      </c>
      <c r="AC35" s="1510">
        <v>1</v>
      </c>
    </row>
    <row r="36" spans="1:29" ht="20.25">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471"/>
      <c r="Q36" s="1506" t="str">
        <f t="shared" si="8"/>
        <v>土地级别</v>
      </c>
      <c r="R36" s="1507" t="s">
        <v>8</v>
      </c>
      <c r="S36" s="1508">
        <f t="shared" si="10"/>
        <v>100</v>
      </c>
      <c r="T36" s="1507" t="s">
        <v>8</v>
      </c>
      <c r="U36" s="1508">
        <f t="shared" si="11"/>
        <v>100</v>
      </c>
      <c r="V36" s="1507" t="s">
        <v>8</v>
      </c>
      <c r="W36" s="1508">
        <f t="shared" si="12"/>
        <v>100</v>
      </c>
      <c r="X36" s="1501"/>
      <c r="Y36" s="3471"/>
      <c r="Z36" s="1509" t="str">
        <f t="shared" si="13"/>
        <v>土地级别</v>
      </c>
      <c r="AA36" s="1510">
        <f t="shared" si="3"/>
        <v>1</v>
      </c>
      <c r="AB36" s="1510">
        <f t="shared" si="4"/>
        <v>1</v>
      </c>
      <c r="AC36" s="1510">
        <f t="shared" si="5"/>
        <v>1</v>
      </c>
    </row>
    <row r="37" spans="1:29" ht="20.25">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471"/>
      <c r="Q37" s="1506">
        <f t="shared" si="8"/>
        <v>111</v>
      </c>
      <c r="R37" s="1507" t="s">
        <v>8</v>
      </c>
      <c r="S37" s="1508">
        <f t="shared" si="10"/>
        <v>100</v>
      </c>
      <c r="T37" s="1507" t="s">
        <v>8</v>
      </c>
      <c r="U37" s="1508">
        <f t="shared" si="11"/>
        <v>100</v>
      </c>
      <c r="V37" s="1507" t="s">
        <v>8</v>
      </c>
      <c r="W37" s="1508">
        <f t="shared" si="12"/>
        <v>100</v>
      </c>
      <c r="X37" s="1501"/>
      <c r="Y37" s="3471"/>
      <c r="Z37" s="1509">
        <f t="shared" si="13"/>
        <v>111</v>
      </c>
      <c r="AA37" s="1510">
        <f t="shared" si="3"/>
        <v>1</v>
      </c>
      <c r="AB37" s="1510">
        <f t="shared" si="4"/>
        <v>1</v>
      </c>
      <c r="AC37" s="1510">
        <f t="shared" si="5"/>
        <v>1</v>
      </c>
    </row>
    <row r="38" spans="1:29" ht="20.25">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472" t="s">
        <v>544</v>
      </c>
      <c r="Q38" s="1506">
        <f t="shared" si="8"/>
        <v>111</v>
      </c>
      <c r="R38" s="1507" t="s">
        <v>8</v>
      </c>
      <c r="S38" s="1508">
        <f t="shared" si="10"/>
        <v>100</v>
      </c>
      <c r="T38" s="1507" t="s">
        <v>8</v>
      </c>
      <c r="U38" s="1508">
        <f t="shared" si="11"/>
        <v>100</v>
      </c>
      <c r="V38" s="1507" t="s">
        <v>8</v>
      </c>
      <c r="W38" s="1508">
        <f t="shared" si="12"/>
        <v>100</v>
      </c>
      <c r="X38" s="1501"/>
      <c r="Y38" s="3473" t="s">
        <v>544</v>
      </c>
      <c r="Z38" s="1509">
        <f t="shared" si="13"/>
        <v>111</v>
      </c>
      <c r="AA38" s="1510">
        <f t="shared" si="3"/>
        <v>1</v>
      </c>
      <c r="AB38" s="1510">
        <f t="shared" si="4"/>
        <v>1</v>
      </c>
      <c r="AC38" s="1510">
        <f t="shared" si="5"/>
        <v>1</v>
      </c>
    </row>
    <row r="39" spans="1:29" s="1292" customFormat="1" ht="2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473"/>
      <c r="Q39" s="1506">
        <f t="shared" si="8"/>
        <v>111</v>
      </c>
      <c r="R39" s="1511" t="s">
        <v>8</v>
      </c>
      <c r="S39" s="1512">
        <f t="shared" si="10"/>
        <v>100</v>
      </c>
      <c r="T39" s="1511" t="s">
        <v>8</v>
      </c>
      <c r="U39" s="1512">
        <f t="shared" si="11"/>
        <v>100</v>
      </c>
      <c r="V39" s="1511" t="s">
        <v>8</v>
      </c>
      <c r="W39" s="1512">
        <f t="shared" si="12"/>
        <v>100</v>
      </c>
      <c r="X39" s="1513"/>
      <c r="Y39" s="3473"/>
      <c r="Z39" s="1514">
        <f t="shared" si="13"/>
        <v>111</v>
      </c>
      <c r="AA39" s="1510">
        <f t="shared" si="3"/>
        <v>1</v>
      </c>
      <c r="AB39" s="1510">
        <f t="shared" si="4"/>
        <v>1</v>
      </c>
      <c r="AC39" s="1510">
        <f t="shared" si="5"/>
        <v>1</v>
      </c>
    </row>
    <row r="40" spans="1:29" ht="20.25">
      <c r="A40" s="2623" t="s">
        <v>2735</v>
      </c>
      <c r="B40" s="589" t="s">
        <v>546</v>
      </c>
      <c r="C40" s="590"/>
      <c r="D40" s="591">
        <v>100</v>
      </c>
      <c r="E40" s="590"/>
      <c r="F40" s="591" t="e">
        <f>LOOKUP(E40,119:119,120:120)-LOOKUP(C40,119:119,120:120)+100</f>
        <v>#N/A</v>
      </c>
      <c r="G40" s="590"/>
      <c r="H40" s="591" t="e">
        <f>LOOKUP(G40,119:119,120:120)-LOOKUP(C40,119:119,120:120)+100</f>
        <v>#N/A</v>
      </c>
      <c r="I40" s="592"/>
      <c r="J40" s="591" t="e">
        <f>LOOKUP(I40,119:119,120:120)-LOOKUP(C40,119:119,120:120)+100</f>
        <v>#N/A</v>
      </c>
      <c r="K40" s="575"/>
      <c r="L40" s="2023"/>
      <c r="M40" s="2013"/>
      <c r="N40" s="2013"/>
      <c r="O40" s="2022"/>
      <c r="P40" s="3473"/>
      <c r="Q40" s="1506" t="str">
        <f>B40</f>
        <v>宗地面积</v>
      </c>
      <c r="R40" s="1507" t="s">
        <v>8</v>
      </c>
      <c r="S40" s="1508" t="e">
        <f t="shared" si="10"/>
        <v>#N/A</v>
      </c>
      <c r="T40" s="1507" t="s">
        <v>8</v>
      </c>
      <c r="U40" s="1508" t="e">
        <f t="shared" si="11"/>
        <v>#N/A</v>
      </c>
      <c r="V40" s="1507" t="s">
        <v>8</v>
      </c>
      <c r="W40" s="1508" t="e">
        <f t="shared" si="12"/>
        <v>#N/A</v>
      </c>
      <c r="X40" s="1501"/>
      <c r="Y40" s="3473"/>
      <c r="Z40" s="1509" t="str">
        <f t="shared" si="13"/>
        <v>宗地面积</v>
      </c>
      <c r="AA40" s="1510" t="e">
        <f t="shared" si="3"/>
        <v>#N/A</v>
      </c>
      <c r="AB40" s="1510" t="e">
        <f t="shared" si="4"/>
        <v>#N/A</v>
      </c>
      <c r="AC40" s="1510" t="e">
        <f t="shared" si="5"/>
        <v>#N/A</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3"/>
      <c r="M41" s="2013"/>
      <c r="N41" s="2013"/>
      <c r="O41" s="2022"/>
      <c r="P41" s="3473"/>
      <c r="Q41" s="1506" t="str">
        <f t="shared" ref="Q41:Q47" si="14">B41</f>
        <v>宗地形状</v>
      </c>
      <c r="R41" s="1507" t="s">
        <v>8</v>
      </c>
      <c r="S41" s="1508">
        <f t="shared" si="10"/>
        <v>100</v>
      </c>
      <c r="T41" s="1507" t="s">
        <v>8</v>
      </c>
      <c r="U41" s="1508">
        <f t="shared" si="11"/>
        <v>100</v>
      </c>
      <c r="V41" s="1507" t="s">
        <v>8</v>
      </c>
      <c r="W41" s="1508">
        <f t="shared" si="12"/>
        <v>100</v>
      </c>
      <c r="X41" s="1501"/>
      <c r="Y41" s="3473"/>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473"/>
      <c r="Q42" s="1506" t="str">
        <f t="shared" si="14"/>
        <v>临街宽度及深度</v>
      </c>
      <c r="R42" s="1507" t="s">
        <v>8</v>
      </c>
      <c r="S42" s="1508">
        <f t="shared" si="10"/>
        <v>100</v>
      </c>
      <c r="T42" s="1507" t="s">
        <v>8</v>
      </c>
      <c r="U42" s="1508">
        <f t="shared" si="11"/>
        <v>100</v>
      </c>
      <c r="V42" s="1507" t="s">
        <v>8</v>
      </c>
      <c r="W42" s="1508">
        <f t="shared" si="12"/>
        <v>100</v>
      </c>
      <c r="X42" s="1501"/>
      <c r="Y42" s="3473"/>
      <c r="Z42" s="1509" t="str">
        <f t="shared" si="13"/>
        <v>临街宽度及深度</v>
      </c>
      <c r="AA42" s="1510">
        <f t="shared" si="3"/>
        <v>1</v>
      </c>
      <c r="AB42" s="1510">
        <f t="shared" si="4"/>
        <v>1</v>
      </c>
      <c r="AC42" s="1510">
        <f t="shared" si="5"/>
        <v>1</v>
      </c>
    </row>
    <row r="43" spans="1:29" s="1202" customFormat="1" ht="20.25">
      <c r="A43" s="594"/>
      <c r="B43" s="1808" t="s">
        <v>2408</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6"/>
      <c r="M43" s="2013"/>
      <c r="N43" s="2013"/>
      <c r="O43" s="2018"/>
      <c r="P43" s="3473"/>
      <c r="Q43" s="1506" t="str">
        <f t="shared" si="14"/>
        <v>宗地开发程度</v>
      </c>
      <c r="R43" s="1502" t="s">
        <v>8</v>
      </c>
      <c r="S43" s="1503">
        <f t="shared" si="10"/>
        <v>100</v>
      </c>
      <c r="T43" s="1502" t="s">
        <v>8</v>
      </c>
      <c r="U43" s="1503">
        <f t="shared" si="11"/>
        <v>100</v>
      </c>
      <c r="V43" s="1502" t="s">
        <v>8</v>
      </c>
      <c r="W43" s="1503">
        <f t="shared" si="12"/>
        <v>100</v>
      </c>
      <c r="X43" s="1504"/>
      <c r="Y43" s="3473"/>
      <c r="Z43" s="1132"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3"/>
      <c r="M44" s="2013"/>
      <c r="N44" s="2013"/>
      <c r="O44" s="2022"/>
      <c r="P44" s="3473" t="s">
        <v>544</v>
      </c>
      <c r="Q44" s="1506" t="str">
        <f t="shared" si="14"/>
        <v>工程地质条件</v>
      </c>
      <c r="R44" s="1507" t="s">
        <v>8</v>
      </c>
      <c r="S44" s="1508">
        <f t="shared" si="10"/>
        <v>100</v>
      </c>
      <c r="T44" s="1507" t="s">
        <v>8</v>
      </c>
      <c r="U44" s="1508">
        <f t="shared" si="11"/>
        <v>100</v>
      </c>
      <c r="V44" s="1507" t="s">
        <v>8</v>
      </c>
      <c r="W44" s="1508">
        <f t="shared" si="12"/>
        <v>100</v>
      </c>
      <c r="X44" s="1501"/>
      <c r="Y44" s="3473"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473"/>
      <c r="Q45" s="1506">
        <f t="shared" si="14"/>
        <v>111</v>
      </c>
      <c r="R45" s="1507" t="s">
        <v>8</v>
      </c>
      <c r="S45" s="1508">
        <f t="shared" si="10"/>
        <v>100</v>
      </c>
      <c r="T45" s="1507" t="s">
        <v>8</v>
      </c>
      <c r="U45" s="1508">
        <f t="shared" si="11"/>
        <v>100</v>
      </c>
      <c r="V45" s="1507" t="s">
        <v>8</v>
      </c>
      <c r="W45" s="1508">
        <f t="shared" si="12"/>
        <v>100</v>
      </c>
      <c r="X45" s="1501"/>
      <c r="Y45" s="3473"/>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473"/>
      <c r="Q46" s="1506">
        <f t="shared" si="14"/>
        <v>111</v>
      </c>
      <c r="R46" s="1507" t="s">
        <v>8</v>
      </c>
      <c r="S46" s="1508">
        <f t="shared" si="10"/>
        <v>100</v>
      </c>
      <c r="T46" s="1507" t="s">
        <v>8</v>
      </c>
      <c r="U46" s="1508">
        <f t="shared" si="11"/>
        <v>100</v>
      </c>
      <c r="V46" s="1507" t="s">
        <v>8</v>
      </c>
      <c r="W46" s="1508">
        <f t="shared" si="12"/>
        <v>100</v>
      </c>
      <c r="X46" s="1501"/>
      <c r="Y46" s="3473"/>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473"/>
      <c r="Q47" s="1506">
        <f t="shared" si="14"/>
        <v>111</v>
      </c>
      <c r="R47" s="1511" t="s">
        <v>8</v>
      </c>
      <c r="S47" s="1512">
        <f t="shared" si="10"/>
        <v>100</v>
      </c>
      <c r="T47" s="1511" t="s">
        <v>8</v>
      </c>
      <c r="U47" s="1512">
        <f t="shared" si="11"/>
        <v>100</v>
      </c>
      <c r="V47" s="1511" t="s">
        <v>8</v>
      </c>
      <c r="W47" s="1512">
        <f t="shared" si="12"/>
        <v>100</v>
      </c>
      <c r="X47" s="1513"/>
      <c r="Y47" s="3473"/>
      <c r="Z47" s="1514">
        <f t="shared" si="13"/>
        <v>111</v>
      </c>
      <c r="AA47" s="1510">
        <f t="shared" si="3"/>
        <v>1</v>
      </c>
      <c r="AB47" s="1510">
        <f t="shared" si="4"/>
        <v>1</v>
      </c>
      <c r="AC47" s="1510">
        <f t="shared" si="5"/>
        <v>1</v>
      </c>
    </row>
    <row r="48" spans="1:29" ht="20.25">
      <c r="A48" s="601" t="s">
        <v>550</v>
      </c>
      <c r="B48" s="602" t="s">
        <v>2898</v>
      </c>
      <c r="C48" s="603" t="s">
        <v>1</v>
      </c>
      <c r="D48" s="604"/>
      <c r="E48" s="605"/>
      <c r="F48" s="606"/>
      <c r="G48" s="607"/>
      <c r="H48" s="608"/>
      <c r="I48" s="605"/>
      <c r="J48" s="608"/>
      <c r="K48" s="1293"/>
      <c r="L48" s="2025"/>
      <c r="M48" s="2013"/>
      <c r="N48" s="2013"/>
      <c r="O48" s="2026"/>
      <c r="P48" s="3468" t="str">
        <f>A48</f>
        <v>成交单价</v>
      </c>
      <c r="Q48" s="3468"/>
      <c r="R48" s="3482">
        <f>E48</f>
        <v>0</v>
      </c>
      <c r="S48" s="3482"/>
      <c r="T48" s="3482">
        <f>G48</f>
        <v>0</v>
      </c>
      <c r="U48" s="3482"/>
      <c r="V48" s="3482">
        <f>I48</f>
        <v>0</v>
      </c>
      <c r="W48" s="3482"/>
      <c r="X48" s="1496"/>
      <c r="Y48" s="1515"/>
      <c r="Z48" s="1496"/>
      <c r="AA48" s="1496"/>
      <c r="AB48" s="1496"/>
      <c r="AC48" s="1496"/>
    </row>
    <row r="49" spans="1:29" ht="21" thickBot="1">
      <c r="A49" s="609" t="s">
        <v>2673</v>
      </c>
      <c r="B49" s="610"/>
      <c r="C49" s="611" t="e">
        <f>R50</f>
        <v>#DIV/0!</v>
      </c>
      <c r="D49" s="3013" t="s">
        <v>2964</v>
      </c>
      <c r="E49" s="611" t="e">
        <f>R49</f>
        <v>#DIV/0!</v>
      </c>
      <c r="F49" s="3014"/>
      <c r="G49" s="612" t="e">
        <f>T49</f>
        <v>#DIV/0!</v>
      </c>
      <c r="H49" s="3014"/>
      <c r="I49" s="611" t="e">
        <f>V49</f>
        <v>#DIV/0!</v>
      </c>
      <c r="J49" s="3014"/>
      <c r="K49" s="3015">
        <f>F49+H49+J49</f>
        <v>0</v>
      </c>
      <c r="L49" s="2025"/>
      <c r="M49" s="2013"/>
      <c r="N49" s="2013"/>
      <c r="O49" s="2026"/>
      <c r="P49" s="3468" t="str">
        <f>A49</f>
        <v>比较价格（元/平方米）</v>
      </c>
      <c r="Q49" s="3468"/>
      <c r="R49" s="3492" t="e">
        <f>ROUND(PRODUCT(R48,AA9:AA47),0)</f>
        <v>#DIV/0!</v>
      </c>
      <c r="S49" s="3492"/>
      <c r="T49" s="3492" t="e">
        <f>ROUND(PRODUCT(T48,AB9:AB47),0)</f>
        <v>#DIV/0!</v>
      </c>
      <c r="U49" s="3492"/>
      <c r="V49" s="3492" t="e">
        <f>ROUND(PRODUCT(V48,AC9:AC47),0)</f>
        <v>#DIV/0!</v>
      </c>
      <c r="W49" s="3492"/>
      <c r="X49" s="1496"/>
      <c r="Y49" s="1496"/>
      <c r="Z49" s="1496"/>
      <c r="AA49" s="1496"/>
      <c r="AB49" s="1496"/>
      <c r="AC49" s="1496"/>
    </row>
    <row r="50" spans="1:29" ht="21" thickBot="1">
      <c r="A50" s="613" t="s">
        <v>2899</v>
      </c>
      <c r="B50" s="614"/>
      <c r="C50" s="615" t="e">
        <f>R50</f>
        <v>#DIV/0!</v>
      </c>
      <c r="D50" s="615"/>
      <c r="E50" s="615"/>
      <c r="F50" s="615"/>
      <c r="G50" s="615"/>
      <c r="H50" s="615"/>
      <c r="I50" s="615"/>
      <c r="J50" s="615"/>
      <c r="K50" s="1294"/>
      <c r="L50" s="2025"/>
      <c r="M50" s="2013"/>
      <c r="N50" s="2013"/>
      <c r="O50" s="2026"/>
      <c r="P50" s="3489" t="str">
        <f>A50</f>
        <v>估价对象XX用房的比较价格（楼面单价，元/平方米）</v>
      </c>
      <c r="Q50" s="3490"/>
      <c r="R50" s="3491" t="e">
        <f>ROUND(IF(D49="简单平均",AVERAGE(R49:W49),R49*F49+T49*H49+V49*J49),0)</f>
        <v>#DIV/0!</v>
      </c>
      <c r="S50" s="3491"/>
      <c r="T50" s="3491"/>
      <c r="U50" s="3491"/>
      <c r="V50" s="3491"/>
      <c r="W50" s="3491"/>
      <c r="X50" s="1496"/>
      <c r="Y50" s="1496"/>
      <c r="Z50" s="1496"/>
      <c r="AA50" s="1496"/>
      <c r="AB50" s="1496"/>
      <c r="AC50" s="1496"/>
    </row>
    <row r="51" spans="1:29" ht="20.25">
      <c r="A51" s="3211"/>
      <c r="B51" s="3211"/>
      <c r="C51" s="3211"/>
      <c r="D51" s="3211"/>
      <c r="E51" s="3211"/>
      <c r="F51" s="3211"/>
      <c r="G51" s="3213"/>
      <c r="H51" s="3211"/>
      <c r="I51" s="3211"/>
      <c r="J51" s="3211"/>
      <c r="K51" s="3214"/>
      <c r="L51" s="2030"/>
      <c r="M51" s="2013"/>
      <c r="N51" s="2013"/>
      <c r="O51" s="2026"/>
      <c r="P51" s="2026"/>
      <c r="Q51" s="2026"/>
      <c r="R51" s="2026"/>
      <c r="S51" s="2026"/>
      <c r="T51" s="2026"/>
      <c r="U51" s="2026"/>
      <c r="V51" s="2026"/>
      <c r="W51" s="2026"/>
      <c r="X51" s="2026"/>
      <c r="Y51" s="2026"/>
      <c r="Z51" s="2026"/>
      <c r="AA51" s="2026"/>
      <c r="AB51" s="2026"/>
      <c r="AC51" s="2026"/>
    </row>
    <row r="52" spans="1:29" ht="20.25">
      <c r="A52" s="3211"/>
      <c r="B52" s="3211"/>
      <c r="C52" s="3211"/>
      <c r="D52" s="3211"/>
      <c r="E52" s="3211"/>
      <c r="F52" s="3211"/>
      <c r="G52" s="3211"/>
      <c r="H52" s="3211"/>
      <c r="I52" s="3211"/>
      <c r="J52" s="3211"/>
      <c r="K52" s="3214"/>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4"/>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4"/>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5"/>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5"/>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451" t="s">
        <v>2268</v>
      </c>
      <c r="H57" s="3452"/>
      <c r="I57" s="1493" t="s">
        <v>1712</v>
      </c>
      <c r="J57" s="1493" t="str">
        <f>项目基本情况!F41</f>
        <v>河北省</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5" t="s">
        <v>558</v>
      </c>
      <c r="B58" s="626" t="e">
        <f>C50</f>
        <v>#DIV/0!</v>
      </c>
      <c r="C58" s="627">
        <v>1</v>
      </c>
      <c r="D58" s="2107">
        <v>1</v>
      </c>
      <c r="E58" s="627">
        <f>'数据-汇总表'!E8+'数据-汇总表'!E9</f>
        <v>268447</v>
      </c>
      <c r="F58" s="628" t="e">
        <f t="shared" ref="F58:F67" si="15">ROUND(B58*E58/10000,0)</f>
        <v>#DIV/0!</v>
      </c>
      <c r="G58" s="3453"/>
      <c r="H58" s="3454"/>
      <c r="I58" s="1494">
        <v>1</v>
      </c>
      <c r="J58" s="1494">
        <v>1</v>
      </c>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559</v>
      </c>
      <c r="B59" s="630" t="e">
        <f>ROUND($C$50*C59*D59,0)</f>
        <v>#DIV/0!</v>
      </c>
      <c r="C59" s="372">
        <f t="shared" ref="C59:C67" si="16">IF($C$57="北京市系数",I59,J59)</f>
        <v>0</v>
      </c>
      <c r="D59" s="2108">
        <v>0.25</v>
      </c>
      <c r="E59" s="631">
        <v>0</v>
      </c>
      <c r="F59" s="628" t="e">
        <f t="shared" si="15"/>
        <v>#DIV/0!</v>
      </c>
      <c r="G59" s="3455" t="s">
        <v>2269</v>
      </c>
      <c r="H59" s="1861">
        <f>项目基本情况!B43</f>
        <v>0</v>
      </c>
      <c r="I59" s="1494">
        <f>SUMIF(修正!$A$45:$A$56,H59,修正!B45:B56)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560</v>
      </c>
      <c r="B60" s="630" t="e">
        <f t="shared" ref="B60:B67" si="17">ROUND($C$50*C60*D60,0)</f>
        <v>#DIV/0!</v>
      </c>
      <c r="C60" s="372">
        <f t="shared" si="16"/>
        <v>0</v>
      </c>
      <c r="D60" s="2108">
        <v>0.25</v>
      </c>
      <c r="E60" s="631">
        <v>0</v>
      </c>
      <c r="F60" s="628" t="e">
        <f t="shared" si="15"/>
        <v>#DIV/0!</v>
      </c>
      <c r="G60" s="3455"/>
      <c r="H60" s="1861">
        <f>项目基本情况!B43</f>
        <v>0</v>
      </c>
      <c r="I60" s="1494">
        <f>SUMIF(修正!$A$45:$A$56,H60,修正!C45:C56)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561</v>
      </c>
      <c r="B61" s="630" t="e">
        <f t="shared" si="17"/>
        <v>#DIV/0!</v>
      </c>
      <c r="C61" s="372">
        <f t="shared" si="16"/>
        <v>0</v>
      </c>
      <c r="D61" s="2108">
        <v>0.25</v>
      </c>
      <c r="E61" s="631">
        <v>0</v>
      </c>
      <c r="F61" s="628" t="e">
        <f t="shared" si="15"/>
        <v>#DIV/0!</v>
      </c>
      <c r="G61" s="3455"/>
      <c r="H61" s="1861">
        <f>项目基本情况!B43</f>
        <v>0</v>
      </c>
      <c r="I61" s="1494">
        <f>SUMIF(修正!$A$45:$A$56,H61,修正!D45:D56)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9" t="s">
        <v>562</v>
      </c>
      <c r="B62" s="630" t="e">
        <f t="shared" si="17"/>
        <v>#DIV/0!</v>
      </c>
      <c r="C62" s="372">
        <f t="shared" si="16"/>
        <v>0</v>
      </c>
      <c r="D62" s="2108">
        <v>0.25</v>
      </c>
      <c r="E62" s="631">
        <v>0</v>
      </c>
      <c r="F62" s="628" t="e">
        <f t="shared" si="15"/>
        <v>#DIV/0!</v>
      </c>
      <c r="G62" s="3455"/>
      <c r="H62" s="1861">
        <f>项目基本情况!B43</f>
        <v>0</v>
      </c>
      <c r="I62" s="1494">
        <f>SUMIF(修正!$A$45:$A$56,H62,修正!E45:E56)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30" t="e">
        <f t="shared" si="17"/>
        <v>#DIV/0!</v>
      </c>
      <c r="C63" s="372">
        <f t="shared" si="16"/>
        <v>0</v>
      </c>
      <c r="D63" s="2108">
        <v>0.25</v>
      </c>
      <c r="E63" s="633">
        <f>'数据-汇总表'!E11</f>
        <v>0</v>
      </c>
      <c r="F63" s="628" t="e">
        <f t="shared" si="15"/>
        <v>#DIV/0!</v>
      </c>
      <c r="G63" s="1858" t="s">
        <v>2270</v>
      </c>
      <c r="H63" s="1861">
        <f>项目基本情况!C43</f>
        <v>0</v>
      </c>
      <c r="I63" s="1494">
        <f>SUMIF(修正!$A$45:$A$56,H63,修正!F45:F56)</f>
        <v>0</v>
      </c>
      <c r="J63" s="1495"/>
      <c r="K63" s="3216"/>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9" t="s">
        <v>563</v>
      </c>
      <c r="B64" s="630" t="e">
        <f t="shared" si="17"/>
        <v>#DIV/0!</v>
      </c>
      <c r="C64" s="372">
        <f t="shared" si="16"/>
        <v>0</v>
      </c>
      <c r="D64" s="2108">
        <v>0.25</v>
      </c>
      <c r="E64" s="633">
        <f>'数据-汇总表'!E12</f>
        <v>0</v>
      </c>
      <c r="F64" s="628" t="e">
        <f t="shared" si="15"/>
        <v>#DIV/0!</v>
      </c>
      <c r="G64" s="1859" t="s">
        <v>1668</v>
      </c>
      <c r="H64" s="1857">
        <f>IF(G64="商业",项目基本情况!B43,IF(G64="办公",项目基本情况!C43,IF(G64="住宅",项目基本情况!D43,项目基本情况!E43)))</f>
        <v>0</v>
      </c>
      <c r="I64" s="1494">
        <f>SUMIF(修正!$A$45:$A$56,H64,修正!G45:G56)</f>
        <v>0</v>
      </c>
      <c r="J64" s="1495"/>
      <c r="K64" s="3216"/>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9" t="s">
        <v>564</v>
      </c>
      <c r="B65" s="630" t="e">
        <f t="shared" si="17"/>
        <v>#DIV/0!</v>
      </c>
      <c r="C65" s="372">
        <f t="shared" si="16"/>
        <v>0</v>
      </c>
      <c r="D65" s="2108">
        <v>0.25</v>
      </c>
      <c r="E65" s="633">
        <f>'数据-汇总表'!E13</f>
        <v>0</v>
      </c>
      <c r="F65" s="628" t="e">
        <f t="shared" si="15"/>
        <v>#DIV/0!</v>
      </c>
      <c r="G65" s="1859" t="s">
        <v>914</v>
      </c>
      <c r="H65" s="1857">
        <f>IF(G65="商业",项目基本情况!B43,IF(G65="办公",项目基本情况!C43,IF(G65="住宅",项目基本情况!D43,项目基本情况!E43)))</f>
        <v>0</v>
      </c>
      <c r="I65" s="1494">
        <f>SUMIF(修正!$A$45:$A$56,H65,修正!H45:H56)</f>
        <v>0</v>
      </c>
      <c r="J65" s="1495"/>
      <c r="K65" s="3216"/>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9" t="s">
        <v>565</v>
      </c>
      <c r="B66" s="630" t="e">
        <f t="shared" si="17"/>
        <v>#DIV/0!</v>
      </c>
      <c r="C66" s="372">
        <f t="shared" si="16"/>
        <v>0</v>
      </c>
      <c r="D66" s="2108">
        <v>0.25</v>
      </c>
      <c r="E66" s="633">
        <f>'数据-汇总表'!E14</f>
        <v>0</v>
      </c>
      <c r="F66" s="628" t="e">
        <f t="shared" si="15"/>
        <v>#DIV/0!</v>
      </c>
      <c r="G66" s="1858" t="s">
        <v>2269</v>
      </c>
      <c r="H66" s="1861">
        <f>项目基本情况!B43</f>
        <v>0</v>
      </c>
      <c r="I66" s="1494">
        <f>SUMIF(修正!$A$45:$A$56,H66,修正!H45:H56)</f>
        <v>0</v>
      </c>
      <c r="J66" s="1495"/>
      <c r="K66" s="3216"/>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9" t="s">
        <v>566</v>
      </c>
      <c r="B67" s="630" t="e">
        <f t="shared" si="17"/>
        <v>#DIV/0!</v>
      </c>
      <c r="C67" s="372">
        <f t="shared" si="16"/>
        <v>0</v>
      </c>
      <c r="D67" s="2108">
        <v>0.25</v>
      </c>
      <c r="E67" s="633">
        <f>'数据-汇总表'!E15</f>
        <v>0</v>
      </c>
      <c r="F67" s="628" t="e">
        <f t="shared" si="15"/>
        <v>#DIV/0!</v>
      </c>
      <c r="G67" s="1860" t="s">
        <v>2270</v>
      </c>
      <c r="H67" s="1862">
        <f>项目基本情况!C43</f>
        <v>0</v>
      </c>
      <c r="I67" s="1494">
        <f>SUMIF(修正!$A$45:$A$56,H67,修正!H45:H56)</f>
        <v>0</v>
      </c>
      <c r="J67" s="1495"/>
      <c r="K67" s="3216"/>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4" t="s">
        <v>567</v>
      </c>
      <c r="B68" s="635" t="s">
        <v>17</v>
      </c>
      <c r="C68" s="635" t="s">
        <v>18</v>
      </c>
      <c r="D68" s="635" t="s">
        <v>2281</v>
      </c>
      <c r="E68" s="635">
        <f>IF(B48="楼面地价",SUM(E58:E67),'数据-汇总表'!D3)</f>
        <v>160409</v>
      </c>
      <c r="F68" s="636" t="e">
        <f>IF(B48="楼面地价",SUM(F58:F67),ROUND(C50*E68/10000,0))</f>
        <v>#DIV/0!</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2020-10-1</v>
      </c>
      <c r="D70" s="2515">
        <f>EDATE(C70,-3)</f>
        <v>44013</v>
      </c>
      <c r="E70" s="2515">
        <f t="shared" ref="E70:N70" si="18">EDATE(D70,-3)</f>
        <v>43922</v>
      </c>
      <c r="F70" s="2515">
        <f t="shared" si="18"/>
        <v>43831</v>
      </c>
      <c r="G70" s="2515">
        <f t="shared" si="18"/>
        <v>43739</v>
      </c>
      <c r="H70" s="2515">
        <f t="shared" si="18"/>
        <v>43647</v>
      </c>
      <c r="I70" s="2515">
        <f t="shared" si="18"/>
        <v>43556</v>
      </c>
      <c r="J70" s="2515">
        <f t="shared" si="18"/>
        <v>43466</v>
      </c>
      <c r="K70" s="2515">
        <f t="shared" si="18"/>
        <v>43374</v>
      </c>
      <c r="L70" s="2515">
        <f t="shared" si="18"/>
        <v>43282</v>
      </c>
      <c r="M70" s="2515">
        <f t="shared" si="18"/>
        <v>43191</v>
      </c>
      <c r="N70" s="2515">
        <f t="shared" si="18"/>
        <v>43101</v>
      </c>
      <c r="O70" s="2026"/>
      <c r="P70" s="2026"/>
      <c r="Q70" s="2026"/>
      <c r="R70" s="2026"/>
      <c r="S70" s="2026"/>
      <c r="T70" s="2026"/>
      <c r="U70" s="2026"/>
      <c r="V70" s="2026"/>
      <c r="W70" s="2026"/>
      <c r="X70" s="2026"/>
      <c r="Y70" s="2026"/>
      <c r="Z70" s="2026"/>
      <c r="AA70" s="2026"/>
      <c r="AB70" s="2026"/>
      <c r="AC70" s="2026"/>
    </row>
    <row r="71" spans="1:29" ht="21.75"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2020-4</v>
      </c>
      <c r="D72" s="2517" t="str">
        <f>YEAR(D70)&amp;"-"&amp;ROUNDUP(MONTH(D70)/3,0)</f>
        <v>2020-3</v>
      </c>
      <c r="E72" s="2517" t="str">
        <f t="shared" ref="E72:N72" si="19">YEAR(E70)&amp;"-"&amp;ROUNDUP(MONTH(E70)/3,0)</f>
        <v>2020-2</v>
      </c>
      <c r="F72" s="2517" t="str">
        <f t="shared" si="19"/>
        <v>2020-1</v>
      </c>
      <c r="G72" s="2517" t="str">
        <f t="shared" si="19"/>
        <v>2019-4</v>
      </c>
      <c r="H72" s="2517" t="str">
        <f t="shared" si="19"/>
        <v>2019-3</v>
      </c>
      <c r="I72" s="2517" t="str">
        <f t="shared" si="19"/>
        <v>2019-2</v>
      </c>
      <c r="J72" s="2517" t="str">
        <f t="shared" si="19"/>
        <v>2019-1</v>
      </c>
      <c r="K72" s="2517" t="str">
        <f t="shared" si="19"/>
        <v>2018-4</v>
      </c>
      <c r="L72" s="2517" t="str">
        <f t="shared" si="19"/>
        <v>2018-3</v>
      </c>
      <c r="M72" s="2517" t="str">
        <f t="shared" si="19"/>
        <v>2018-2</v>
      </c>
      <c r="N72" s="2517" t="str">
        <f t="shared" si="19"/>
        <v>2018-1</v>
      </c>
      <c r="O72" s="2039"/>
      <c r="P72" s="2040"/>
      <c r="Q72" s="2041"/>
      <c r="R72" s="2041"/>
      <c r="S72" s="2041"/>
      <c r="T72" s="2041"/>
      <c r="U72" s="2041"/>
      <c r="V72" s="2041"/>
      <c r="W72" s="2041"/>
      <c r="X72" s="2041"/>
      <c r="Y72" s="2041"/>
      <c r="Z72" s="2041"/>
      <c r="AA72" s="2041"/>
      <c r="AB72" s="2041"/>
      <c r="AC72" s="2041"/>
    </row>
    <row r="73" spans="1:29" s="1202" customFormat="1" ht="27" customHeight="1">
      <c r="A73" s="2522" t="s">
        <v>2627</v>
      </c>
      <c r="B73" s="473" t="str">
        <f>"北京市平均增长率"&amp;TEXT(SUMIF(基准地价!N21:N25,A73,基准地价!P21:P25),"0.00%")</f>
        <v>北京市平均增长率1.73%</v>
      </c>
      <c r="C73" s="883">
        <v>100</v>
      </c>
      <c r="D73" s="722"/>
      <c r="E73" s="722"/>
      <c r="F73" s="722"/>
      <c r="G73" s="722"/>
      <c r="H73" s="722"/>
      <c r="I73" s="722"/>
      <c r="J73" s="722"/>
      <c r="K73" s="722"/>
      <c r="L73" s="722"/>
      <c r="M73" s="2510"/>
      <c r="N73" s="2511"/>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c r="A77" s="656" t="s">
        <v>571</v>
      </c>
      <c r="B77" s="657" t="s">
        <v>528</v>
      </c>
      <c r="C77" s="592"/>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62"/>
      <c r="C78" s="663"/>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7.75"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75" thickTop="1">
      <c r="A81" s="661"/>
      <c r="B81" s="673" t="s">
        <v>532</v>
      </c>
      <c r="C81" s="674" t="str">
        <f>C82&amp;"（含）"&amp;"-"&amp;D82</f>
        <v>（含）-</v>
      </c>
      <c r="D81" s="674" t="str">
        <f t="shared" ref="D81:L81" si="20">D82&amp;"（含）"&amp;"-"&amp;E82</f>
        <v>（含）-</v>
      </c>
      <c r="E81" s="674" t="str">
        <f t="shared" si="20"/>
        <v>（含）-</v>
      </c>
      <c r="F81" s="674" t="str">
        <f t="shared" si="20"/>
        <v>（含）-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1"/>
      <c r="B82" s="675"/>
      <c r="C82" s="535"/>
      <c r="D82" s="535"/>
      <c r="E82" s="535"/>
      <c r="F82" s="535"/>
      <c r="G82" s="535"/>
      <c r="H82" s="535"/>
      <c r="I82" s="535"/>
      <c r="J82" s="535"/>
      <c r="K82" s="676"/>
      <c r="L82" s="677"/>
      <c r="M82" s="678"/>
      <c r="N82" s="2044"/>
      <c r="O82" s="2044"/>
      <c r="P82" s="2045"/>
      <c r="Q82" s="2038"/>
      <c r="R82" s="2026"/>
      <c r="S82" s="2026"/>
      <c r="T82" s="2026"/>
      <c r="U82" s="2026"/>
      <c r="V82" s="2026"/>
      <c r="W82" s="2026"/>
      <c r="X82" s="2026"/>
      <c r="Y82" s="2026"/>
      <c r="Z82" s="2026"/>
      <c r="AA82" s="2026"/>
      <c r="AB82" s="2026"/>
      <c r="AC82" s="2026"/>
    </row>
    <row r="83" spans="1:29" ht="15.75"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5.75"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7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7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7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1"/>
      <c r="B99" s="670"/>
      <c r="C99" s="704">
        <v>100</v>
      </c>
      <c r="D99" s="671">
        <f>C99-$K25</f>
        <v>100</v>
      </c>
      <c r="E99" s="671">
        <f>D99-$K25</f>
        <v>100</v>
      </c>
      <c r="F99" s="671">
        <f>E99-$K25</f>
        <v>100</v>
      </c>
      <c r="G99" s="671">
        <f>F99-$K25</f>
        <v>100</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9"/>
      <c r="B104" s="2440" t="s">
        <v>2531</v>
      </c>
      <c r="C104" s="2441" t="s">
        <v>2532</v>
      </c>
      <c r="D104" s="2441" t="s">
        <v>2533</v>
      </c>
      <c r="E104" s="2441" t="s">
        <v>2534</v>
      </c>
      <c r="F104" s="2441" t="s">
        <v>2535</v>
      </c>
      <c r="G104" s="2441"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5"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c r="A118" s="656" t="s">
        <v>545</v>
      </c>
      <c r="B118" s="657" t="s">
        <v>587</v>
      </c>
      <c r="C118" s="696" t="str">
        <f t="shared" ref="C118:L118" si="25">C119&amp;"(含)"&amp;"-"&amp;D119</f>
        <v>(含)-</v>
      </c>
      <c r="D118" s="696" t="str">
        <f t="shared" si="25"/>
        <v>(含)-</v>
      </c>
      <c r="E118" s="696" t="str">
        <f t="shared" si="25"/>
        <v>(含)-</v>
      </c>
      <c r="F118" s="696" t="str">
        <f t="shared" si="25"/>
        <v>(含)-</v>
      </c>
      <c r="G118" s="696" t="str">
        <f t="shared" si="25"/>
        <v>(含)-</v>
      </c>
      <c r="H118" s="696" t="str">
        <f t="shared" si="25"/>
        <v>(含)-</v>
      </c>
      <c r="I118" s="696" t="str">
        <f t="shared" si="25"/>
        <v>(含)-</v>
      </c>
      <c r="J118" s="2779" t="str">
        <f t="shared" si="25"/>
        <v>(含)-</v>
      </c>
      <c r="K118" s="2779" t="str">
        <f t="shared" si="25"/>
        <v>(含)-</v>
      </c>
      <c r="L118" s="2780" t="str">
        <f t="shared" si="25"/>
        <v>(含)-</v>
      </c>
      <c r="M118" s="2781"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1"/>
      <c r="B119" s="673"/>
      <c r="C119" s="722"/>
      <c r="D119" s="722"/>
      <c r="E119" s="722"/>
      <c r="F119" s="722"/>
      <c r="G119" s="722"/>
      <c r="H119" s="722"/>
      <c r="I119" s="722"/>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1"/>
      <c r="B120" s="670"/>
      <c r="C120" s="692"/>
      <c r="D120" s="718"/>
      <c r="E120" s="718"/>
      <c r="F120" s="718"/>
      <c r="G120" s="718"/>
      <c r="H120" s="718"/>
      <c r="I120" s="718"/>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710"/>
      <c r="D121" s="710"/>
      <c r="E121" s="710"/>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5.75"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680"/>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c r="D125" s="1326"/>
      <c r="E125" s="1326"/>
      <c r="F125" s="1326"/>
      <c r="G125" s="1326"/>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680"/>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5.75"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5.75"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5"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5.75"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205" priority="18" stopIfTrue="1" operator="containsText" text="超过">
      <formula>NOT(ISERROR(SEARCH("超过",F53)))</formula>
    </cfRule>
  </conditionalFormatting>
  <conditionalFormatting sqref="J55">
    <cfRule type="containsText" dxfId="204" priority="17" stopIfTrue="1" operator="containsText" text="超过">
      <formula>NOT(ISERROR(SEARCH("超过",J55)))</formula>
    </cfRule>
  </conditionalFormatting>
  <conditionalFormatting sqref="H55">
    <cfRule type="containsText" dxfId="203" priority="16" stopIfTrue="1" operator="containsText" text="超过">
      <formula>NOT(ISERROR(SEARCH("超过",H55)))</formula>
    </cfRule>
  </conditionalFormatting>
  <conditionalFormatting sqref="F55">
    <cfRule type="containsText" dxfId="202" priority="15" stopIfTrue="1" operator="containsText" text="超过">
      <formula>NOT(ISERROR(SEARCH("超过",F55)))</formula>
    </cfRule>
  </conditionalFormatting>
  <conditionalFormatting sqref="F54 H54 J54">
    <cfRule type="containsText" dxfId="201" priority="14" stopIfTrue="1" operator="containsText" text="超过">
      <formula>NOT(ISERROR(SEARCH("超过",F54)))</formula>
    </cfRule>
  </conditionalFormatting>
  <conditionalFormatting sqref="E53">
    <cfRule type="expression" dxfId="200" priority="13" stopIfTrue="1">
      <formula>$F$53="超过30%"</formula>
    </cfRule>
  </conditionalFormatting>
  <conditionalFormatting sqref="G55">
    <cfRule type="expression" dxfId="199" priority="12" stopIfTrue="1">
      <formula>$H$55="超过30%"</formula>
    </cfRule>
  </conditionalFormatting>
  <conditionalFormatting sqref="E54">
    <cfRule type="expression" dxfId="198" priority="11" stopIfTrue="1">
      <formula>$F$54="超过20%"</formula>
    </cfRule>
  </conditionalFormatting>
  <conditionalFormatting sqref="E55">
    <cfRule type="expression" dxfId="197" priority="10" stopIfTrue="1">
      <formula>$F$55="超过30%"</formula>
    </cfRule>
  </conditionalFormatting>
  <conditionalFormatting sqref="G53">
    <cfRule type="expression" dxfId="196" priority="9" stopIfTrue="1">
      <formula>$H$55+$H$53="超过30%"</formula>
    </cfRule>
  </conditionalFormatting>
  <conditionalFormatting sqref="G54">
    <cfRule type="expression" dxfId="195" priority="8" stopIfTrue="1">
      <formula>$H$54="超过20%"</formula>
    </cfRule>
  </conditionalFormatting>
  <conditionalFormatting sqref="I53">
    <cfRule type="expression" dxfId="194" priority="7" stopIfTrue="1">
      <formula>$J$53="超过30%"</formula>
    </cfRule>
  </conditionalFormatting>
  <conditionalFormatting sqref="I54">
    <cfRule type="expression" dxfId="193" priority="6" stopIfTrue="1">
      <formula>$J$54="超过20%"</formula>
    </cfRule>
  </conditionalFormatting>
  <conditionalFormatting sqref="I55">
    <cfRule type="expression" dxfId="192" priority="5" stopIfTrue="1">
      <formula>$J$55="超过30%"</formula>
    </cfRule>
  </conditionalFormatting>
  <conditionalFormatting sqref="F49">
    <cfRule type="expression" dxfId="191" priority="4">
      <formula>$D$49="简单平均"</formula>
    </cfRule>
  </conditionalFormatting>
  <conditionalFormatting sqref="H49">
    <cfRule type="expression" dxfId="190" priority="3">
      <formula>$D$49="简单平均"</formula>
    </cfRule>
  </conditionalFormatting>
  <conditionalFormatting sqref="J49">
    <cfRule type="expression" dxfId="189" priority="2">
      <formula>$D$49="简单平均"</formula>
    </cfRule>
  </conditionalFormatting>
  <conditionalFormatting sqref="F9:F47 H9:H47 J9:J47">
    <cfRule type="cellIs" dxfId="18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14" zoomScale="60" zoomScaleNormal="50" workbookViewId="0">
      <selection activeCell="S47" sqref="S47"/>
    </sheetView>
  </sheetViews>
  <sheetFormatPr defaultColWidth="9" defaultRowHeight="14.25"/>
  <cols>
    <col min="1" max="1" width="13.37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502" t="e">
        <f>F63</f>
        <v>#DIV/0!</v>
      </c>
      <c r="C2" s="3219"/>
      <c r="D2" s="3219"/>
      <c r="E2" s="3219"/>
      <c r="F2" s="3220"/>
      <c r="G2" s="3219"/>
      <c r="H2" s="3219"/>
      <c r="I2" s="3219"/>
      <c r="J2" s="3219"/>
      <c r="K2" s="322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c r="A3" s="1331" t="s">
        <v>1675</v>
      </c>
      <c r="B3" s="504" t="e">
        <f>ROUND(B2*10000/'数据-汇总表'!E3,0)</f>
        <v>#DIV/0!</v>
      </c>
      <c r="C3" s="3218"/>
      <c r="D3" s="3218"/>
      <c r="E3" s="3218"/>
      <c r="F3" s="3218"/>
      <c r="G3" s="3219"/>
      <c r="H3" s="3219"/>
      <c r="I3" s="3219"/>
      <c r="J3" s="3219"/>
      <c r="K3" s="3221"/>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8"/>
      <c r="D4" s="3218"/>
      <c r="E4" s="3218"/>
      <c r="F4" s="3218"/>
      <c r="G4" s="3219"/>
      <c r="H4" s="3219"/>
      <c r="I4" s="3219"/>
      <c r="J4" s="3219"/>
      <c r="K4" s="3221"/>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8"/>
      <c r="E5" s="3218"/>
      <c r="F5" s="3218"/>
      <c r="G5" s="3219"/>
      <c r="H5" s="3219"/>
      <c r="I5" s="3219"/>
      <c r="J5" s="3219"/>
      <c r="K5" s="3221"/>
      <c r="L5" s="2012"/>
      <c r="M5" s="2013"/>
      <c r="N5" s="2013"/>
      <c r="O5" s="2013"/>
      <c r="P5" s="2013"/>
      <c r="Q5" s="2013"/>
      <c r="R5" s="2013"/>
      <c r="S5" s="2013"/>
      <c r="T5" s="2013"/>
      <c r="U5" s="2013"/>
      <c r="V5" s="2013"/>
      <c r="W5" s="2013"/>
      <c r="X5" s="2013"/>
      <c r="Y5" s="2013"/>
      <c r="Z5" s="2013"/>
      <c r="AA5" s="2013"/>
      <c r="AB5" s="3210"/>
      <c r="AC5" s="1943"/>
    </row>
    <row r="6" spans="1:29" ht="15">
      <c r="A6" s="506" t="s">
        <v>515</v>
      </c>
      <c r="B6" s="507"/>
      <c r="C6" s="3474" t="s">
        <v>516</v>
      </c>
      <c r="D6" s="3475"/>
      <c r="E6" s="3499" t="s">
        <v>517</v>
      </c>
      <c r="F6" s="3500"/>
      <c r="G6" s="3474" t="s">
        <v>518</v>
      </c>
      <c r="H6" s="3475"/>
      <c r="I6" s="3474" t="s">
        <v>519</v>
      </c>
      <c r="J6" s="3475"/>
      <c r="K6" s="508" t="s">
        <v>520</v>
      </c>
      <c r="L6" s="2014"/>
      <c r="M6" s="2015"/>
      <c r="N6" s="2015"/>
      <c r="O6" s="2015"/>
      <c r="P6" s="3476" t="s">
        <v>521</v>
      </c>
      <c r="Q6" s="3477"/>
      <c r="R6" s="3461" t="s">
        <v>517</v>
      </c>
      <c r="S6" s="3462"/>
      <c r="T6" s="3461" t="s">
        <v>518</v>
      </c>
      <c r="U6" s="3462"/>
      <c r="V6" s="3482" t="s">
        <v>519</v>
      </c>
      <c r="W6" s="3482"/>
      <c r="X6" s="1501"/>
      <c r="Y6" s="3461" t="s">
        <v>521</v>
      </c>
      <c r="Z6" s="3462"/>
      <c r="AA6" s="3456" t="s">
        <v>517</v>
      </c>
      <c r="AB6" s="3457" t="s">
        <v>518</v>
      </c>
      <c r="AC6" s="3456" t="s">
        <v>519</v>
      </c>
    </row>
    <row r="7" spans="1:29" ht="15">
      <c r="A7" s="509"/>
      <c r="B7" s="510"/>
      <c r="C7" s="3485" t="s">
        <v>2893</v>
      </c>
      <c r="D7" s="3486"/>
      <c r="E7" s="3501" t="s">
        <v>2894</v>
      </c>
      <c r="F7" s="3502"/>
      <c r="G7" s="3485" t="s">
        <v>2895</v>
      </c>
      <c r="H7" s="3486"/>
      <c r="I7" s="3485" t="s">
        <v>2896</v>
      </c>
      <c r="J7" s="3486"/>
      <c r="K7" s="508"/>
      <c r="L7" s="2014"/>
      <c r="M7" s="2015"/>
      <c r="N7" s="2015"/>
      <c r="O7" s="2015"/>
      <c r="P7" s="3478"/>
      <c r="Q7" s="3479"/>
      <c r="R7" s="3463"/>
      <c r="S7" s="3464"/>
      <c r="T7" s="3463"/>
      <c r="U7" s="3464"/>
      <c r="V7" s="3482"/>
      <c r="W7" s="3482"/>
      <c r="X7" s="1501"/>
      <c r="Y7" s="3463"/>
      <c r="Z7" s="3464"/>
      <c r="AA7" s="3457"/>
      <c r="AB7" s="3457"/>
      <c r="AC7" s="3457"/>
    </row>
    <row r="8" spans="1:29" ht="15.75" thickBot="1">
      <c r="A8" s="511"/>
      <c r="B8" s="512"/>
      <c r="C8" s="3483" t="s">
        <v>2897</v>
      </c>
      <c r="D8" s="3484"/>
      <c r="E8" s="3503" t="s">
        <v>2897</v>
      </c>
      <c r="F8" s="3504"/>
      <c r="G8" s="3483" t="s">
        <v>2897</v>
      </c>
      <c r="H8" s="3484"/>
      <c r="I8" s="3483" t="s">
        <v>2897</v>
      </c>
      <c r="J8" s="3484"/>
      <c r="K8" s="508" t="s">
        <v>522</v>
      </c>
      <c r="L8" s="2014"/>
      <c r="M8" s="2015"/>
      <c r="N8" s="2015"/>
      <c r="O8" s="2015"/>
      <c r="P8" s="3480"/>
      <c r="Q8" s="3481"/>
      <c r="R8" s="3463"/>
      <c r="S8" s="3464"/>
      <c r="T8" s="3466"/>
      <c r="U8" s="3467"/>
      <c r="V8" s="3482"/>
      <c r="W8" s="3482"/>
      <c r="X8" s="1501"/>
      <c r="Y8" s="3466"/>
      <c r="Z8" s="3467"/>
      <c r="AA8" s="3458"/>
      <c r="AB8" s="3458"/>
      <c r="AC8" s="3458"/>
    </row>
    <row r="9" spans="1:29" s="1202" customFormat="1" ht="15.75" thickBot="1">
      <c r="A9" s="2628"/>
      <c r="B9" s="2635" t="s">
        <v>523</v>
      </c>
      <c r="C9" s="513">
        <f>'数据-取费表'!B2</f>
        <v>44125</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459" t="s">
        <v>524</v>
      </c>
      <c r="Q9" s="3469"/>
      <c r="R9" s="1502" t="s">
        <v>8</v>
      </c>
      <c r="S9" s="1503">
        <f t="shared" ref="S9:S17" si="0">F9</f>
        <v>0</v>
      </c>
      <c r="T9" s="1502" t="s">
        <v>8</v>
      </c>
      <c r="U9" s="1503">
        <f t="shared" ref="U9:U17" si="1">H9</f>
        <v>0</v>
      </c>
      <c r="V9" s="1502" t="s">
        <v>8</v>
      </c>
      <c r="W9" s="1503">
        <f t="shared" ref="W9:W17" si="2">J9</f>
        <v>0</v>
      </c>
      <c r="X9" s="1504"/>
      <c r="Y9" s="3459" t="s">
        <v>524</v>
      </c>
      <c r="Z9" s="3460"/>
      <c r="AA9" s="1505" t="e">
        <f>D9/F9</f>
        <v>#DIV/0!</v>
      </c>
      <c r="AB9" s="1505" t="e">
        <f>D9/H9</f>
        <v>#DIV/0!</v>
      </c>
      <c r="AC9" s="1505" t="e">
        <f>D9/J9</f>
        <v>#DIV/0!</v>
      </c>
    </row>
    <row r="10" spans="1:29" s="1202" customFormat="1" ht="15.75" thickBot="1">
      <c r="A10" s="2629"/>
      <c r="B10" s="2636"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459" t="s">
        <v>527</v>
      </c>
      <c r="Q10" s="3460"/>
      <c r="R10" s="1502" t="s">
        <v>8</v>
      </c>
      <c r="S10" s="1503">
        <f t="shared" si="0"/>
        <v>0</v>
      </c>
      <c r="T10" s="1502" t="s">
        <v>8</v>
      </c>
      <c r="U10" s="1503">
        <f t="shared" si="1"/>
        <v>0</v>
      </c>
      <c r="V10" s="1502" t="s">
        <v>8</v>
      </c>
      <c r="W10" s="1503">
        <f t="shared" si="2"/>
        <v>0</v>
      </c>
      <c r="X10" s="1504"/>
      <c r="Y10" s="3459" t="s">
        <v>527</v>
      </c>
      <c r="Z10" s="3460"/>
      <c r="AA10" s="1505" t="e">
        <f t="shared" ref="AA10:AA42" si="3">D10/F10</f>
        <v>#DIV/0!</v>
      </c>
      <c r="AB10" s="1505" t="e">
        <f t="shared" ref="AB10:AB42" si="4">D10/H10</f>
        <v>#DIV/0!</v>
      </c>
      <c r="AC10" s="1505" t="e">
        <f t="shared" ref="AC10:AC42" si="5">D10/J10</f>
        <v>#DIV/0!</v>
      </c>
    </row>
    <row r="11" spans="1:29" s="1202" customFormat="1" ht="15">
      <c r="A11" s="2630"/>
      <c r="B11" s="2637" t="s">
        <v>2736</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468" t="s">
        <v>529</v>
      </c>
      <c r="Q11" s="1133" t="str">
        <f t="shared" ref="Q11:Q17" si="6">B11</f>
        <v>用途</v>
      </c>
      <c r="R11" s="1502" t="s">
        <v>8</v>
      </c>
      <c r="S11" s="1503">
        <f t="shared" si="0"/>
        <v>100</v>
      </c>
      <c r="T11" s="1502" t="s">
        <v>8</v>
      </c>
      <c r="U11" s="1503">
        <f t="shared" si="1"/>
        <v>100</v>
      </c>
      <c r="V11" s="1502" t="s">
        <v>8</v>
      </c>
      <c r="W11" s="1503">
        <f t="shared" si="2"/>
        <v>100</v>
      </c>
      <c r="X11" s="1504"/>
      <c r="Y11" s="3465" t="s">
        <v>530</v>
      </c>
      <c r="Z11" s="1132" t="str">
        <f t="shared" ref="Z11:Z17" si="7">Q11</f>
        <v>用途</v>
      </c>
      <c r="AA11" s="1505">
        <f t="shared" si="3"/>
        <v>1</v>
      </c>
      <c r="AB11" s="1505">
        <f t="shared" si="4"/>
        <v>1</v>
      </c>
      <c r="AC11" s="1505">
        <f t="shared" si="5"/>
        <v>1</v>
      </c>
    </row>
    <row r="12" spans="1:29" s="1291" customFormat="1" ht="27">
      <c r="A12" s="2631"/>
      <c r="B12" s="2636" t="s">
        <v>2737</v>
      </c>
      <c r="C12" s="522"/>
      <c r="D12" s="253">
        <v>100</v>
      </c>
      <c r="E12" s="522"/>
      <c r="F12" s="253">
        <f>ROUND(100/'数据-取费表'!G16,0)</f>
        <v>100</v>
      </c>
      <c r="G12" s="522"/>
      <c r="H12" s="253">
        <f>ROUND(100/'数据-取费表'!G16,0)</f>
        <v>100</v>
      </c>
      <c r="I12" s="522"/>
      <c r="J12" s="253">
        <f>ROUND(100/'数据-取费表'!G16,0)</f>
        <v>100</v>
      </c>
      <c r="K12" s="525"/>
      <c r="L12" s="2019"/>
      <c r="M12" s="2058"/>
      <c r="N12" s="2058"/>
      <c r="O12" s="2020"/>
      <c r="P12" s="3468"/>
      <c r="Q12" s="1133" t="str">
        <f t="shared" si="6"/>
        <v>土地使用年限（年）</v>
      </c>
      <c r="R12" s="1502" t="s">
        <v>8</v>
      </c>
      <c r="S12" s="1503">
        <f t="shared" si="0"/>
        <v>100</v>
      </c>
      <c r="T12" s="1502" t="s">
        <v>8</v>
      </c>
      <c r="U12" s="1503">
        <f t="shared" si="1"/>
        <v>100</v>
      </c>
      <c r="V12" s="1502" t="s">
        <v>8</v>
      </c>
      <c r="W12" s="1503">
        <f t="shared" si="2"/>
        <v>100</v>
      </c>
      <c r="X12" s="1504"/>
      <c r="Y12" s="3465"/>
      <c r="Z12" s="1132" t="str">
        <f t="shared" si="7"/>
        <v>土地使用年限（年）</v>
      </c>
      <c r="AA12" s="1505">
        <f t="shared" si="3"/>
        <v>1</v>
      </c>
      <c r="AB12" s="1505">
        <f t="shared" si="4"/>
        <v>1</v>
      </c>
      <c r="AC12" s="1505">
        <f t="shared" si="5"/>
        <v>1</v>
      </c>
    </row>
    <row r="13" spans="1:29" ht="15">
      <c r="A13" s="2632"/>
      <c r="B13" s="2636"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468"/>
      <c r="Q13" s="1133" t="str">
        <f t="shared" si="6"/>
        <v>容积率</v>
      </c>
      <c r="R13" s="1502" t="s">
        <v>8</v>
      </c>
      <c r="S13" s="1503" t="e">
        <f t="shared" si="0"/>
        <v>#N/A</v>
      </c>
      <c r="T13" s="1502" t="s">
        <v>8</v>
      </c>
      <c r="U13" s="1503" t="e">
        <f t="shared" si="1"/>
        <v>#N/A</v>
      </c>
      <c r="V13" s="1502" t="s">
        <v>8</v>
      </c>
      <c r="W13" s="1503" t="e">
        <f t="shared" si="2"/>
        <v>#N/A</v>
      </c>
      <c r="X13" s="1504"/>
      <c r="Y13" s="3465"/>
      <c r="Z13" s="1132" t="str">
        <f t="shared" si="7"/>
        <v>容积率</v>
      </c>
      <c r="AA13" s="1505" t="e">
        <f t="shared" si="3"/>
        <v>#N/A</v>
      </c>
      <c r="AB13" s="1505" t="e">
        <f t="shared" si="4"/>
        <v>#N/A</v>
      </c>
      <c r="AC13" s="1505" t="e">
        <f t="shared" si="5"/>
        <v>#N/A</v>
      </c>
    </row>
    <row r="14" spans="1:29" s="1202" customFormat="1" ht="15">
      <c r="A14" s="2633"/>
      <c r="B14" s="2639">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468"/>
      <c r="Q14" s="1133">
        <f t="shared" si="6"/>
        <v>111</v>
      </c>
      <c r="R14" s="1502" t="s">
        <v>8</v>
      </c>
      <c r="S14" s="1503">
        <f t="shared" si="0"/>
        <v>100</v>
      </c>
      <c r="T14" s="1502" t="s">
        <v>8</v>
      </c>
      <c r="U14" s="1503">
        <f t="shared" si="1"/>
        <v>100</v>
      </c>
      <c r="V14" s="1502" t="s">
        <v>8</v>
      </c>
      <c r="W14" s="1503">
        <f t="shared" si="2"/>
        <v>100</v>
      </c>
      <c r="X14" s="1504"/>
      <c r="Y14" s="3465"/>
      <c r="Z14" s="1132">
        <f t="shared" si="7"/>
        <v>111</v>
      </c>
      <c r="AA14" s="1505">
        <f>D14/F14</f>
        <v>1</v>
      </c>
      <c r="AB14" s="1505">
        <f>D14/H14</f>
        <v>1</v>
      </c>
      <c r="AC14" s="1505">
        <f>D14/J14</f>
        <v>1</v>
      </c>
    </row>
    <row r="15" spans="1:29" ht="15">
      <c r="A15" s="2633"/>
      <c r="B15" s="2639">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468"/>
      <c r="Q15" s="1133">
        <f t="shared" si="6"/>
        <v>111</v>
      </c>
      <c r="R15" s="1502" t="s">
        <v>8</v>
      </c>
      <c r="S15" s="1503">
        <f t="shared" si="0"/>
        <v>100</v>
      </c>
      <c r="T15" s="1502" t="s">
        <v>8</v>
      </c>
      <c r="U15" s="1503">
        <f t="shared" si="1"/>
        <v>100</v>
      </c>
      <c r="V15" s="1502" t="s">
        <v>8</v>
      </c>
      <c r="W15" s="1503">
        <f t="shared" si="2"/>
        <v>100</v>
      </c>
      <c r="X15" s="1504"/>
      <c r="Y15" s="3465"/>
      <c r="Z15" s="1132">
        <f t="shared" si="7"/>
        <v>111</v>
      </c>
      <c r="AA15" s="1505">
        <f t="shared" si="3"/>
        <v>1</v>
      </c>
      <c r="AB15" s="1505">
        <f t="shared" si="4"/>
        <v>1</v>
      </c>
      <c r="AC15" s="1505">
        <f t="shared" si="5"/>
        <v>1</v>
      </c>
    </row>
    <row r="16" spans="1:29" ht="15.75" thickBot="1">
      <c r="A16" s="2634"/>
      <c r="B16" s="2640">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468"/>
      <c r="Q16" s="1133">
        <f t="shared" si="6"/>
        <v>111</v>
      </c>
      <c r="R16" s="1502" t="s">
        <v>8</v>
      </c>
      <c r="S16" s="1503">
        <f t="shared" si="0"/>
        <v>100</v>
      </c>
      <c r="T16" s="1502" t="s">
        <v>8</v>
      </c>
      <c r="U16" s="1503">
        <f t="shared" si="1"/>
        <v>100</v>
      </c>
      <c r="V16" s="1502" t="s">
        <v>8</v>
      </c>
      <c r="W16" s="1503">
        <f t="shared" si="2"/>
        <v>100</v>
      </c>
      <c r="X16" s="1504"/>
      <c r="Y16" s="3465"/>
      <c r="Z16" s="1132">
        <f t="shared" si="7"/>
        <v>111</v>
      </c>
      <c r="AA16" s="1505">
        <f t="shared" si="3"/>
        <v>1</v>
      </c>
      <c r="AB16" s="1505">
        <f t="shared" si="4"/>
        <v>1</v>
      </c>
      <c r="AC16" s="1505">
        <f t="shared" si="5"/>
        <v>1</v>
      </c>
    </row>
    <row r="17" spans="1:29" ht="57">
      <c r="A17" s="2626" t="s">
        <v>2734</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470" t="s">
        <v>534</v>
      </c>
      <c r="Q17" s="1506" t="str">
        <f t="shared" si="6"/>
        <v>产业集聚程度</v>
      </c>
      <c r="R17" s="1507" t="s">
        <v>8</v>
      </c>
      <c r="S17" s="1508">
        <f t="shared" si="0"/>
        <v>100</v>
      </c>
      <c r="T17" s="1507" t="s">
        <v>8</v>
      </c>
      <c r="U17" s="1508">
        <f t="shared" si="1"/>
        <v>100</v>
      </c>
      <c r="V17" s="1507" t="s">
        <v>8</v>
      </c>
      <c r="W17" s="1508">
        <f t="shared" si="2"/>
        <v>100</v>
      </c>
      <c r="X17" s="1501"/>
      <c r="Y17" s="3470"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471"/>
      <c r="Q18" s="1506"/>
      <c r="R18" s="1507"/>
      <c r="S18" s="1508"/>
      <c r="T18" s="1507"/>
      <c r="U18" s="1508"/>
      <c r="V18" s="1507"/>
      <c r="W18" s="1508"/>
      <c r="X18" s="1501"/>
      <c r="Y18" s="3471"/>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471"/>
      <c r="Q19" s="1506" t="str">
        <f>B19</f>
        <v>交通便捷度</v>
      </c>
      <c r="R19" s="1507" t="s">
        <v>8</v>
      </c>
      <c r="S19" s="1508">
        <f>F19</f>
        <v>100</v>
      </c>
      <c r="T19" s="1507" t="s">
        <v>8</v>
      </c>
      <c r="U19" s="1508">
        <f>H19</f>
        <v>100</v>
      </c>
      <c r="V19" s="1507" t="s">
        <v>8</v>
      </c>
      <c r="W19" s="1508">
        <f>J19</f>
        <v>100</v>
      </c>
      <c r="X19" s="1501"/>
      <c r="Y19" s="3471"/>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3"/>
      <c r="M20" s="2015"/>
      <c r="N20" s="2015"/>
      <c r="O20" s="2022"/>
      <c r="P20" s="3471"/>
      <c r="Q20" s="1506"/>
      <c r="R20" s="1507"/>
      <c r="S20" s="1508"/>
      <c r="T20" s="1507"/>
      <c r="U20" s="1508"/>
      <c r="V20" s="1507"/>
      <c r="W20" s="1508"/>
      <c r="X20" s="1501"/>
      <c r="Y20" s="3471"/>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471"/>
      <c r="Q21" s="1506" t="str">
        <f t="shared" ref="Q21:Q35" si="8">B21</f>
        <v>区域土地利用方向</v>
      </c>
      <c r="R21" s="1507" t="s">
        <v>8</v>
      </c>
      <c r="S21" s="1508">
        <f>F21</f>
        <v>100</v>
      </c>
      <c r="T21" s="1507" t="s">
        <v>8</v>
      </c>
      <c r="U21" s="1508">
        <f>H21</f>
        <v>100</v>
      </c>
      <c r="V21" s="1507" t="s">
        <v>8</v>
      </c>
      <c r="W21" s="1508">
        <f>J21</f>
        <v>100</v>
      </c>
      <c r="X21" s="1501"/>
      <c r="Y21" s="3471"/>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471"/>
      <c r="Q22" s="1506"/>
      <c r="R22" s="1507"/>
      <c r="S22" s="1508"/>
      <c r="T22" s="1507"/>
      <c r="U22" s="1508"/>
      <c r="V22" s="1507"/>
      <c r="W22" s="1508"/>
      <c r="X22" s="1501"/>
      <c r="Y22" s="3471"/>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471"/>
      <c r="Q23" s="1506" t="str">
        <f t="shared" si="8"/>
        <v>环境状况</v>
      </c>
      <c r="R23" s="1507" t="s">
        <v>8</v>
      </c>
      <c r="S23" s="1508">
        <f>F23</f>
        <v>100</v>
      </c>
      <c r="T23" s="1507" t="s">
        <v>8</v>
      </c>
      <c r="U23" s="1508">
        <f>H23</f>
        <v>100</v>
      </c>
      <c r="V23" s="1507" t="s">
        <v>8</v>
      </c>
      <c r="W23" s="1508">
        <f>J23</f>
        <v>100</v>
      </c>
      <c r="X23" s="1501"/>
      <c r="Y23" s="3471"/>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471"/>
      <c r="Q24" s="1506"/>
      <c r="R24" s="1507"/>
      <c r="S24" s="1508"/>
      <c r="T24" s="1507"/>
      <c r="U24" s="1508"/>
      <c r="V24" s="1507"/>
      <c r="W24" s="1508"/>
      <c r="X24" s="1501"/>
      <c r="Y24" s="3471"/>
      <c r="Z24" s="1509"/>
      <c r="AA24" s="1510">
        <v>1</v>
      </c>
      <c r="AB24" s="1510">
        <v>1</v>
      </c>
      <c r="AC24" s="1510">
        <v>1</v>
      </c>
    </row>
    <row r="25" spans="1:29" s="1202" customFormat="1" ht="42.75">
      <c r="A25" s="571"/>
      <c r="B25" s="2436"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471"/>
      <c r="Q25" s="1133" t="str">
        <f t="shared" si="8"/>
        <v>公共配套设施</v>
      </c>
      <c r="R25" s="1502" t="s">
        <v>8</v>
      </c>
      <c r="S25" s="1503">
        <f>F25</f>
        <v>100</v>
      </c>
      <c r="T25" s="1502" t="s">
        <v>8</v>
      </c>
      <c r="U25" s="1503">
        <f>H25</f>
        <v>100</v>
      </c>
      <c r="V25" s="1502" t="s">
        <v>8</v>
      </c>
      <c r="W25" s="1503">
        <f>J25</f>
        <v>100</v>
      </c>
      <c r="X25" s="1504"/>
      <c r="Y25" s="3471"/>
      <c r="Z25" s="1132" t="str">
        <f>Q25</f>
        <v>公共配套设施</v>
      </c>
      <c r="AA25" s="1510">
        <f>D25/F25</f>
        <v>1</v>
      </c>
      <c r="AB25" s="1510">
        <f>D25/H25</f>
        <v>1</v>
      </c>
      <c r="AC25" s="1510">
        <f>D25/J25</f>
        <v>1</v>
      </c>
    </row>
    <row r="26" spans="1:29" s="1202" customFormat="1" ht="15">
      <c r="A26" s="571"/>
      <c r="B26" s="589"/>
      <c r="C26" s="2435"/>
      <c r="D26" s="549"/>
      <c r="E26" s="548"/>
      <c r="F26" s="549"/>
      <c r="G26" s="548"/>
      <c r="H26" s="549"/>
      <c r="I26" s="570"/>
      <c r="J26" s="549"/>
      <c r="K26" s="525"/>
      <c r="L26" s="2016"/>
      <c r="M26" s="2017"/>
      <c r="N26" s="2017"/>
      <c r="O26" s="2018"/>
      <c r="P26" s="3471"/>
      <c r="Q26" s="1133"/>
      <c r="R26" s="1502"/>
      <c r="S26" s="1503"/>
      <c r="T26" s="1502"/>
      <c r="U26" s="1503"/>
      <c r="V26" s="1502"/>
      <c r="W26" s="1503"/>
      <c r="X26" s="1504"/>
      <c r="Y26" s="3471"/>
      <c r="Z26" s="1132"/>
      <c r="AA26" s="1505">
        <v>1</v>
      </c>
      <c r="AB26" s="1505">
        <v>1</v>
      </c>
      <c r="AC26" s="1505">
        <v>1</v>
      </c>
    </row>
    <row r="27" spans="1:29" s="1202" customFormat="1" ht="28.5">
      <c r="A27" s="571"/>
      <c r="B27" s="2436"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471"/>
      <c r="Q27" s="2427" t="str">
        <f t="shared" ref="Q27" si="9">B27</f>
        <v>基础设施水平</v>
      </c>
      <c r="R27" s="1502" t="s">
        <v>8</v>
      </c>
      <c r="S27" s="1503">
        <f>F27</f>
        <v>100</v>
      </c>
      <c r="T27" s="1502" t="s">
        <v>8</v>
      </c>
      <c r="U27" s="1503">
        <f>H27</f>
        <v>100</v>
      </c>
      <c r="V27" s="1502" t="s">
        <v>8</v>
      </c>
      <c r="W27" s="1503">
        <f>J27</f>
        <v>100</v>
      </c>
      <c r="X27" s="1504"/>
      <c r="Y27" s="3471"/>
      <c r="Z27" s="2426" t="str">
        <f>Q27</f>
        <v>基础设施水平</v>
      </c>
      <c r="AA27" s="1510">
        <f>D27/F27</f>
        <v>1</v>
      </c>
      <c r="AB27" s="1510">
        <f>D27/H27</f>
        <v>1</v>
      </c>
      <c r="AC27" s="1510">
        <f>D27/J27</f>
        <v>1</v>
      </c>
    </row>
    <row r="28" spans="1:29" s="1202" customFormat="1" ht="15">
      <c r="A28" s="571"/>
      <c r="B28" s="589"/>
      <c r="C28" s="2435"/>
      <c r="D28" s="549"/>
      <c r="E28" s="573"/>
      <c r="F28" s="549"/>
      <c r="G28" s="573"/>
      <c r="H28" s="549"/>
      <c r="I28" s="573"/>
      <c r="J28" s="549"/>
      <c r="K28" s="525"/>
      <c r="L28" s="2016"/>
      <c r="M28" s="2017"/>
      <c r="N28" s="2017"/>
      <c r="O28" s="2018"/>
      <c r="P28" s="3471"/>
      <c r="Q28" s="2427"/>
      <c r="R28" s="1502"/>
      <c r="S28" s="1503"/>
      <c r="T28" s="1502"/>
      <c r="U28" s="1503"/>
      <c r="V28" s="1502"/>
      <c r="W28" s="1503"/>
      <c r="X28" s="1504"/>
      <c r="Y28" s="3471"/>
      <c r="Z28" s="2426"/>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471"/>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71"/>
      <c r="Z29" s="1509" t="str">
        <f t="shared" ref="Z29:Z42" si="13">Q29</f>
        <v>临街状况</v>
      </c>
      <c r="AA29" s="1510">
        <f t="shared" si="3"/>
        <v>1</v>
      </c>
      <c r="AB29" s="1510">
        <f t="shared" si="4"/>
        <v>1</v>
      </c>
      <c r="AC29" s="1510">
        <f t="shared" si="5"/>
        <v>1</v>
      </c>
    </row>
    <row r="30" spans="1:29" ht="27">
      <c r="A30" s="526"/>
      <c r="B30" s="911" t="s">
        <v>542</v>
      </c>
      <c r="C30" s="2438">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471"/>
      <c r="Q30" s="1506" t="str">
        <f t="shared" si="8"/>
        <v>毗邻道路的类型与等级</v>
      </c>
      <c r="R30" s="1507" t="s">
        <v>8</v>
      </c>
      <c r="S30" s="1508">
        <f t="shared" si="10"/>
        <v>100</v>
      </c>
      <c r="T30" s="1507" t="s">
        <v>8</v>
      </c>
      <c r="U30" s="1508">
        <f t="shared" si="11"/>
        <v>100</v>
      </c>
      <c r="V30" s="1507" t="s">
        <v>8</v>
      </c>
      <c r="W30" s="1508">
        <f t="shared" si="12"/>
        <v>100</v>
      </c>
      <c r="X30" s="1501"/>
      <c r="Y30" s="3471"/>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471"/>
      <c r="Q31" s="1506"/>
      <c r="R31" s="1507"/>
      <c r="S31" s="1508"/>
      <c r="T31" s="1507"/>
      <c r="U31" s="1508"/>
      <c r="V31" s="1507"/>
      <c r="W31" s="1508"/>
      <c r="X31" s="1501"/>
      <c r="Y31" s="3471"/>
      <c r="Z31" s="1509"/>
      <c r="AA31" s="1510">
        <v>1</v>
      </c>
      <c r="AB31" s="1510">
        <v>1</v>
      </c>
      <c r="AC31" s="1510">
        <v>1</v>
      </c>
    </row>
    <row r="32" spans="1:29" ht="15">
      <c r="A32" s="526"/>
      <c r="B32" s="521" t="s">
        <v>543</v>
      </c>
      <c r="C32" s="2439">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471"/>
      <c r="Q32" s="1506" t="str">
        <f t="shared" si="8"/>
        <v>土地级别</v>
      </c>
      <c r="R32" s="1507" t="s">
        <v>8</v>
      </c>
      <c r="S32" s="1508">
        <f t="shared" si="10"/>
        <v>100</v>
      </c>
      <c r="T32" s="1507" t="s">
        <v>8</v>
      </c>
      <c r="U32" s="1508">
        <f t="shared" si="11"/>
        <v>100</v>
      </c>
      <c r="V32" s="1507" t="s">
        <v>8</v>
      </c>
      <c r="W32" s="1508">
        <f t="shared" si="12"/>
        <v>100</v>
      </c>
      <c r="X32" s="1501"/>
      <c r="Y32" s="3471"/>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471"/>
      <c r="Q33" s="1506">
        <f t="shared" si="8"/>
        <v>111</v>
      </c>
      <c r="R33" s="1507" t="s">
        <v>8</v>
      </c>
      <c r="S33" s="1508">
        <f t="shared" si="10"/>
        <v>100</v>
      </c>
      <c r="T33" s="1507" t="s">
        <v>8</v>
      </c>
      <c r="U33" s="1508">
        <f t="shared" si="11"/>
        <v>100</v>
      </c>
      <c r="V33" s="1507" t="s">
        <v>8</v>
      </c>
      <c r="W33" s="1508">
        <f t="shared" si="12"/>
        <v>100</v>
      </c>
      <c r="X33" s="1501"/>
      <c r="Y33" s="3471"/>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472" t="s">
        <v>544</v>
      </c>
      <c r="Q34" s="1506">
        <f t="shared" si="8"/>
        <v>111</v>
      </c>
      <c r="R34" s="1507" t="s">
        <v>8</v>
      </c>
      <c r="S34" s="1508">
        <f t="shared" si="10"/>
        <v>100</v>
      </c>
      <c r="T34" s="1507" t="s">
        <v>8</v>
      </c>
      <c r="U34" s="1508">
        <f t="shared" si="11"/>
        <v>100</v>
      </c>
      <c r="V34" s="1507" t="s">
        <v>8</v>
      </c>
      <c r="W34" s="1508">
        <f t="shared" si="12"/>
        <v>100</v>
      </c>
      <c r="X34" s="1501"/>
      <c r="Y34" s="3473" t="s">
        <v>544</v>
      </c>
      <c r="Z34" s="1509">
        <f t="shared" si="13"/>
        <v>111</v>
      </c>
      <c r="AA34" s="1510">
        <f t="shared" si="3"/>
        <v>1</v>
      </c>
      <c r="AB34" s="1510">
        <f t="shared" si="4"/>
        <v>1</v>
      </c>
      <c r="AC34" s="1510">
        <f t="shared" si="5"/>
        <v>1</v>
      </c>
    </row>
    <row r="35" spans="1:29" s="1292" customFormat="1" ht="15.75" thickBot="1">
      <c r="A35" s="583"/>
      <c r="B35" s="2437">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473"/>
      <c r="Q35" s="1506">
        <f t="shared" si="8"/>
        <v>111</v>
      </c>
      <c r="R35" s="1511" t="s">
        <v>8</v>
      </c>
      <c r="S35" s="1512">
        <f t="shared" si="10"/>
        <v>100</v>
      </c>
      <c r="T35" s="1511" t="s">
        <v>8</v>
      </c>
      <c r="U35" s="1512">
        <f t="shared" si="11"/>
        <v>100</v>
      </c>
      <c r="V35" s="1511" t="s">
        <v>8</v>
      </c>
      <c r="W35" s="1512">
        <f t="shared" si="12"/>
        <v>100</v>
      </c>
      <c r="X35" s="1513"/>
      <c r="Y35" s="3473"/>
      <c r="Z35" s="1514">
        <f t="shared" si="13"/>
        <v>111</v>
      </c>
      <c r="AA35" s="1510">
        <f t="shared" si="3"/>
        <v>1</v>
      </c>
      <c r="AB35" s="1510">
        <f t="shared" si="4"/>
        <v>1</v>
      </c>
      <c r="AC35" s="1510">
        <f t="shared" si="5"/>
        <v>1</v>
      </c>
    </row>
    <row r="36" spans="1:29" ht="15">
      <c r="A36" s="2623"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473"/>
      <c r="Q36" s="1506" t="str">
        <f>B36</f>
        <v>宗地面积</v>
      </c>
      <c r="R36" s="1507" t="s">
        <v>8</v>
      </c>
      <c r="S36" s="1508" t="e">
        <f t="shared" si="10"/>
        <v>#N/A</v>
      </c>
      <c r="T36" s="1507" t="s">
        <v>8</v>
      </c>
      <c r="U36" s="1508" t="e">
        <f t="shared" si="11"/>
        <v>#N/A</v>
      </c>
      <c r="V36" s="1507" t="s">
        <v>8</v>
      </c>
      <c r="W36" s="1508" t="e">
        <f t="shared" si="12"/>
        <v>#N/A</v>
      </c>
      <c r="X36" s="1501"/>
      <c r="Y36" s="3473"/>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473"/>
      <c r="Q37" s="1506" t="str">
        <f t="shared" ref="Q37:Q42" si="14">B37</f>
        <v>宗地形状</v>
      </c>
      <c r="R37" s="1507" t="s">
        <v>8</v>
      </c>
      <c r="S37" s="1508">
        <f t="shared" si="10"/>
        <v>100</v>
      </c>
      <c r="T37" s="1507" t="s">
        <v>8</v>
      </c>
      <c r="U37" s="1508">
        <f t="shared" si="11"/>
        <v>100</v>
      </c>
      <c r="V37" s="1507" t="s">
        <v>8</v>
      </c>
      <c r="W37" s="1508">
        <f t="shared" si="12"/>
        <v>100</v>
      </c>
      <c r="X37" s="1501"/>
      <c r="Y37" s="3473"/>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473"/>
      <c r="Q38" s="1506" t="str">
        <f t="shared" si="14"/>
        <v>宗地开发程度</v>
      </c>
      <c r="R38" s="1502" t="s">
        <v>8</v>
      </c>
      <c r="S38" s="1503">
        <f t="shared" si="10"/>
        <v>100</v>
      </c>
      <c r="T38" s="1502" t="s">
        <v>8</v>
      </c>
      <c r="U38" s="1503">
        <f t="shared" si="11"/>
        <v>100</v>
      </c>
      <c r="V38" s="1502" t="s">
        <v>8</v>
      </c>
      <c r="W38" s="1503">
        <f t="shared" si="12"/>
        <v>100</v>
      </c>
      <c r="X38" s="1504"/>
      <c r="Y38" s="3473"/>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473" t="s">
        <v>595</v>
      </c>
      <c r="Q39" s="1506" t="str">
        <f t="shared" si="14"/>
        <v>工程地质条件</v>
      </c>
      <c r="R39" s="1507" t="s">
        <v>8</v>
      </c>
      <c r="S39" s="1508">
        <f t="shared" si="10"/>
        <v>100</v>
      </c>
      <c r="T39" s="1507" t="s">
        <v>8</v>
      </c>
      <c r="U39" s="1508">
        <f t="shared" si="11"/>
        <v>100</v>
      </c>
      <c r="V39" s="1507" t="s">
        <v>8</v>
      </c>
      <c r="W39" s="1508">
        <f t="shared" si="12"/>
        <v>100</v>
      </c>
      <c r="X39" s="1501"/>
      <c r="Y39" s="3473"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473"/>
      <c r="Q40" s="1506">
        <f t="shared" si="14"/>
        <v>111</v>
      </c>
      <c r="R40" s="1507" t="s">
        <v>8</v>
      </c>
      <c r="S40" s="1508">
        <f t="shared" si="10"/>
        <v>100</v>
      </c>
      <c r="T40" s="1507" t="s">
        <v>8</v>
      </c>
      <c r="U40" s="1508">
        <f t="shared" si="11"/>
        <v>100</v>
      </c>
      <c r="V40" s="1507" t="s">
        <v>8</v>
      </c>
      <c r="W40" s="1508">
        <f t="shared" si="12"/>
        <v>100</v>
      </c>
      <c r="X40" s="1501"/>
      <c r="Y40" s="3473"/>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473"/>
      <c r="Q41" s="1506">
        <f t="shared" si="14"/>
        <v>111</v>
      </c>
      <c r="R41" s="1507" t="s">
        <v>8</v>
      </c>
      <c r="S41" s="1508">
        <f t="shared" si="10"/>
        <v>100</v>
      </c>
      <c r="T41" s="1507" t="s">
        <v>8</v>
      </c>
      <c r="U41" s="1508">
        <f t="shared" si="11"/>
        <v>100</v>
      </c>
      <c r="V41" s="1507" t="s">
        <v>8</v>
      </c>
      <c r="W41" s="1508">
        <f t="shared" si="12"/>
        <v>100</v>
      </c>
      <c r="X41" s="1501"/>
      <c r="Y41" s="3473"/>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473"/>
      <c r="Q42" s="1506">
        <f t="shared" si="14"/>
        <v>111</v>
      </c>
      <c r="R42" s="1511" t="s">
        <v>8</v>
      </c>
      <c r="S42" s="1512">
        <f t="shared" si="10"/>
        <v>100</v>
      </c>
      <c r="T42" s="1511" t="s">
        <v>8</v>
      </c>
      <c r="U42" s="1512">
        <f t="shared" si="11"/>
        <v>100</v>
      </c>
      <c r="V42" s="1511" t="s">
        <v>8</v>
      </c>
      <c r="W42" s="1512">
        <f t="shared" si="12"/>
        <v>100</v>
      </c>
      <c r="X42" s="1513"/>
      <c r="Y42" s="3473"/>
      <c r="Z42" s="1514">
        <f t="shared" si="13"/>
        <v>111</v>
      </c>
      <c r="AA42" s="1510">
        <f t="shared" si="3"/>
        <v>1</v>
      </c>
      <c r="AB42" s="1510">
        <f t="shared" si="4"/>
        <v>1</v>
      </c>
      <c r="AC42" s="1510">
        <f t="shared" si="5"/>
        <v>1</v>
      </c>
    </row>
    <row r="43" spans="1:29" ht="15">
      <c r="A43" s="601" t="s">
        <v>550</v>
      </c>
      <c r="B43" s="602" t="s">
        <v>2898</v>
      </c>
      <c r="C43" s="603" t="s">
        <v>1</v>
      </c>
      <c r="D43" s="604"/>
      <c r="E43" s="605"/>
      <c r="F43" s="606"/>
      <c r="G43" s="607"/>
      <c r="H43" s="608"/>
      <c r="I43" s="605"/>
      <c r="J43" s="608"/>
      <c r="K43" s="1293"/>
      <c r="L43" s="2025"/>
      <c r="M43" s="2015"/>
      <c r="N43" s="2015"/>
      <c r="O43" s="2026"/>
      <c r="P43" s="3468" t="str">
        <f>A43</f>
        <v>成交单价</v>
      </c>
      <c r="Q43" s="3468"/>
      <c r="R43" s="3482">
        <f>E43</f>
        <v>0</v>
      </c>
      <c r="S43" s="3482"/>
      <c r="T43" s="3482">
        <f>G43</f>
        <v>0</v>
      </c>
      <c r="U43" s="3482"/>
      <c r="V43" s="3482">
        <f>I43</f>
        <v>0</v>
      </c>
      <c r="W43" s="3482"/>
      <c r="X43" s="1496"/>
      <c r="Y43" s="1515"/>
      <c r="Z43" s="1496"/>
      <c r="AA43" s="1496"/>
      <c r="AB43" s="1496"/>
      <c r="AC43" s="1496"/>
    </row>
    <row r="44" spans="1:29" ht="15.75" thickBot="1">
      <c r="A44" s="609" t="s">
        <v>2673</v>
      </c>
      <c r="B44" s="610"/>
      <c r="C44" s="611" t="e">
        <f>R45</f>
        <v>#DIV/0!</v>
      </c>
      <c r="D44" s="3013" t="s">
        <v>2964</v>
      </c>
      <c r="E44" s="611" t="e">
        <f>R44</f>
        <v>#DIV/0!</v>
      </c>
      <c r="F44" s="3014"/>
      <c r="G44" s="612" t="e">
        <f>T44</f>
        <v>#DIV/0!</v>
      </c>
      <c r="H44" s="3014"/>
      <c r="I44" s="611" t="e">
        <f>V44</f>
        <v>#DIV/0!</v>
      </c>
      <c r="J44" s="3014"/>
      <c r="K44" s="3015">
        <f>F44+H44+J44</f>
        <v>0</v>
      </c>
      <c r="L44" s="2025"/>
      <c r="M44" s="2015"/>
      <c r="N44" s="2015"/>
      <c r="O44" s="2026"/>
      <c r="P44" s="3468" t="str">
        <f>A44</f>
        <v>比较价格（元/平方米）</v>
      </c>
      <c r="Q44" s="3468"/>
      <c r="R44" s="3492" t="e">
        <f>ROUND(PRODUCT(R43,AA9:AA42),0)</f>
        <v>#DIV/0!</v>
      </c>
      <c r="S44" s="3492"/>
      <c r="T44" s="3492" t="e">
        <f>ROUND(PRODUCT(T43,AB9:AB42),0)</f>
        <v>#DIV/0!</v>
      </c>
      <c r="U44" s="3492"/>
      <c r="V44" s="3492" t="e">
        <f>ROUND(PRODUCT(V43,AC9:AC42),0)</f>
        <v>#DIV/0!</v>
      </c>
      <c r="W44" s="3492"/>
      <c r="X44" s="1496"/>
      <c r="Y44" s="1496"/>
      <c r="Z44" s="1496"/>
      <c r="AA44" s="1496"/>
      <c r="AB44" s="1496"/>
      <c r="AC44" s="1496"/>
    </row>
    <row r="45" spans="1:29" ht="15.75" thickBot="1">
      <c r="A45" s="613" t="s">
        <v>2899</v>
      </c>
      <c r="B45" s="614"/>
      <c r="C45" s="615" t="e">
        <f>R45</f>
        <v>#DIV/0!</v>
      </c>
      <c r="D45" s="615"/>
      <c r="E45" s="615"/>
      <c r="F45" s="615"/>
      <c r="G45" s="615"/>
      <c r="H45" s="615"/>
      <c r="I45" s="615"/>
      <c r="J45" s="615"/>
      <c r="K45" s="1294"/>
      <c r="L45" s="2025"/>
      <c r="M45" s="2015"/>
      <c r="N45" s="2015"/>
      <c r="O45" s="2026"/>
      <c r="P45" s="3489" t="str">
        <f>A45</f>
        <v>估价对象XX用房的比较价格（楼面单价，元/平方米）</v>
      </c>
      <c r="Q45" s="3490"/>
      <c r="R45" s="3498" t="e">
        <f>ROUND(IF(D44="简单平均",AVERAGE(R44:W44),R44*F44+T44*H44+V44*J44),0)</f>
        <v>#DIV/0!</v>
      </c>
      <c r="S45" s="3498"/>
      <c r="T45" s="3498"/>
      <c r="U45" s="3498"/>
      <c r="V45" s="3498"/>
      <c r="W45" s="3498"/>
      <c r="X45" s="1496"/>
      <c r="Y45" s="1496"/>
      <c r="Z45" s="1496"/>
      <c r="AA45" s="1496"/>
      <c r="AB45" s="1496"/>
      <c r="AC45" s="1496"/>
    </row>
    <row r="46" spans="1:29">
      <c r="A46" s="3211"/>
      <c r="B46" s="3211"/>
      <c r="C46" s="3211"/>
      <c r="D46" s="3211"/>
      <c r="E46" s="3211"/>
      <c r="F46" s="3211"/>
      <c r="G46" s="3213"/>
      <c r="H46" s="3211"/>
      <c r="I46" s="3211"/>
      <c r="J46" s="3211"/>
      <c r="K46" s="3214"/>
      <c r="L46" s="2030"/>
      <c r="M46" s="2015"/>
      <c r="N46" s="2015"/>
      <c r="O46" s="2026"/>
      <c r="P46" s="2026"/>
      <c r="Q46" s="2026"/>
      <c r="R46" s="2026"/>
      <c r="S46" s="2026"/>
      <c r="T46" s="2026"/>
      <c r="U46" s="2026"/>
      <c r="V46" s="2026"/>
      <c r="W46" s="2026"/>
      <c r="X46" s="2026"/>
      <c r="Y46" s="2026"/>
      <c r="Z46" s="2026"/>
      <c r="AA46" s="2026"/>
      <c r="AB46" s="2026"/>
      <c r="AC46" s="2026"/>
    </row>
    <row r="47" spans="1:29">
      <c r="A47" s="3211"/>
      <c r="B47" s="3211"/>
      <c r="C47" s="3211"/>
      <c r="D47" s="3211"/>
      <c r="E47" s="3211"/>
      <c r="F47" s="3211"/>
      <c r="G47" s="3211"/>
      <c r="H47" s="3211"/>
      <c r="I47" s="3211"/>
      <c r="J47" s="3211"/>
      <c r="K47" s="3214"/>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1"/>
      <c r="B48" s="3211"/>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4"/>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1"/>
      <c r="B49" s="3211"/>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4"/>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2"/>
      <c r="B50" s="3212"/>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5"/>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2"/>
      <c r="B51" s="3223"/>
      <c r="C51" s="2031"/>
      <c r="D51" s="2027"/>
      <c r="E51" s="2027"/>
      <c r="F51" s="2027"/>
      <c r="G51" s="2027"/>
      <c r="H51" s="2027"/>
      <c r="I51" s="2027"/>
      <c r="J51" s="2027"/>
      <c r="K51" s="3215"/>
      <c r="L51" s="2033"/>
      <c r="M51" s="2027"/>
      <c r="N51" s="2027"/>
      <c r="O51" s="2027"/>
      <c r="P51" s="2027"/>
      <c r="Q51" s="2027"/>
      <c r="R51" s="2027"/>
      <c r="S51" s="2027"/>
      <c r="T51" s="2027"/>
      <c r="U51" s="2027"/>
      <c r="V51" s="2027"/>
      <c r="W51" s="2027"/>
      <c r="X51" s="2027"/>
      <c r="Y51" s="2027"/>
      <c r="Z51" s="2027"/>
      <c r="AA51" s="2027"/>
      <c r="AB51" s="2027"/>
      <c r="AC51" s="2027"/>
    </row>
    <row r="52" spans="1:29" ht="27">
      <c r="A52" s="621" t="s">
        <v>554</v>
      </c>
      <c r="B52" s="622" t="s">
        <v>555</v>
      </c>
      <c r="C52" s="1497" t="s">
        <v>1714</v>
      </c>
      <c r="D52" s="2106" t="s">
        <v>2280</v>
      </c>
      <c r="E52" s="623" t="s">
        <v>556</v>
      </c>
      <c r="F52" s="1864" t="s">
        <v>557</v>
      </c>
      <c r="G52" s="3493" t="s">
        <v>2271</v>
      </c>
      <c r="H52" s="3494"/>
      <c r="I52" s="1865" t="s">
        <v>1933</v>
      </c>
      <c r="J52" s="1493" t="str">
        <f>项目基本情况!F41</f>
        <v>河北省</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5" t="s">
        <v>558</v>
      </c>
      <c r="B53" s="626" t="e">
        <f>C45</f>
        <v>#DIV/0!</v>
      </c>
      <c r="C53" s="627">
        <v>1</v>
      </c>
      <c r="D53" s="2107">
        <v>1</v>
      </c>
      <c r="E53" s="627">
        <f>'数据-汇总表'!E8+'数据-汇总表'!E9</f>
        <v>268447</v>
      </c>
      <c r="F53" s="1863" t="e">
        <f t="shared" ref="F53:F62" si="15">ROUND(B53*E53/10000,0)</f>
        <v>#DIV/0!</v>
      </c>
      <c r="G53" s="3495"/>
      <c r="H53" s="3496"/>
      <c r="I53" s="1866">
        <v>1</v>
      </c>
      <c r="J53" s="1494">
        <v>1</v>
      </c>
      <c r="K53" s="3216"/>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9" t="s">
        <v>559</v>
      </c>
      <c r="B54" s="630" t="e">
        <f>ROUND($C$45*C54*D54,0)</f>
        <v>#DIV/0!</v>
      </c>
      <c r="C54" s="372">
        <f t="shared" ref="C54:C62" si="16">IF($C$52="北京市系数",I54,J54)</f>
        <v>0</v>
      </c>
      <c r="D54" s="2108">
        <v>0.25</v>
      </c>
      <c r="E54" s="631"/>
      <c r="F54" s="1863" t="e">
        <f t="shared" si="15"/>
        <v>#DIV/0!</v>
      </c>
      <c r="G54" s="3497" t="s">
        <v>2272</v>
      </c>
      <c r="H54" s="1867">
        <f>项目基本情况!B43</f>
        <v>0</v>
      </c>
      <c r="I54" s="1866">
        <f>SUMIF(修正!$A$45:$A$56,H54,修正!B45:B56)</f>
        <v>0</v>
      </c>
      <c r="J54" s="1495"/>
      <c r="K54" s="3216"/>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9" t="s">
        <v>560</v>
      </c>
      <c r="B55" s="630" t="e">
        <f t="shared" ref="B55:B62" si="17">ROUND($C$45*C55*D55,0)</f>
        <v>#DIV/0!</v>
      </c>
      <c r="C55" s="372">
        <f t="shared" si="16"/>
        <v>0</v>
      </c>
      <c r="D55" s="2108">
        <v>0.25</v>
      </c>
      <c r="E55" s="631"/>
      <c r="F55" s="1863" t="e">
        <f t="shared" si="15"/>
        <v>#DIV/0!</v>
      </c>
      <c r="G55" s="3497"/>
      <c r="H55" s="1868">
        <f>项目基本情况!B43</f>
        <v>0</v>
      </c>
      <c r="I55" s="1866">
        <f>SUMIF(修正!$A$45:$A$56,H55,修正!C45:C56)</f>
        <v>0</v>
      </c>
      <c r="J55" s="1495"/>
      <c r="K55" s="3216"/>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9" t="s">
        <v>561</v>
      </c>
      <c r="B56" s="630" t="e">
        <f t="shared" si="17"/>
        <v>#DIV/0!</v>
      </c>
      <c r="C56" s="372">
        <f t="shared" si="16"/>
        <v>0</v>
      </c>
      <c r="D56" s="2108">
        <v>0.25</v>
      </c>
      <c r="E56" s="631"/>
      <c r="F56" s="1863" t="e">
        <f t="shared" si="15"/>
        <v>#DIV/0!</v>
      </c>
      <c r="G56" s="3497"/>
      <c r="H56" s="1868">
        <f>项目基本情况!B43</f>
        <v>0</v>
      </c>
      <c r="I56" s="1866">
        <f>SUMIF(修正!$A$45:$A$56,H56,修正!D45:D56)</f>
        <v>0</v>
      </c>
      <c r="J56" s="1495"/>
      <c r="K56" s="3216"/>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9" t="s">
        <v>562</v>
      </c>
      <c r="B57" s="630" t="e">
        <f t="shared" si="17"/>
        <v>#DIV/0!</v>
      </c>
      <c r="C57" s="372">
        <f t="shared" si="16"/>
        <v>0</v>
      </c>
      <c r="D57" s="2108">
        <v>0.25</v>
      </c>
      <c r="E57" s="631"/>
      <c r="F57" s="1863" t="e">
        <f t="shared" si="15"/>
        <v>#DIV/0!</v>
      </c>
      <c r="G57" s="3497"/>
      <c r="H57" s="1868">
        <f>项目基本情况!B43</f>
        <v>0</v>
      </c>
      <c r="I57" s="1866">
        <f>SUMIF(修正!$A$45:$A$56,H57,修正!E45:E56)</f>
        <v>0</v>
      </c>
      <c r="J57" s="1495"/>
      <c r="K57" s="3216"/>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6"/>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9" t="s">
        <v>563</v>
      </c>
      <c r="B59" s="630" t="e">
        <f t="shared" si="17"/>
        <v>#DIV/0!</v>
      </c>
      <c r="C59" s="372">
        <f t="shared" si="16"/>
        <v>0</v>
      </c>
      <c r="D59" s="2108">
        <v>0.25</v>
      </c>
      <c r="E59" s="633">
        <f>'数据-汇总表'!E12</f>
        <v>0</v>
      </c>
      <c r="F59" s="1863" t="e">
        <f t="shared" si="15"/>
        <v>#DIV/0!</v>
      </c>
      <c r="G59" s="1859" t="s">
        <v>1668</v>
      </c>
      <c r="H59" s="1867">
        <f>IF(G59="商业",项目基本情况!B43,IF(G59="办公",项目基本情况!C43,IF(G59="住宅",项目基本情况!D43,项目基本情况!E43)))</f>
        <v>0</v>
      </c>
      <c r="I59" s="1866">
        <f>SUMIF(修正!$A$45:$A$56,H59,修正!G45:G56)</f>
        <v>0</v>
      </c>
      <c r="J59" s="1495"/>
      <c r="K59" s="3216"/>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9" t="s">
        <v>564</v>
      </c>
      <c r="B60" s="630" t="e">
        <f t="shared" si="17"/>
        <v>#DIV/0!</v>
      </c>
      <c r="C60" s="372">
        <f t="shared" si="16"/>
        <v>0</v>
      </c>
      <c r="D60" s="2108">
        <v>0.25</v>
      </c>
      <c r="E60" s="633">
        <f>'数据-汇总表'!E13</f>
        <v>0</v>
      </c>
      <c r="F60" s="1863" t="e">
        <f t="shared" si="15"/>
        <v>#DIV/0!</v>
      </c>
      <c r="G60" s="1859" t="s">
        <v>914</v>
      </c>
      <c r="H60" s="1867">
        <f>IF(G60="商业",项目基本情况!B43,IF(G60="办公",项目基本情况!C43,IF(G60="住宅",项目基本情况!D43,项目基本情况!E43)))</f>
        <v>0</v>
      </c>
      <c r="I60" s="1866">
        <f>SUMIF(修正!$A$45:$A$56,H60,修正!H45:H56)</f>
        <v>0</v>
      </c>
      <c r="J60" s="1495"/>
      <c r="K60" s="3216"/>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6"/>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6"/>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4" t="s">
        <v>567</v>
      </c>
      <c r="B63" s="635" t="s">
        <v>17</v>
      </c>
      <c r="C63" s="635" t="s">
        <v>18</v>
      </c>
      <c r="D63" s="635" t="s">
        <v>2281</v>
      </c>
      <c r="E63" s="635">
        <f>IF(B43="楼面地价",SUM(E53:E62),'数据-汇总表'!D3)</f>
        <v>160409</v>
      </c>
      <c r="F63" s="636" t="e">
        <f>IF(B43="楼面地价",SUM(F53:F62),ROUND(C45*E63/10000,0))</f>
        <v>#DIV/0!</v>
      </c>
      <c r="G63" s="2036"/>
      <c r="H63" s="2036"/>
      <c r="I63" s="2036"/>
      <c r="J63" s="2036"/>
      <c r="K63" s="3224"/>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2020-10-1</v>
      </c>
      <c r="D65" s="2515">
        <f>EDATE(C65,-3)</f>
        <v>44013</v>
      </c>
      <c r="E65" s="2515">
        <f t="shared" ref="E65:N65" si="18">EDATE(D65,-3)</f>
        <v>43922</v>
      </c>
      <c r="F65" s="2515">
        <f t="shared" si="18"/>
        <v>43831</v>
      </c>
      <c r="G65" s="2515">
        <f t="shared" si="18"/>
        <v>43739</v>
      </c>
      <c r="H65" s="2515">
        <f t="shared" si="18"/>
        <v>43647</v>
      </c>
      <c r="I65" s="2515">
        <f t="shared" si="18"/>
        <v>43556</v>
      </c>
      <c r="J65" s="2515">
        <f t="shared" si="18"/>
        <v>43466</v>
      </c>
      <c r="K65" s="2515">
        <f t="shared" si="18"/>
        <v>43374</v>
      </c>
      <c r="L65" s="2515">
        <f t="shared" si="18"/>
        <v>43282</v>
      </c>
      <c r="M65" s="2515">
        <f t="shared" si="18"/>
        <v>43191</v>
      </c>
      <c r="N65" s="2515">
        <f t="shared" si="18"/>
        <v>43101</v>
      </c>
      <c r="O65" s="2026"/>
      <c r="P65" s="2026"/>
      <c r="Q65" s="2026"/>
      <c r="R65" s="2026"/>
      <c r="S65" s="2026"/>
      <c r="T65" s="2026"/>
      <c r="U65" s="2026"/>
      <c r="V65" s="2026"/>
      <c r="W65" s="2026"/>
      <c r="X65" s="2026"/>
      <c r="Y65" s="2026"/>
      <c r="Z65" s="2026"/>
      <c r="AA65" s="2026"/>
      <c r="AB65" s="2026"/>
      <c r="AC65" s="2026"/>
    </row>
    <row r="66" spans="1:29" ht="21.75"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8"/>
      <c r="C67" s="2512" t="str">
        <f>YEAR(C65)&amp;"-"&amp;ROUNDUP(MONTH(C65)/3,0)</f>
        <v>2020-4</v>
      </c>
      <c r="D67" s="2517" t="str">
        <f t="shared" ref="D67:N67" si="19">YEAR(D65)&amp;"-"&amp;ROUNDUP(MONTH(D65)/3,0)</f>
        <v>2020-3</v>
      </c>
      <c r="E67" s="2517" t="str">
        <f t="shared" si="19"/>
        <v>2020-2</v>
      </c>
      <c r="F67" s="2517" t="str">
        <f t="shared" si="19"/>
        <v>2020-1</v>
      </c>
      <c r="G67" s="2517" t="str">
        <f t="shared" si="19"/>
        <v>2019-4</v>
      </c>
      <c r="H67" s="2517" t="str">
        <f t="shared" si="19"/>
        <v>2019-3</v>
      </c>
      <c r="I67" s="2517" t="str">
        <f t="shared" si="19"/>
        <v>2019-2</v>
      </c>
      <c r="J67" s="2517" t="str">
        <f t="shared" si="19"/>
        <v>2019-1</v>
      </c>
      <c r="K67" s="2517" t="str">
        <f t="shared" si="19"/>
        <v>2018-4</v>
      </c>
      <c r="L67" s="2517" t="str">
        <f t="shared" si="19"/>
        <v>2018-3</v>
      </c>
      <c r="M67" s="2517" t="str">
        <f t="shared" si="19"/>
        <v>2018-2</v>
      </c>
      <c r="N67" s="2517"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2629</v>
      </c>
      <c r="B68" s="473" t="str">
        <f>"北京市平均增长率"&amp;TEXT(基准地价!P24,"0.00%")</f>
        <v>北京市平均增长率1.23%</v>
      </c>
      <c r="C68" s="883">
        <v>100</v>
      </c>
      <c r="D68" s="722"/>
      <c r="E68" s="722"/>
      <c r="F68" s="722"/>
      <c r="G68" s="722"/>
      <c r="H68" s="722"/>
      <c r="I68" s="722"/>
      <c r="J68" s="722"/>
      <c r="K68" s="722"/>
      <c r="L68" s="722"/>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5" t="s">
        <v>569</v>
      </c>
      <c r="B69" s="646"/>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1" t="s">
        <v>525</v>
      </c>
      <c r="B70" s="640"/>
      <c r="C70" s="652" t="s">
        <v>570</v>
      </c>
      <c r="D70" s="653"/>
      <c r="E70" s="653"/>
      <c r="F70" s="653"/>
      <c r="G70" s="653"/>
      <c r="H70" s="653"/>
      <c r="I70" s="653"/>
      <c r="J70" s="653"/>
      <c r="K70" s="653"/>
      <c r="L70" s="654"/>
      <c r="M70" s="655"/>
      <c r="N70" s="3225"/>
      <c r="O70" s="2042"/>
      <c r="P70" s="2043"/>
      <c r="Q70" s="2038"/>
      <c r="R70" s="1904"/>
      <c r="S70" s="1904"/>
      <c r="T70" s="1904"/>
      <c r="U70" s="1904"/>
      <c r="V70" s="1904"/>
      <c r="W70" s="1904"/>
      <c r="X70" s="1904"/>
      <c r="Y70" s="1904"/>
      <c r="Z70" s="1904"/>
      <c r="AA70" s="1904"/>
      <c r="AB70" s="1904"/>
      <c r="AC70" s="1904"/>
    </row>
    <row r="71" spans="1:29" s="1202" customFormat="1" ht="15.75" thickBot="1">
      <c r="A71" s="651"/>
      <c r="B71" s="640"/>
      <c r="C71" s="641">
        <v>100</v>
      </c>
      <c r="D71" s="642"/>
      <c r="E71" s="642"/>
      <c r="F71" s="642"/>
      <c r="G71" s="642"/>
      <c r="H71" s="642"/>
      <c r="I71" s="642"/>
      <c r="J71" s="642"/>
      <c r="K71" s="642"/>
      <c r="L71" s="642"/>
      <c r="M71" s="644"/>
      <c r="N71" s="3225"/>
      <c r="O71" s="2042"/>
      <c r="P71" s="2038"/>
      <c r="Q71" s="2038"/>
      <c r="R71" s="1904"/>
      <c r="S71" s="1904"/>
      <c r="T71" s="1904"/>
      <c r="U71" s="1904"/>
      <c r="V71" s="1904"/>
      <c r="W71" s="1904"/>
      <c r="X71" s="1904"/>
      <c r="Y71" s="1904"/>
      <c r="Z71" s="1904"/>
      <c r="AA71" s="1904"/>
      <c r="AB71" s="1904"/>
      <c r="AC71" s="1904"/>
    </row>
    <row r="72" spans="1:29">
      <c r="A72" s="656" t="s">
        <v>571</v>
      </c>
      <c r="B72" s="657" t="s">
        <v>528</v>
      </c>
      <c r="C72" s="592"/>
      <c r="D72" s="592"/>
      <c r="E72" s="592"/>
      <c r="F72" s="592"/>
      <c r="G72" s="592"/>
      <c r="H72" s="592"/>
      <c r="I72" s="592"/>
      <c r="J72" s="592"/>
      <c r="K72" s="658"/>
      <c r="L72" s="659"/>
      <c r="M72" s="660"/>
      <c r="N72" s="3226"/>
      <c r="O72" s="2044"/>
      <c r="P72" s="2045"/>
      <c r="Q72" s="2038"/>
      <c r="R72" s="2026"/>
      <c r="S72" s="2026"/>
      <c r="T72" s="2026"/>
      <c r="U72" s="2026"/>
      <c r="V72" s="2026"/>
      <c r="W72" s="2026"/>
      <c r="X72" s="2026"/>
      <c r="Y72" s="2026"/>
      <c r="Z72" s="2026"/>
      <c r="AA72" s="2026"/>
      <c r="AB72" s="2026"/>
      <c r="AC72" s="2026"/>
    </row>
    <row r="73" spans="1:29" ht="15.75" thickBot="1">
      <c r="A73" s="661"/>
      <c r="B73" s="662"/>
      <c r="C73" s="663"/>
      <c r="D73" s="663"/>
      <c r="E73" s="663"/>
      <c r="F73" s="663"/>
      <c r="G73" s="663"/>
      <c r="H73" s="663"/>
      <c r="I73" s="663"/>
      <c r="J73" s="663"/>
      <c r="K73" s="663"/>
      <c r="L73" s="663"/>
      <c r="M73" s="664"/>
      <c r="N73" s="3227"/>
      <c r="O73" s="2046"/>
      <c r="P73" s="2045"/>
      <c r="Q73" s="2038"/>
      <c r="R73" s="2026"/>
      <c r="S73" s="2026"/>
      <c r="T73" s="2026"/>
      <c r="U73" s="2026"/>
      <c r="V73" s="2026"/>
      <c r="W73" s="2026"/>
      <c r="X73" s="2026"/>
      <c r="Y73" s="2026"/>
      <c r="Z73" s="2026"/>
      <c r="AA73" s="2026"/>
      <c r="AB73" s="2026"/>
      <c r="AC73" s="2026"/>
    </row>
    <row r="74" spans="1:29" ht="27.75" thickTop="1">
      <c r="A74" s="661"/>
      <c r="B74" s="665" t="s">
        <v>531</v>
      </c>
      <c r="C74" s="666"/>
      <c r="D74" s="666"/>
      <c r="E74" s="666"/>
      <c r="F74" s="666"/>
      <c r="G74" s="666"/>
      <c r="H74" s="666"/>
      <c r="I74" s="666"/>
      <c r="J74" s="666"/>
      <c r="K74" s="667"/>
      <c r="L74" s="668"/>
      <c r="M74" s="669"/>
      <c r="N74" s="3226"/>
      <c r="O74" s="2044"/>
      <c r="P74" s="2045"/>
      <c r="Q74" s="2038"/>
      <c r="R74" s="2026"/>
      <c r="S74" s="2026"/>
      <c r="T74" s="2026"/>
      <c r="U74" s="2026"/>
      <c r="V74" s="2026"/>
      <c r="W74" s="2026"/>
      <c r="X74" s="2026"/>
      <c r="Y74" s="2026"/>
      <c r="Z74" s="2026"/>
      <c r="AA74" s="2026"/>
      <c r="AB74" s="2026"/>
      <c r="AC74" s="2026"/>
    </row>
    <row r="75" spans="1:29" ht="15.75" thickBot="1">
      <c r="A75" s="661"/>
      <c r="B75" s="670"/>
      <c r="C75" s="671"/>
      <c r="D75" s="671"/>
      <c r="E75" s="671"/>
      <c r="F75" s="671"/>
      <c r="G75" s="671"/>
      <c r="H75" s="671"/>
      <c r="I75" s="671"/>
      <c r="J75" s="671"/>
      <c r="K75" s="671"/>
      <c r="L75" s="671"/>
      <c r="M75" s="672"/>
      <c r="N75" s="3227"/>
      <c r="O75" s="2046"/>
      <c r="P75" s="2045"/>
      <c r="Q75" s="2038"/>
      <c r="R75" s="2026"/>
      <c r="S75" s="2026"/>
      <c r="T75" s="2026"/>
      <c r="U75" s="2026"/>
      <c r="V75" s="2026"/>
      <c r="W75" s="2026"/>
      <c r="X75" s="2026"/>
      <c r="Y75" s="2026"/>
      <c r="Z75" s="2026"/>
      <c r="AA75" s="2026"/>
      <c r="AB75" s="2026"/>
      <c r="AC75" s="2026"/>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7"/>
      <c r="O76" s="2046"/>
      <c r="P76" s="2045"/>
      <c r="Q76" s="2038"/>
      <c r="R76" s="2026"/>
      <c r="S76" s="2026"/>
      <c r="T76" s="2026"/>
      <c r="U76" s="2026"/>
      <c r="V76" s="2026"/>
      <c r="W76" s="2026"/>
      <c r="X76" s="2026"/>
      <c r="Y76" s="2026"/>
      <c r="Z76" s="2026"/>
      <c r="AA76" s="2026"/>
      <c r="AB76" s="2026"/>
      <c r="AC76" s="2026"/>
    </row>
    <row r="77" spans="1:29" ht="15">
      <c r="A77" s="661"/>
      <c r="B77" s="675"/>
      <c r="C77" s="535"/>
      <c r="D77" s="535"/>
      <c r="E77" s="535"/>
      <c r="F77" s="535"/>
      <c r="G77" s="535"/>
      <c r="H77" s="535"/>
      <c r="I77" s="535"/>
      <c r="J77" s="535"/>
      <c r="K77" s="676"/>
      <c r="L77" s="677"/>
      <c r="M77" s="678"/>
      <c r="N77" s="3226"/>
      <c r="O77" s="2044"/>
      <c r="P77" s="2045"/>
      <c r="Q77" s="2038"/>
      <c r="R77" s="2026"/>
      <c r="S77" s="2026"/>
      <c r="T77" s="2026"/>
      <c r="U77" s="2026"/>
      <c r="V77" s="2026"/>
      <c r="W77" s="2026"/>
      <c r="X77" s="2026"/>
      <c r="Y77" s="2026"/>
      <c r="Z77" s="2026"/>
      <c r="AA77" s="2026"/>
      <c r="AB77" s="2026"/>
      <c r="AC77" s="2026"/>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7"/>
      <c r="O78" s="2046"/>
      <c r="P78" s="2045"/>
      <c r="Q78" s="2038"/>
      <c r="R78" s="2026"/>
      <c r="S78" s="2026"/>
      <c r="T78" s="2026"/>
      <c r="U78" s="2026"/>
      <c r="V78" s="2026"/>
      <c r="W78" s="2026"/>
      <c r="X78" s="2026"/>
      <c r="Y78" s="2026"/>
      <c r="Z78" s="2026"/>
      <c r="AA78" s="2026"/>
      <c r="AB78" s="2026"/>
      <c r="AC78" s="2026"/>
    </row>
    <row r="79" spans="1:29" s="1292" customFormat="1" ht="15.75" thickTop="1">
      <c r="A79" s="679"/>
      <c r="B79" s="665">
        <f>B14</f>
        <v>111</v>
      </c>
      <c r="C79" s="680"/>
      <c r="D79" s="680"/>
      <c r="E79" s="680"/>
      <c r="F79" s="680"/>
      <c r="G79" s="680"/>
      <c r="H79" s="681"/>
      <c r="I79" s="681"/>
      <c r="J79" s="681"/>
      <c r="K79" s="681"/>
      <c r="L79" s="682"/>
      <c r="M79" s="683"/>
      <c r="N79" s="3228"/>
      <c r="O79" s="2047"/>
      <c r="P79" s="2048"/>
      <c r="Q79" s="2049"/>
      <c r="R79" s="2050"/>
      <c r="S79" s="2050"/>
      <c r="T79" s="2050"/>
      <c r="U79" s="2050"/>
      <c r="V79" s="2050"/>
      <c r="W79" s="2050"/>
      <c r="X79" s="2050"/>
      <c r="Y79" s="2050"/>
      <c r="Z79" s="2050"/>
      <c r="AA79" s="2050"/>
      <c r="AB79" s="2050"/>
      <c r="AC79" s="2050"/>
    </row>
    <row r="80" spans="1:29" s="1292" customFormat="1" ht="15.75" thickBot="1">
      <c r="A80" s="679"/>
      <c r="B80" s="670"/>
      <c r="C80" s="684"/>
      <c r="D80" s="663"/>
      <c r="E80" s="663"/>
      <c r="F80" s="663"/>
      <c r="G80" s="663"/>
      <c r="H80" s="663"/>
      <c r="I80" s="663"/>
      <c r="J80" s="663"/>
      <c r="K80" s="663"/>
      <c r="L80" s="663"/>
      <c r="M80" s="664"/>
      <c r="N80" s="3227"/>
      <c r="O80" s="2046"/>
      <c r="P80" s="2048"/>
      <c r="Q80" s="2049"/>
      <c r="R80" s="2050"/>
      <c r="S80" s="2050"/>
      <c r="T80" s="2050"/>
      <c r="U80" s="2050"/>
      <c r="V80" s="2050"/>
      <c r="W80" s="2050"/>
      <c r="X80" s="2050"/>
      <c r="Y80" s="2050"/>
      <c r="Z80" s="2050"/>
      <c r="AA80" s="2050"/>
      <c r="AB80" s="2050"/>
      <c r="AC80" s="2050"/>
    </row>
    <row r="81" spans="1:29" s="1292" customFormat="1" ht="15.75" thickTop="1">
      <c r="A81" s="679"/>
      <c r="B81" s="665">
        <f>B15</f>
        <v>111</v>
      </c>
      <c r="C81" s="680"/>
      <c r="D81" s="680"/>
      <c r="E81" s="680"/>
      <c r="F81" s="680"/>
      <c r="G81" s="680"/>
      <c r="H81" s="681"/>
      <c r="I81" s="681"/>
      <c r="J81" s="681"/>
      <c r="K81" s="681"/>
      <c r="L81" s="682"/>
      <c r="M81" s="683"/>
      <c r="N81" s="3228"/>
      <c r="O81" s="2047"/>
      <c r="P81" s="2051"/>
      <c r="Q81" s="2052"/>
      <c r="R81" s="2050"/>
      <c r="S81" s="2050"/>
      <c r="T81" s="2050"/>
      <c r="U81" s="2050"/>
      <c r="V81" s="2050"/>
      <c r="W81" s="2050"/>
      <c r="X81" s="2050"/>
      <c r="Y81" s="2050"/>
      <c r="Z81" s="2050"/>
      <c r="AA81" s="2050"/>
      <c r="AB81" s="2050"/>
      <c r="AC81" s="2050"/>
    </row>
    <row r="82" spans="1:29" s="1292" customFormat="1" ht="15.75" thickBot="1">
      <c r="A82" s="679"/>
      <c r="B82" s="670"/>
      <c r="C82" s="684"/>
      <c r="D82" s="684"/>
      <c r="E82" s="684"/>
      <c r="F82" s="684"/>
      <c r="G82" s="684"/>
      <c r="H82" s="685"/>
      <c r="I82" s="685"/>
      <c r="J82" s="685"/>
      <c r="K82" s="685"/>
      <c r="L82" s="685"/>
      <c r="M82" s="686"/>
      <c r="N82" s="3228"/>
      <c r="O82" s="2047"/>
      <c r="P82" s="2048"/>
      <c r="Q82" s="2049"/>
      <c r="R82" s="2050"/>
      <c r="S82" s="2050"/>
      <c r="T82" s="2050"/>
      <c r="U82" s="2050"/>
      <c r="V82" s="2050"/>
      <c r="W82" s="2050"/>
      <c r="X82" s="2050"/>
      <c r="Y82" s="2050"/>
      <c r="Z82" s="2050"/>
      <c r="AA82" s="2050"/>
      <c r="AB82" s="2050"/>
      <c r="AC82" s="2050"/>
    </row>
    <row r="83" spans="1:29" s="1292" customFormat="1" ht="15.75" thickTop="1">
      <c r="A83" s="679"/>
      <c r="B83" s="673">
        <f>B16</f>
        <v>111</v>
      </c>
      <c r="C83" s="653"/>
      <c r="D83" s="653"/>
      <c r="E83" s="653"/>
      <c r="F83" s="653"/>
      <c r="G83" s="653"/>
      <c r="H83" s="687"/>
      <c r="I83" s="687"/>
      <c r="J83" s="687"/>
      <c r="K83" s="687"/>
      <c r="L83" s="688"/>
      <c r="M83" s="689"/>
      <c r="N83" s="3228"/>
      <c r="O83" s="2047"/>
      <c r="P83" s="2053"/>
      <c r="Q83" s="2049"/>
      <c r="R83" s="2050"/>
      <c r="S83" s="2050"/>
      <c r="T83" s="2050"/>
      <c r="U83" s="2050"/>
      <c r="V83" s="2050"/>
      <c r="W83" s="2050"/>
      <c r="X83" s="2050"/>
      <c r="Y83" s="2050"/>
      <c r="Z83" s="2050"/>
      <c r="AA83" s="2050"/>
      <c r="AB83" s="2050"/>
      <c r="AC83" s="2050"/>
    </row>
    <row r="84" spans="1:29" s="1292" customFormat="1" ht="15.75" thickBot="1">
      <c r="A84" s="690"/>
      <c r="B84" s="691"/>
      <c r="C84" s="692"/>
      <c r="D84" s="692"/>
      <c r="E84" s="692"/>
      <c r="F84" s="692"/>
      <c r="G84" s="692"/>
      <c r="H84" s="693"/>
      <c r="I84" s="693"/>
      <c r="J84" s="693"/>
      <c r="K84" s="693"/>
      <c r="L84" s="693"/>
      <c r="M84" s="694"/>
      <c r="N84" s="3228"/>
      <c r="O84" s="2047"/>
      <c r="P84" s="2048"/>
      <c r="Q84" s="2049"/>
      <c r="R84" s="2050"/>
      <c r="S84" s="2050"/>
      <c r="T84" s="2050"/>
      <c r="U84" s="2050"/>
      <c r="V84" s="2050"/>
      <c r="W84" s="2050"/>
      <c r="X84" s="2050"/>
      <c r="Y84" s="2050"/>
      <c r="Z84" s="2050"/>
      <c r="AA84" s="2050"/>
      <c r="AB84" s="2050"/>
      <c r="AC84" s="2050"/>
    </row>
    <row r="85" spans="1:29">
      <c r="A85" s="656" t="s">
        <v>533</v>
      </c>
      <c r="B85" s="657" t="s">
        <v>596</v>
      </c>
      <c r="C85" s="695" t="s">
        <v>573</v>
      </c>
      <c r="D85" s="695" t="s">
        <v>574</v>
      </c>
      <c r="E85" s="695" t="s">
        <v>575</v>
      </c>
      <c r="F85" s="695" t="s">
        <v>576</v>
      </c>
      <c r="G85" s="695" t="s">
        <v>577</v>
      </c>
      <c r="H85" s="696"/>
      <c r="I85" s="696"/>
      <c r="J85" s="696"/>
      <c r="K85" s="697"/>
      <c r="L85" s="698"/>
      <c r="M85" s="699"/>
      <c r="N85" s="3226"/>
      <c r="O85" s="2044"/>
      <c r="P85" s="2054"/>
      <c r="Q85" s="2038"/>
      <c r="R85" s="2026"/>
      <c r="S85" s="2026"/>
      <c r="T85" s="2026"/>
      <c r="U85" s="2026"/>
      <c r="V85" s="2026"/>
      <c r="W85" s="2026"/>
      <c r="X85" s="2026"/>
      <c r="Y85" s="2026"/>
      <c r="Z85" s="2026"/>
      <c r="AA85" s="2026"/>
      <c r="AB85" s="2026"/>
      <c r="AC85" s="2026"/>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7"/>
      <c r="O86" s="2046"/>
      <c r="P86" s="2045"/>
      <c r="Q86" s="2038"/>
      <c r="R86" s="2026"/>
      <c r="S86" s="2026"/>
      <c r="T86" s="2026"/>
      <c r="U86" s="2026"/>
      <c r="V86" s="2026"/>
      <c r="W86" s="2026"/>
      <c r="X86" s="2026"/>
      <c r="Y86" s="2026"/>
      <c r="Z86" s="2026"/>
      <c r="AA86" s="2026"/>
      <c r="AB86" s="2026"/>
      <c r="AC86" s="2026"/>
    </row>
    <row r="87" spans="1:29" ht="15.75" thickTop="1">
      <c r="A87" s="661"/>
      <c r="B87" s="665" t="s">
        <v>580</v>
      </c>
      <c r="C87" s="700" t="s">
        <v>573</v>
      </c>
      <c r="D87" s="700" t="s">
        <v>574</v>
      </c>
      <c r="E87" s="700" t="s">
        <v>575</v>
      </c>
      <c r="F87" s="700" t="s">
        <v>576</v>
      </c>
      <c r="G87" s="700" t="s">
        <v>577</v>
      </c>
      <c r="H87" s="666"/>
      <c r="I87" s="666"/>
      <c r="J87" s="666"/>
      <c r="K87" s="667"/>
      <c r="L87" s="668"/>
      <c r="M87" s="669"/>
      <c r="N87" s="3226"/>
      <c r="O87" s="2044"/>
      <c r="P87" s="2045"/>
      <c r="Q87" s="2038"/>
      <c r="R87" s="2026"/>
      <c r="S87" s="2026"/>
      <c r="T87" s="2026"/>
      <c r="U87" s="2026"/>
      <c r="V87" s="2026"/>
      <c r="W87" s="2026"/>
      <c r="X87" s="2026"/>
      <c r="Y87" s="2026"/>
      <c r="Z87" s="2026"/>
      <c r="AA87" s="2026"/>
      <c r="AB87" s="2026"/>
      <c r="AC87" s="2026"/>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7"/>
      <c r="O88" s="2046"/>
      <c r="P88" s="2045"/>
      <c r="Q88" s="2038"/>
      <c r="R88" s="2026"/>
      <c r="S88" s="2026"/>
      <c r="T88" s="2026"/>
      <c r="U88" s="2026"/>
      <c r="V88" s="2026"/>
      <c r="W88" s="2026"/>
      <c r="X88" s="2026"/>
      <c r="Y88" s="2026"/>
      <c r="Z88" s="2026"/>
      <c r="AA88" s="2026"/>
      <c r="AB88" s="2026"/>
      <c r="AC88" s="2026"/>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5"/>
      <c r="O89" s="2042"/>
      <c r="P89" s="2045"/>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27"/>
      <c r="O90" s="2046"/>
      <c r="P90" s="2045"/>
      <c r="Q90" s="2038"/>
      <c r="R90" s="1904"/>
      <c r="S90" s="1904"/>
      <c r="T90" s="1904"/>
      <c r="U90" s="1904"/>
      <c r="V90" s="1904"/>
      <c r="W90" s="1904"/>
      <c r="X90" s="1904"/>
      <c r="Y90" s="1904"/>
      <c r="Z90" s="1904"/>
      <c r="AA90" s="1904"/>
      <c r="AB90" s="1904"/>
      <c r="AC90" s="1904"/>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5"/>
      <c r="O91" s="2042"/>
      <c r="P91" s="2045"/>
      <c r="Q91" s="2038"/>
      <c r="R91" s="1904"/>
      <c r="S91" s="1904"/>
      <c r="T91" s="1904"/>
      <c r="U91" s="1904"/>
      <c r="V91" s="1904"/>
      <c r="W91" s="1904"/>
      <c r="X91" s="1904"/>
      <c r="Y91" s="1904"/>
      <c r="Z91" s="1904"/>
      <c r="AA91" s="1904"/>
      <c r="AB91" s="1904"/>
      <c r="AC91" s="1904"/>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27"/>
      <c r="O92" s="2046"/>
      <c r="P92" s="2045"/>
      <c r="Q92" s="2038"/>
      <c r="R92" s="1904"/>
      <c r="S92" s="1904"/>
      <c r="T92" s="1904"/>
      <c r="U92" s="1904"/>
      <c r="V92" s="1904"/>
      <c r="W92" s="1904"/>
      <c r="X92" s="1904"/>
      <c r="Y92" s="1904"/>
      <c r="Z92" s="1904"/>
      <c r="AA92" s="1904"/>
      <c r="AB92" s="1904"/>
      <c r="AC92" s="1904"/>
    </row>
    <row r="93" spans="1:29" s="1292" customFormat="1" ht="15.75" thickTop="1">
      <c r="A93" s="679"/>
      <c r="B93" s="1809" t="s">
        <v>2529</v>
      </c>
      <c r="C93" s="695" t="s">
        <v>573</v>
      </c>
      <c r="D93" s="695" t="s">
        <v>574</v>
      </c>
      <c r="E93" s="695" t="s">
        <v>575</v>
      </c>
      <c r="F93" s="695" t="s">
        <v>576</v>
      </c>
      <c r="G93" s="695" t="s">
        <v>577</v>
      </c>
      <c r="H93" s="705"/>
      <c r="I93" s="705"/>
      <c r="J93" s="705"/>
      <c r="K93" s="705"/>
      <c r="L93" s="706"/>
      <c r="M93" s="707"/>
      <c r="N93" s="3228"/>
      <c r="O93" s="2047"/>
      <c r="P93" s="2048"/>
      <c r="Q93" s="2049"/>
      <c r="R93" s="2050"/>
      <c r="S93" s="2050"/>
      <c r="T93" s="2050"/>
      <c r="U93" s="2050"/>
      <c r="V93" s="2050"/>
      <c r="W93" s="2050"/>
      <c r="X93" s="2050"/>
      <c r="Y93" s="2050"/>
      <c r="Z93" s="2050"/>
      <c r="AA93" s="2050"/>
      <c r="AB93" s="2050"/>
      <c r="AC93" s="2050"/>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28"/>
      <c r="O94" s="2047"/>
      <c r="P94" s="2048"/>
      <c r="Q94" s="2049"/>
      <c r="R94" s="2050"/>
      <c r="S94" s="2050"/>
      <c r="T94" s="2050"/>
      <c r="U94" s="2050"/>
      <c r="V94" s="2050"/>
      <c r="W94" s="2050"/>
      <c r="X94" s="2050"/>
      <c r="Y94" s="2050"/>
      <c r="Z94" s="2050"/>
      <c r="AA94" s="2050"/>
      <c r="AB94" s="2050"/>
      <c r="AC94" s="2050"/>
    </row>
    <row r="95" spans="1:29" s="1292" customFormat="1" ht="15.75" thickTop="1">
      <c r="A95" s="679"/>
      <c r="B95" s="2440" t="s">
        <v>2531</v>
      </c>
      <c r="C95" s="2441" t="s">
        <v>2532</v>
      </c>
      <c r="D95" s="2441" t="s">
        <v>2533</v>
      </c>
      <c r="E95" s="2441" t="s">
        <v>2534</v>
      </c>
      <c r="F95" s="2441" t="s">
        <v>2535</v>
      </c>
      <c r="G95" s="2441" t="s">
        <v>2536</v>
      </c>
      <c r="H95" s="705"/>
      <c r="I95" s="705"/>
      <c r="J95" s="705"/>
      <c r="K95" s="705"/>
      <c r="L95" s="705"/>
      <c r="M95" s="707"/>
      <c r="N95" s="3228"/>
      <c r="O95" s="2047"/>
      <c r="P95" s="2048"/>
      <c r="Q95" s="2049"/>
      <c r="R95" s="2050"/>
      <c r="S95" s="2050"/>
      <c r="T95" s="2050"/>
      <c r="U95" s="2050"/>
      <c r="V95" s="2050"/>
      <c r="W95" s="2050"/>
      <c r="X95" s="2050"/>
      <c r="Y95" s="2050"/>
      <c r="Z95" s="2050"/>
      <c r="AA95" s="2050"/>
      <c r="AB95" s="2050"/>
      <c r="AC95" s="2050"/>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3"/>
      <c r="N96" s="3228"/>
      <c r="O96" s="2047"/>
      <c r="P96" s="2048"/>
      <c r="Q96" s="2049"/>
      <c r="R96" s="2050"/>
      <c r="S96" s="2050"/>
      <c r="T96" s="2050"/>
      <c r="U96" s="2050"/>
      <c r="V96" s="2050"/>
      <c r="W96" s="2050"/>
      <c r="X96" s="2050"/>
      <c r="Y96" s="2050"/>
      <c r="Z96" s="2050"/>
      <c r="AA96" s="2050"/>
      <c r="AB96" s="2050"/>
      <c r="AC96" s="2050"/>
    </row>
    <row r="97" spans="1:29" ht="15.75" thickTop="1">
      <c r="A97" s="661"/>
      <c r="B97" s="665" t="str">
        <f>B29</f>
        <v>临街状况</v>
      </c>
      <c r="C97" s="666" t="s">
        <v>583</v>
      </c>
      <c r="D97" s="666" t="s">
        <v>584</v>
      </c>
      <c r="E97" s="666" t="s">
        <v>585</v>
      </c>
      <c r="F97" s="666" t="s">
        <v>586</v>
      </c>
      <c r="G97" s="666"/>
      <c r="H97" s="666"/>
      <c r="I97" s="666"/>
      <c r="J97" s="666"/>
      <c r="K97" s="667"/>
      <c r="L97" s="668"/>
      <c r="M97" s="669"/>
      <c r="N97" s="3226"/>
      <c r="O97" s="2044"/>
      <c r="P97" s="2045"/>
      <c r="Q97" s="2038"/>
      <c r="R97" s="2026"/>
      <c r="S97" s="2026"/>
      <c r="T97" s="2026"/>
      <c r="U97" s="2026"/>
      <c r="V97" s="2026"/>
      <c r="W97" s="2026"/>
      <c r="X97" s="2026"/>
      <c r="Y97" s="2026"/>
      <c r="Z97" s="2026"/>
      <c r="AA97" s="2026"/>
      <c r="AB97" s="2026"/>
      <c r="AC97" s="2026"/>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7"/>
      <c r="O98" s="2046"/>
      <c r="P98" s="2045"/>
      <c r="Q98" s="2038"/>
      <c r="R98" s="2026"/>
      <c r="S98" s="2026"/>
      <c r="T98" s="2026"/>
      <c r="U98" s="2026"/>
      <c r="V98" s="2026"/>
      <c r="W98" s="2026"/>
      <c r="X98" s="2026"/>
      <c r="Y98" s="2026"/>
      <c r="Z98" s="2026"/>
      <c r="AA98" s="2026"/>
      <c r="AB98" s="2026"/>
      <c r="AC98" s="2026"/>
    </row>
    <row r="99" spans="1:29" ht="27.75" thickTop="1">
      <c r="A99" s="661"/>
      <c r="B99" s="665" t="s">
        <v>542</v>
      </c>
      <c r="C99" s="680"/>
      <c r="D99" s="680"/>
      <c r="E99" s="680"/>
      <c r="F99" s="680"/>
      <c r="G99" s="680"/>
      <c r="H99" s="710"/>
      <c r="I99" s="710"/>
      <c r="J99" s="710"/>
      <c r="K99" s="711"/>
      <c r="L99" s="712"/>
      <c r="M99" s="713"/>
      <c r="N99" s="3226"/>
      <c r="O99" s="2044"/>
      <c r="P99" s="2045"/>
      <c r="Q99" s="2038"/>
      <c r="R99" s="2026"/>
      <c r="S99" s="2026"/>
      <c r="T99" s="2026"/>
      <c r="U99" s="2026"/>
      <c r="V99" s="2026"/>
      <c r="W99" s="2026"/>
      <c r="X99" s="2026"/>
      <c r="Y99" s="2026"/>
      <c r="Z99" s="2026"/>
      <c r="AA99" s="2026"/>
      <c r="AB99" s="2026"/>
      <c r="AC99" s="2026"/>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7"/>
      <c r="O100" s="2046"/>
      <c r="P100" s="2045"/>
      <c r="Q100" s="2038"/>
      <c r="R100" s="2026"/>
      <c r="S100" s="2026"/>
      <c r="T100" s="2026"/>
      <c r="U100" s="2026"/>
      <c r="V100" s="2026"/>
      <c r="W100" s="2026"/>
      <c r="X100" s="2026"/>
      <c r="Y100" s="2026"/>
      <c r="Z100" s="2026"/>
      <c r="AA100" s="2026"/>
      <c r="AB100" s="2026"/>
      <c r="AC100" s="2026"/>
    </row>
    <row r="101" spans="1:29" ht="15.75" thickTop="1">
      <c r="A101" s="661"/>
      <c r="B101" s="665" t="s">
        <v>543</v>
      </c>
      <c r="C101" s="710"/>
      <c r="D101" s="710"/>
      <c r="E101" s="710"/>
      <c r="F101" s="710"/>
      <c r="G101" s="710"/>
      <c r="H101" s="710"/>
      <c r="I101" s="710"/>
      <c r="J101" s="710"/>
      <c r="K101" s="711"/>
      <c r="L101" s="712"/>
      <c r="M101" s="713"/>
      <c r="N101" s="3226"/>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7"/>
      <c r="O102" s="2046"/>
      <c r="P102" s="2045"/>
      <c r="Q102" s="2038"/>
      <c r="R102" s="2026"/>
      <c r="S102" s="2026"/>
      <c r="T102" s="2026"/>
      <c r="U102" s="2026"/>
      <c r="V102" s="2026"/>
      <c r="W102" s="2026"/>
      <c r="X102" s="2026"/>
      <c r="Y102" s="2026"/>
      <c r="Z102" s="2026"/>
      <c r="AA102" s="2026"/>
      <c r="AB102" s="2026"/>
      <c r="AC102" s="2026"/>
    </row>
    <row r="103" spans="1:29" ht="15.75" thickTop="1">
      <c r="A103" s="661"/>
      <c r="B103" s="673">
        <f>B33</f>
        <v>111</v>
      </c>
      <c r="C103" s="680"/>
      <c r="D103" s="680"/>
      <c r="E103" s="680"/>
      <c r="F103" s="680"/>
      <c r="G103" s="714"/>
      <c r="H103" s="714"/>
      <c r="I103" s="714"/>
      <c r="J103" s="714"/>
      <c r="K103" s="715"/>
      <c r="L103" s="716"/>
      <c r="M103" s="717"/>
      <c r="N103" s="3226"/>
      <c r="O103" s="2044"/>
      <c r="P103" s="2045"/>
      <c r="Q103" s="2038"/>
      <c r="R103" s="2026"/>
      <c r="S103" s="2026"/>
      <c r="T103" s="2026"/>
      <c r="U103" s="2026"/>
      <c r="V103" s="2026"/>
      <c r="W103" s="2026"/>
      <c r="X103" s="2026"/>
      <c r="Y103" s="2026"/>
      <c r="Z103" s="2026"/>
      <c r="AA103" s="2026"/>
      <c r="AB103" s="2026"/>
      <c r="AC103" s="2026"/>
    </row>
    <row r="104" spans="1:29" ht="15.75" thickBot="1">
      <c r="A104" s="661"/>
      <c r="B104" s="691"/>
      <c r="C104" s="684"/>
      <c r="D104" s="663"/>
      <c r="E104" s="663"/>
      <c r="F104" s="663"/>
      <c r="G104" s="718"/>
      <c r="H104" s="718"/>
      <c r="I104" s="718"/>
      <c r="J104" s="718"/>
      <c r="K104" s="718"/>
      <c r="L104" s="718"/>
      <c r="M104" s="719"/>
      <c r="N104" s="3227"/>
      <c r="O104" s="2046"/>
      <c r="P104" s="2045"/>
      <c r="Q104" s="2038"/>
      <c r="R104" s="2026"/>
      <c r="S104" s="2026"/>
      <c r="T104" s="2026"/>
      <c r="U104" s="2026"/>
      <c r="V104" s="2026"/>
      <c r="W104" s="2026"/>
      <c r="X104" s="2026"/>
      <c r="Y104" s="2026"/>
      <c r="Z104" s="2026"/>
      <c r="AA104" s="2026"/>
      <c r="AB104" s="2026"/>
      <c r="AC104" s="2026"/>
    </row>
    <row r="105" spans="1:29" ht="15" thickTop="1">
      <c r="A105" s="581"/>
      <c r="B105" s="665">
        <f>B34</f>
        <v>111</v>
      </c>
      <c r="C105" s="680"/>
      <c r="D105" s="680"/>
      <c r="E105" s="680"/>
      <c r="F105" s="680"/>
      <c r="G105" s="710"/>
      <c r="H105" s="710"/>
      <c r="I105" s="710"/>
      <c r="J105" s="710"/>
      <c r="K105" s="711"/>
      <c r="L105" s="712"/>
      <c r="M105" s="713"/>
      <c r="N105" s="3226"/>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84"/>
      <c r="D106" s="684"/>
      <c r="E106" s="684"/>
      <c r="F106" s="684"/>
      <c r="G106" s="663"/>
      <c r="H106" s="663"/>
      <c r="I106" s="663"/>
      <c r="J106" s="663"/>
      <c r="K106" s="663"/>
      <c r="L106" s="663"/>
      <c r="M106" s="664"/>
      <c r="N106" s="3227"/>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20"/>
      <c r="B107" s="721">
        <f>B35</f>
        <v>111</v>
      </c>
      <c r="C107" s="653"/>
      <c r="D107" s="653"/>
      <c r="E107" s="653"/>
      <c r="F107" s="653"/>
      <c r="G107" s="722"/>
      <c r="H107" s="722"/>
      <c r="I107" s="722"/>
      <c r="J107" s="723"/>
      <c r="K107" s="723"/>
      <c r="L107" s="724"/>
      <c r="M107" s="725"/>
      <c r="N107" s="3228"/>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9"/>
      <c r="B108" s="673"/>
      <c r="C108" s="692"/>
      <c r="D108" s="692"/>
      <c r="E108" s="692"/>
      <c r="F108" s="692"/>
      <c r="G108" s="586"/>
      <c r="H108" s="586"/>
      <c r="I108" s="586"/>
      <c r="J108" s="586"/>
      <c r="K108" s="586"/>
      <c r="L108" s="586"/>
      <c r="M108" s="726"/>
      <c r="N108" s="3227"/>
      <c r="O108" s="2046"/>
      <c r="P108" s="2048"/>
      <c r="Q108" s="2049"/>
      <c r="R108" s="2050"/>
      <c r="S108" s="2050"/>
      <c r="T108" s="2050"/>
      <c r="U108" s="2050"/>
      <c r="V108" s="2050"/>
      <c r="W108" s="2050"/>
      <c r="X108" s="2050"/>
      <c r="Y108" s="2050"/>
      <c r="Z108" s="2050"/>
      <c r="AA108" s="2050"/>
      <c r="AB108" s="2050"/>
      <c r="AC108" s="2050"/>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6"/>
      <c r="O109" s="2044"/>
      <c r="P109" s="2045"/>
      <c r="Q109" s="2038"/>
      <c r="R109" s="2026"/>
      <c r="S109" s="2026"/>
      <c r="T109" s="2026"/>
      <c r="U109" s="2026"/>
      <c r="V109" s="2026"/>
      <c r="W109" s="2026"/>
      <c r="X109" s="2026"/>
      <c r="Y109" s="2026"/>
      <c r="Z109" s="2026"/>
      <c r="AA109" s="2026"/>
      <c r="AB109" s="2026"/>
      <c r="AC109" s="2026"/>
    </row>
    <row r="110" spans="1:29" ht="15">
      <c r="A110" s="661"/>
      <c r="B110" s="673"/>
      <c r="C110" s="722"/>
      <c r="D110" s="722"/>
      <c r="E110" s="722"/>
      <c r="F110" s="722"/>
      <c r="G110" s="722"/>
      <c r="H110" s="722"/>
      <c r="I110" s="722"/>
      <c r="J110" s="723"/>
      <c r="K110" s="723"/>
      <c r="L110" s="724"/>
      <c r="M110" s="725"/>
      <c r="N110" s="3226"/>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92"/>
      <c r="D111" s="718"/>
      <c r="E111" s="718"/>
      <c r="F111" s="718"/>
      <c r="G111" s="718"/>
      <c r="H111" s="718"/>
      <c r="I111" s="718"/>
      <c r="J111" s="718"/>
      <c r="K111" s="718"/>
      <c r="L111" s="718"/>
      <c r="M111" s="719"/>
      <c r="N111" s="3227"/>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6"/>
      <c r="O112" s="2044"/>
      <c r="P112" s="2045"/>
      <c r="Q112" s="2038"/>
      <c r="R112" s="2026"/>
      <c r="S112" s="2026"/>
      <c r="T112" s="2026"/>
      <c r="U112" s="2026"/>
      <c r="V112" s="2026"/>
      <c r="W112" s="2026"/>
      <c r="X112" s="2026"/>
      <c r="Y112" s="2026"/>
      <c r="Z112" s="2026"/>
      <c r="AA112" s="2026"/>
      <c r="AB112" s="2026"/>
      <c r="AC112" s="2026"/>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7"/>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8"/>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8"/>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6"/>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7"/>
      <c r="O117" s="2046"/>
      <c r="P117" s="2045"/>
      <c r="Q117" s="2038"/>
      <c r="R117" s="2026"/>
      <c r="S117" s="2026"/>
      <c r="T117" s="2026"/>
      <c r="U117" s="2026"/>
      <c r="V117" s="2026"/>
      <c r="W117" s="2026"/>
      <c r="X117" s="2026"/>
      <c r="Y117" s="2026"/>
      <c r="Z117" s="2026"/>
      <c r="AA117" s="2026"/>
      <c r="AB117" s="2026"/>
      <c r="AC117" s="2026"/>
    </row>
    <row r="118" spans="1:29" ht="15" thickTop="1">
      <c r="A118" s="727"/>
      <c r="B118" s="665">
        <f>B40</f>
        <v>111</v>
      </c>
      <c r="C118" s="680"/>
      <c r="D118" s="680"/>
      <c r="E118" s="680"/>
      <c r="F118" s="680"/>
      <c r="G118" s="680"/>
      <c r="H118" s="710"/>
      <c r="I118" s="710"/>
      <c r="J118" s="710"/>
      <c r="K118" s="711"/>
      <c r="L118" s="712"/>
      <c r="M118" s="713"/>
      <c r="N118" s="3226"/>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3227"/>
      <c r="O119" s="2046"/>
      <c r="P119" s="2045"/>
      <c r="Q119" s="2038"/>
      <c r="R119" s="2026"/>
      <c r="S119" s="2026"/>
      <c r="T119" s="2026"/>
      <c r="U119" s="2026"/>
      <c r="V119" s="2026"/>
      <c r="W119" s="2026"/>
      <c r="X119" s="2026"/>
      <c r="Y119" s="2026"/>
      <c r="Z119" s="2026"/>
      <c r="AA119" s="2026"/>
      <c r="AB119" s="2026"/>
      <c r="AC119" s="2026"/>
    </row>
    <row r="120" spans="1:29" ht="15" thickTop="1">
      <c r="A120" s="727"/>
      <c r="B120" s="665">
        <f>B41</f>
        <v>111</v>
      </c>
      <c r="C120" s="680"/>
      <c r="D120" s="680"/>
      <c r="E120" s="680"/>
      <c r="F120" s="680"/>
      <c r="G120" s="710"/>
      <c r="H120" s="710"/>
      <c r="I120" s="710"/>
      <c r="J120" s="710"/>
      <c r="K120" s="711"/>
      <c r="L120" s="712"/>
      <c r="M120" s="713"/>
      <c r="N120" s="3226"/>
      <c r="O120" s="2044"/>
      <c r="P120" s="2045"/>
      <c r="Q120" s="2038"/>
      <c r="R120" s="2026"/>
      <c r="S120" s="2026"/>
      <c r="T120" s="2026"/>
      <c r="U120" s="2026"/>
      <c r="V120" s="2026"/>
      <c r="W120" s="2026"/>
      <c r="X120" s="2026"/>
      <c r="Y120" s="2026"/>
      <c r="Z120" s="2026"/>
      <c r="AA120" s="2026"/>
      <c r="AB120" s="2026"/>
      <c r="AC120" s="2026"/>
    </row>
    <row r="121" spans="1:29" ht="15.75" thickBot="1">
      <c r="A121" s="661"/>
      <c r="B121" s="670"/>
      <c r="C121" s="684"/>
      <c r="D121" s="684"/>
      <c r="E121" s="684"/>
      <c r="F121" s="684"/>
      <c r="G121" s="663"/>
      <c r="H121" s="663"/>
      <c r="I121" s="663"/>
      <c r="J121" s="663"/>
      <c r="K121" s="663"/>
      <c r="L121" s="663"/>
      <c r="M121" s="664"/>
      <c r="N121" s="3227"/>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20"/>
      <c r="B122" s="665">
        <f>B42</f>
        <v>111</v>
      </c>
      <c r="C122" s="653"/>
      <c r="D122" s="653"/>
      <c r="E122" s="653"/>
      <c r="F122" s="653"/>
      <c r="G122" s="681"/>
      <c r="H122" s="681"/>
      <c r="I122" s="681"/>
      <c r="J122" s="681"/>
      <c r="K122" s="681"/>
      <c r="L122" s="682"/>
      <c r="M122" s="683"/>
      <c r="N122" s="3228"/>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90"/>
      <c r="B123" s="728"/>
      <c r="C123" s="692"/>
      <c r="D123" s="692"/>
      <c r="E123" s="692"/>
      <c r="F123" s="692"/>
      <c r="G123" s="718"/>
      <c r="H123" s="718"/>
      <c r="I123" s="718"/>
      <c r="J123" s="718"/>
      <c r="K123" s="718"/>
      <c r="L123" s="718"/>
      <c r="M123" s="719"/>
      <c r="N123" s="3228"/>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87" priority="18" stopIfTrue="1" operator="containsText" text="超过">
      <formula>NOT(ISERROR(SEARCH("超过",F48)))</formula>
    </cfRule>
  </conditionalFormatting>
  <conditionalFormatting sqref="J50">
    <cfRule type="containsText" dxfId="186" priority="17" stopIfTrue="1" operator="containsText" text="超过">
      <formula>NOT(ISERROR(SEARCH("超过",J50)))</formula>
    </cfRule>
  </conditionalFormatting>
  <conditionalFormatting sqref="H50">
    <cfRule type="containsText" dxfId="185" priority="16" stopIfTrue="1" operator="containsText" text="超过">
      <formula>NOT(ISERROR(SEARCH("超过",H50)))</formula>
    </cfRule>
  </conditionalFormatting>
  <conditionalFormatting sqref="F50">
    <cfRule type="containsText" dxfId="184" priority="15" stopIfTrue="1" operator="containsText" text="超过">
      <formula>NOT(ISERROR(SEARCH("超过",F50)))</formula>
    </cfRule>
  </conditionalFormatting>
  <conditionalFormatting sqref="F49 H49 J49">
    <cfRule type="containsText" dxfId="183" priority="14" stopIfTrue="1" operator="containsText" text="超过">
      <formula>NOT(ISERROR(SEARCH("超过",F49)))</formula>
    </cfRule>
  </conditionalFormatting>
  <conditionalFormatting sqref="E48">
    <cfRule type="expression" dxfId="182" priority="13" stopIfTrue="1">
      <formula>$F$48="超过30%"</formula>
    </cfRule>
  </conditionalFormatting>
  <conditionalFormatting sqref="G50">
    <cfRule type="expression" dxfId="181" priority="12" stopIfTrue="1">
      <formula>$H$50="超过30%"</formula>
    </cfRule>
  </conditionalFormatting>
  <conditionalFormatting sqref="E50">
    <cfRule type="expression" dxfId="180" priority="10" stopIfTrue="1">
      <formula>$F$50="超过30%"</formula>
    </cfRule>
  </conditionalFormatting>
  <conditionalFormatting sqref="G48">
    <cfRule type="expression" dxfId="179" priority="9" stopIfTrue="1">
      <formula>$H$48="超过30%"</formula>
    </cfRule>
  </conditionalFormatting>
  <conditionalFormatting sqref="G49">
    <cfRule type="expression" dxfId="178" priority="8" stopIfTrue="1">
      <formula>$H$49="超过20%"</formula>
    </cfRule>
  </conditionalFormatting>
  <conditionalFormatting sqref="I48">
    <cfRule type="expression" dxfId="177" priority="7" stopIfTrue="1">
      <formula>$J$48="超过30%"</formula>
    </cfRule>
  </conditionalFormatting>
  <conditionalFormatting sqref="I49">
    <cfRule type="expression" dxfId="176" priority="6" stopIfTrue="1">
      <formula>$J$49="超过20%"</formula>
    </cfRule>
  </conditionalFormatting>
  <conditionalFormatting sqref="I50">
    <cfRule type="expression" dxfId="175" priority="5" stopIfTrue="1">
      <formula>$J$50="超过30%"</formula>
    </cfRule>
  </conditionalFormatting>
  <conditionalFormatting sqref="E49">
    <cfRule type="expression" dxfId="174" priority="51" stopIfTrue="1">
      <formula>#REF!+$F$49="超过20%"</formula>
    </cfRule>
  </conditionalFormatting>
  <conditionalFormatting sqref="F44">
    <cfRule type="expression" dxfId="173" priority="4">
      <formula>$D$44="简单平均"</formula>
    </cfRule>
  </conditionalFormatting>
  <conditionalFormatting sqref="H44">
    <cfRule type="expression" dxfId="172" priority="3">
      <formula>$D$44="简单平均"</formula>
    </cfRule>
  </conditionalFormatting>
  <conditionalFormatting sqref="J44">
    <cfRule type="expression" dxfId="171" priority="2">
      <formula>$D$44="简单平均"</formula>
    </cfRule>
  </conditionalFormatting>
  <conditionalFormatting sqref="F9:F42 H9:H42 J9:J42">
    <cfRule type="cellIs" dxfId="17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625" style="1583" customWidth="1"/>
    <col min="3" max="4" width="11.625" style="1583" customWidth="1"/>
    <col min="5" max="5" width="6.625" style="1583" customWidth="1"/>
    <col min="6" max="16384" width="9" style="1583"/>
  </cols>
  <sheetData>
    <row r="36" spans="1:9">
      <c r="A36" s="1582" t="s">
        <v>1891</v>
      </c>
      <c r="B36" s="1582" t="s">
        <v>1892</v>
      </c>
    </row>
    <row r="37" spans="1:9" ht="28.5" customHeight="1">
      <c r="A37" s="1582"/>
      <c r="B37" s="3343" t="str">
        <f>项目基本情况!B1</f>
        <v>河北省出让国有建设用地使用权市场价格预评估</v>
      </c>
      <c r="C37" s="3343"/>
      <c r="D37" s="3343"/>
      <c r="E37" s="3343"/>
      <c r="F37" s="3343"/>
      <c r="G37" s="3343"/>
      <c r="H37" s="3343"/>
      <c r="I37" s="3343"/>
    </row>
    <row r="38" spans="1:9">
      <c r="A38" s="1584"/>
      <c r="B38" s="1584"/>
    </row>
    <row r="39" spans="1:9">
      <c r="A39" s="1582" t="s">
        <v>1891</v>
      </c>
      <c r="B39" s="1582" t="s">
        <v>2034</v>
      </c>
    </row>
    <row r="40" spans="1:9">
      <c r="A40" s="1582"/>
      <c r="B40" s="1582">
        <f>项目基本情况!B5</f>
        <v>0</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ht="12.75">
      <c r="B46" s="1582" t="str">
        <f>项目基本情况!K4</f>
        <v>土地估价师、土地估价师</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I3" sqref="I3"/>
    </sheetView>
  </sheetViews>
  <sheetFormatPr defaultColWidth="12" defaultRowHeight="12"/>
  <cols>
    <col min="1" max="1" width="9.625" style="1352" customWidth="1"/>
    <col min="2" max="2" width="20.875" style="1467" customWidth="1"/>
    <col min="3" max="4" width="12" style="1353"/>
    <col min="5" max="5" width="14.625" style="1353" customWidth="1"/>
    <col min="6" max="8" width="12" style="1353"/>
    <col min="9" max="9" width="12.1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1684</v>
      </c>
      <c r="B1" s="1348"/>
      <c r="C1" s="1354" t="s">
        <v>2410</v>
      </c>
      <c r="D1" s="1460">
        <f>SUM(D29:D30,D33:D39)</f>
        <v>0</v>
      </c>
      <c r="E1" s="1354" t="s">
        <v>2411</v>
      </c>
      <c r="F1" s="2306"/>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2" t="s">
        <v>2741</v>
      </c>
      <c r="S1" s="2652" t="s">
        <v>2742</v>
      </c>
      <c r="T1" s="2652" t="s">
        <v>2763</v>
      </c>
      <c r="U1" s="2652" t="s">
        <v>2764</v>
      </c>
      <c r="V1" s="2652" t="s">
        <v>2765</v>
      </c>
      <c r="W1" s="2069"/>
      <c r="X1" s="2069"/>
      <c r="Y1" s="2069"/>
      <c r="Z1" s="2069"/>
      <c r="AA1" s="2069"/>
      <c r="AB1" s="2069"/>
      <c r="AC1" s="2070"/>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29"/>
      <c r="L2" s="1798" t="s">
        <v>2227</v>
      </c>
      <c r="M2" s="1799">
        <f>SUMPRODUCT((区片价!B10:B28=I2)*(区片价!C3:F3=E2)*(区片价!C10:F28))</f>
        <v>0</v>
      </c>
      <c r="N2" s="1800">
        <f>SUMPRODUCT((因素修正幅度!B10:B28=I2)*(因素修正幅度!C3:F3=E2)*(因素修正幅度!C10:F28))</f>
        <v>0</v>
      </c>
      <c r="O2" s="3229"/>
      <c r="P2" s="2069"/>
      <c r="Q2" s="2069"/>
      <c r="R2" s="2653">
        <v>1</v>
      </c>
      <c r="S2" s="2653">
        <f>ROUND(IF(G3&gt;1,IF(R2&lt;7,SUMPRODUCT((B93:B98=R2)*(C92:N92=G2)*(C93:N98)),SUMIF(C92:N92,G2,C100:N100)),IF(R2&lt;7,SUMPRODUCT((B102:B107=R2)*(C92:N92=G2)*(C102:N107)),SUMIF(C92:N92,G2,C109:N109))),4)</f>
        <v>0</v>
      </c>
      <c r="T2" s="2653" t="e">
        <f>ROUND($C$5*$C$18*$C$19*$C$20*S2*$C$24,0)</f>
        <v>#DIV/0!</v>
      </c>
      <c r="U2" s="2642"/>
      <c r="V2" s="2653" t="e">
        <f>ROUND(T2*U2/10000,0)</f>
        <v>#DIV/0!</v>
      </c>
      <c r="W2" s="2069"/>
      <c r="X2" s="2069"/>
      <c r="Y2" s="2069"/>
      <c r="Z2" s="2069"/>
      <c r="AA2" s="2069"/>
      <c r="AB2" s="2069"/>
      <c r="AC2" s="2070"/>
    </row>
    <row r="3" spans="1:39" ht="15.75">
      <c r="A3" s="1359" t="s">
        <v>1677</v>
      </c>
      <c r="B3" s="1024" t="e">
        <f>ROUND(B2*10000/D1,0)</f>
        <v>#DIV/0!</v>
      </c>
      <c r="C3" s="1355" t="s">
        <v>918</v>
      </c>
      <c r="D3" s="1356" t="s">
        <v>919</v>
      </c>
      <c r="E3" s="1360"/>
      <c r="F3" s="1361"/>
      <c r="G3" s="1025">
        <f>IF(F3="宗地容积率",'数据-汇总表'!I4,IF(F3="估价对象容积率",'数据-汇总表'!I6,'数据-汇总表'!I7))</f>
        <v>4</v>
      </c>
      <c r="H3" s="1362" t="s">
        <v>920</v>
      </c>
      <c r="I3" s="1026"/>
      <c r="J3" s="1358" t="s">
        <v>921</v>
      </c>
      <c r="K3" s="3229"/>
      <c r="L3" s="1798" t="s">
        <v>2228</v>
      </c>
      <c r="M3" s="1799">
        <f>SUMPRODUCT((区片价!B29:B48=I2)*(区片价!C3:F3=E2)*(区片价!C29:F48))</f>
        <v>0</v>
      </c>
      <c r="N3" s="1800">
        <f>SUMPRODUCT((因素修正幅度!B29:B48=I2)*(因素修正幅度!C3:F3=E2)*(因素修正幅度!C29:F48))</f>
        <v>0</v>
      </c>
      <c r="O3" s="3229"/>
      <c r="P3" s="2069"/>
      <c r="Q3" s="2069"/>
      <c r="R3" s="2653">
        <v>2</v>
      </c>
      <c r="S3" s="2653">
        <f>ROUND(IF(G3&gt;1,IF(R3&lt;7,SUMPRODUCT((B93:B98=R3)*(C92:N92=G2)*(C93:N98)),SUMIF(C92:N92,G2,C100:N100)),IF(R3&lt;7,SUMPRODUCT((B102:B107=R3)*(C92:N92=G2)*(C102:N107)),SUMIF(C92:N92,G2,C109:N109))),4)</f>
        <v>0</v>
      </c>
      <c r="T3" s="2653" t="e">
        <f t="shared" ref="T3:T16" si="0">ROUND($C$5*$C$18*$C$19*$C$20*S3*$C$24,0)</f>
        <v>#DIV/0!</v>
      </c>
      <c r="U3" s="2642"/>
      <c r="V3" s="2653" t="e">
        <f t="shared" ref="V3:V16" si="1">ROUND(T3*U3/10000,0)</f>
        <v>#DIV/0!</v>
      </c>
      <c r="W3" s="2069"/>
      <c r="X3" s="2069"/>
      <c r="Y3" s="2069"/>
      <c r="Z3" s="2069"/>
      <c r="AA3" s="2069"/>
      <c r="AB3" s="2069"/>
      <c r="AC3" s="2070"/>
    </row>
    <row r="4" spans="1:39" ht="28.5">
      <c r="A4" s="1804" t="s">
        <v>2267</v>
      </c>
      <c r="B4" s="2307" t="e">
        <f>ROUND(B2*10000/F1,0)</f>
        <v>#DIV/0!</v>
      </c>
      <c r="C4" s="1807" t="s">
        <v>2242</v>
      </c>
      <c r="D4" s="1807" t="e">
        <f>ROUND(B2/(F1/666.67),0)</f>
        <v>#DIV/0!</v>
      </c>
      <c r="E4" s="1807" t="s">
        <v>2243</v>
      </c>
      <c r="F4" s="1805"/>
      <c r="G4" s="1805"/>
      <c r="H4" s="1805"/>
      <c r="I4" s="1805"/>
      <c r="J4" s="1806"/>
      <c r="K4" s="3230"/>
      <c r="L4" s="1798" t="s">
        <v>2229</v>
      </c>
      <c r="M4" s="1799">
        <f>SUMPRODUCT((区片价!B49:B75=I2)*(区片价!C3:F3=E2)*(区片价!C49:F75))</f>
        <v>0</v>
      </c>
      <c r="N4" s="1800">
        <f>SUMPRODUCT((因素修正幅度!B49:B75=I2)*(因素修正幅度!C3:F3=E2)*(因素修正幅度!C49:F75))</f>
        <v>0</v>
      </c>
      <c r="O4" s="3230"/>
      <c r="P4" s="2069"/>
      <c r="Q4" s="2069"/>
      <c r="R4" s="2653">
        <v>3</v>
      </c>
      <c r="S4" s="2653">
        <f>ROUND(IF(G3&gt;1,IF(R4&lt;7,SUMPRODUCT((B93:B98=R4)*(C92:N92=G2)*(C93:N98)),SUMIF(C92:N92,G2,C100:N100)),IF(R4&lt;7,SUMPRODUCT((B102:B107=R4)*(C92:N92=G2)*(C102:N107)),SUMIF(C92:N92,G2,C109:N109))),4)</f>
        <v>0</v>
      </c>
      <c r="T4" s="2653" t="e">
        <f t="shared" si="0"/>
        <v>#DIV/0!</v>
      </c>
      <c r="U4" s="2642"/>
      <c r="V4" s="2653" t="e">
        <f t="shared" si="1"/>
        <v>#DIV/0!</v>
      </c>
      <c r="W4" s="2069"/>
      <c r="X4" s="2069"/>
      <c r="Y4" s="2069"/>
      <c r="Z4" s="2069"/>
      <c r="AA4" s="2069"/>
      <c r="AB4" s="2069"/>
      <c r="AC4" s="2070"/>
    </row>
    <row r="5" spans="1:39" s="1369" customFormat="1" ht="15.75" thickBot="1">
      <c r="A5" s="1566" t="s">
        <v>1813</v>
      </c>
      <c r="B5" s="1363" t="s">
        <v>922</v>
      </c>
      <c r="C5" s="1027" t="e">
        <f>ROUND(IF(E2="商业",C6*C7+C16,(IF(E2="住宅",C6*C12+C16,C6+C16))),0)</f>
        <v>#DIV/0!</v>
      </c>
      <c r="D5" s="2792" t="e">
        <f>ROUND(C6+C16,0)</f>
        <v>#DIV/0!</v>
      </c>
      <c r="E5" s="2792"/>
      <c r="F5" s="1364"/>
      <c r="G5" s="1365"/>
      <c r="H5" s="1365"/>
      <c r="I5" s="1365"/>
      <c r="J5" s="1366"/>
      <c r="K5" s="3231"/>
      <c r="L5" s="1798" t="s">
        <v>2230</v>
      </c>
      <c r="M5" s="1799">
        <f>SUMPRODUCT((区片价!B76:B109=I2)*(区片价!C3:F3=E2)*(区片价!C76:F109))</f>
        <v>0</v>
      </c>
      <c r="N5" s="1800">
        <f>SUMPRODUCT((因素修正幅度!B76:B109=I2)*(因素修正幅度!C3:F3=E2)*(因素修正幅度!C76:F109))</f>
        <v>0</v>
      </c>
      <c r="O5" s="3231"/>
      <c r="P5" s="3234"/>
      <c r="Q5" s="2069"/>
      <c r="R5" s="2653">
        <v>4</v>
      </c>
      <c r="S5" s="2653">
        <f>ROUND(IF(G3&gt;1,IF(R5&lt;7,SUMPRODUCT((B93:B98=R5)*(C92:N92=G2)*(C93:N98)),SUMIF(C92:N92,G2,C100:N100)),IF(R5&lt;7,SUMPRODUCT((B102:B107=R5)*(C92:N92=G2)*(C102:N107)),SUMIF(C92:N92,G2,C109:N109))),4)</f>
        <v>0</v>
      </c>
      <c r="T5" s="2653" t="e">
        <f t="shared" si="0"/>
        <v>#DIV/0!</v>
      </c>
      <c r="U5" s="2642"/>
      <c r="V5" s="2653" t="e">
        <f t="shared" si="1"/>
        <v>#DIV/0!</v>
      </c>
      <c r="W5" s="2069"/>
      <c r="X5" s="2069"/>
      <c r="Y5" s="2069"/>
      <c r="Z5" s="2069"/>
      <c r="AA5" s="2069"/>
      <c r="AB5" s="2069"/>
      <c r="AC5" s="2071"/>
      <c r="AD5" s="1367"/>
      <c r="AE5" s="1367"/>
      <c r="AF5" s="1367"/>
      <c r="AG5" s="1367"/>
      <c r="AH5" s="1367"/>
      <c r="AI5" s="1367"/>
      <c r="AJ5" s="1368"/>
      <c r="AK5" s="1368"/>
      <c r="AL5" s="1368"/>
      <c r="AM5" s="1368"/>
    </row>
    <row r="6" spans="1:39" ht="15.75" thickBot="1">
      <c r="A6" s="1567" t="s">
        <v>1860</v>
      </c>
      <c r="B6" s="1370" t="s">
        <v>922</v>
      </c>
      <c r="C6" s="1028">
        <f>SUMIF(L1:L12,基准地价!G2,M1:M12)</f>
        <v>0</v>
      </c>
      <c r="D6" s="1371" t="s">
        <v>1685</v>
      </c>
      <c r="E6" s="1372"/>
      <c r="F6" s="1372"/>
      <c r="G6" s="1373"/>
      <c r="H6" s="1373"/>
      <c r="I6" s="1373"/>
      <c r="J6" s="1374"/>
      <c r="K6" s="3232"/>
      <c r="L6" s="1798" t="s">
        <v>2231</v>
      </c>
      <c r="M6" s="1799">
        <f>SUMPRODUCT((区片价!B110:B157=I2)*(区片价!C3:F3=E2)*(区片价!C110:F157))</f>
        <v>0</v>
      </c>
      <c r="N6" s="1800">
        <f>SUMPRODUCT((因素修正幅度!B110:B157=I2)*(因素修正幅度!C3:F3=E2)*(因素修正幅度!C110:F157))</f>
        <v>0</v>
      </c>
      <c r="O6" s="3232"/>
      <c r="P6" s="3235"/>
      <c r="Q6" s="2069"/>
      <c r="R6" s="2653">
        <v>5</v>
      </c>
      <c r="S6" s="2653">
        <f>ROUND(IF(G3&gt;1,IF(R6&lt;7,SUMPRODUCT((B93:B98=R6)*(C92:N92=G2)*(C93:N98)),SUMIF(C92:N92,G2,C100:N100)),IF(R6&lt;7,SUMPRODUCT((B102:B107=R6)*(C92:N92=G2)*(C102:N107)),SUMIF(C92:N92,G2,C109:N109))),4)</f>
        <v>0</v>
      </c>
      <c r="T6" s="2653" t="e">
        <f t="shared" si="0"/>
        <v>#DIV/0!</v>
      </c>
      <c r="U6" s="2642"/>
      <c r="V6" s="2653" t="e">
        <f t="shared" si="1"/>
        <v>#DIV/0!</v>
      </c>
      <c r="W6" s="2069"/>
      <c r="X6" s="2069"/>
      <c r="Y6" s="2069"/>
      <c r="Z6" s="2069"/>
      <c r="AA6" s="2069"/>
      <c r="AB6" s="2069"/>
      <c r="AC6" s="2071"/>
      <c r="AD6" s="1367"/>
      <c r="AE6" s="1367"/>
      <c r="AF6" s="1367"/>
      <c r="AG6" s="1367"/>
      <c r="AH6" s="1367"/>
      <c r="AI6" s="1367"/>
      <c r="AJ6" s="1368"/>
    </row>
    <row r="7" spans="1:39" ht="24">
      <c r="A7" s="3506" t="str">
        <f>IF(E2="商业",IF(C8="不临58条商业街","",2),"")</f>
        <v/>
      </c>
      <c r="B7" s="1375" t="s">
        <v>923</v>
      </c>
      <c r="C7" s="1029" t="e">
        <f>IF(C8="不临58条商业街",1,ROUND(1+(1.6*E8+1.2*E9+0.8*E10+0.4*E11)*C9,4))</f>
        <v>#DIV/0!</v>
      </c>
      <c r="D7" s="1376" t="s">
        <v>924</v>
      </c>
      <c r="E7" s="1030"/>
      <c r="F7" s="1377"/>
      <c r="G7" s="1378"/>
      <c r="H7" s="1378"/>
      <c r="I7" s="1378"/>
      <c r="J7" s="1379"/>
      <c r="K7" s="3232"/>
      <c r="L7" s="1798" t="s">
        <v>2232</v>
      </c>
      <c r="M7" s="1799">
        <f>SUMPRODUCT((区片价!B158:B205=I2)*(区片价!C3:F3=E2)*(区片价!C158:F205))</f>
        <v>0</v>
      </c>
      <c r="N7" s="1800">
        <f>SUMPRODUCT((因素修正幅度!B158:B205=I2)*(因素修正幅度!C3:F3=E2)*(因素修正幅度!C158:F205))</f>
        <v>0</v>
      </c>
      <c r="O7" s="3232"/>
      <c r="P7" s="3235"/>
      <c r="Q7" s="2069"/>
      <c r="R7" s="2653">
        <v>6</v>
      </c>
      <c r="S7" s="2653">
        <f>ROUND(IF(G3&gt;1,IF(R7&lt;7,SUMPRODUCT((B93:B98=R7)*(C92:N92=G2)*(C93:N98)),SUMIF(C92:N92,G2,C100:N100)),IF(R7&lt;7,SUMPRODUCT((B102:B107=R7)*(C92:N92=G2)*(C102:N107)),SUMIF(C92:N92,G2,C109:N109))),4)</f>
        <v>0</v>
      </c>
      <c r="T7" s="2653" t="e">
        <f t="shared" si="0"/>
        <v>#DIV/0!</v>
      </c>
      <c r="U7" s="2642"/>
      <c r="V7" s="2653" t="e">
        <f t="shared" si="1"/>
        <v>#DIV/0!</v>
      </c>
      <c r="W7" s="2651" t="s">
        <v>2744</v>
      </c>
      <c r="X7" s="2643">
        <f>G2</f>
        <v>0</v>
      </c>
      <c r="Y7" s="2643" t="s">
        <v>2745</v>
      </c>
      <c r="Z7" s="2644">
        <f>G3</f>
        <v>4</v>
      </c>
      <c r="AA7" s="2072"/>
      <c r="AB7" s="2072"/>
      <c r="AC7" s="2073"/>
      <c r="AD7" s="2645"/>
      <c r="AE7" s="2645"/>
      <c r="AF7" s="2645"/>
      <c r="AG7" s="2645"/>
      <c r="AH7" s="2645"/>
      <c r="AI7" s="2645"/>
      <c r="AJ7" s="2646"/>
    </row>
    <row r="8" spans="1:39" ht="15">
      <c r="A8" s="3507"/>
      <c r="B8" s="1362" t="s">
        <v>925</v>
      </c>
      <c r="C8" s="1468"/>
      <c r="D8" s="1031" t="s">
        <v>926</v>
      </c>
      <c r="E8" s="1032" t="e">
        <f>ROUND(C11/E7,4)</f>
        <v>#DIV/0!</v>
      </c>
      <c r="F8" s="1380" t="s">
        <v>927</v>
      </c>
      <c r="G8" s="1381"/>
      <c r="H8" s="1381"/>
      <c r="I8" s="1381"/>
      <c r="J8" s="1382"/>
      <c r="K8" s="3232"/>
      <c r="L8" s="1798" t="s">
        <v>2233</v>
      </c>
      <c r="M8" s="1799">
        <f>SUMPRODUCT((区片价!B206:B244=I2)*(区片价!C3:F3=E2)*(区片价!C206:F244))</f>
        <v>0</v>
      </c>
      <c r="N8" s="1800">
        <f>SUMPRODUCT((因素修正幅度!B206:B244=I2)*(因素修正幅度!C3:F3=E2)*(因素修正幅度!C206:F244))</f>
        <v>0</v>
      </c>
      <c r="O8" s="3232"/>
      <c r="P8" s="2069"/>
      <c r="Q8" s="2069"/>
      <c r="R8" s="2653">
        <v>7</v>
      </c>
      <c r="S8" s="2642"/>
      <c r="T8" s="2653" t="e">
        <f t="shared" si="0"/>
        <v>#DIV/0!</v>
      </c>
      <c r="U8" s="2642"/>
      <c r="V8" s="2653" t="e">
        <f t="shared" si="1"/>
        <v>#DIV/0!</v>
      </c>
      <c r="W8" s="3517" t="s">
        <v>2762</v>
      </c>
      <c r="X8" s="3518"/>
      <c r="Y8" s="1762" t="s">
        <v>2746</v>
      </c>
      <c r="Z8" s="1762" t="s">
        <v>2747</v>
      </c>
      <c r="AA8" s="1762" t="s">
        <v>2748</v>
      </c>
      <c r="AB8" s="1762" t="s">
        <v>2749</v>
      </c>
      <c r="AC8" s="1762" t="s">
        <v>2750</v>
      </c>
      <c r="AD8" s="1762" t="s">
        <v>2751</v>
      </c>
      <c r="AE8" s="1762" t="s">
        <v>2752</v>
      </c>
      <c r="AF8" s="1762" t="s">
        <v>2753</v>
      </c>
      <c r="AG8" s="1762" t="s">
        <v>2754</v>
      </c>
      <c r="AH8" s="1762" t="s">
        <v>2755</v>
      </c>
      <c r="AI8" s="1762" t="s">
        <v>2756</v>
      </c>
      <c r="AJ8" s="1762" t="s">
        <v>2757</v>
      </c>
    </row>
    <row r="9" spans="1:39" ht="15">
      <c r="A9" s="3507"/>
      <c r="B9" s="1362" t="s">
        <v>928</v>
      </c>
      <c r="C9" s="1033">
        <f>SUMIF(修正!C59:C119,C8,修正!E59:E119)</f>
        <v>0</v>
      </c>
      <c r="D9" s="1034" t="s">
        <v>929</v>
      </c>
      <c r="E9" s="1034" t="e">
        <f>ROUND(C11/E7,4)</f>
        <v>#DIV/0!</v>
      </c>
      <c r="F9" s="1380" t="s">
        <v>930</v>
      </c>
      <c r="G9" s="1381"/>
      <c r="H9" s="1381"/>
      <c r="I9" s="1381"/>
      <c r="J9" s="1382"/>
      <c r="K9" s="3232"/>
      <c r="L9" s="1798" t="s">
        <v>2234</v>
      </c>
      <c r="M9" s="1799">
        <f>SUMPRODUCT((区片价!B245:B289=I2)*(区片价!C3:F3=E2)*(区片价!C245:F289))</f>
        <v>0</v>
      </c>
      <c r="N9" s="1800">
        <f>SUMPRODUCT((因素修正幅度!B245:B289=I2)*(因素修正幅度!C3:F3=E2)*(因素修正幅度!C245:F289))</f>
        <v>0</v>
      </c>
      <c r="O9" s="3232"/>
      <c r="P9" s="2069"/>
      <c r="Q9" s="2069"/>
      <c r="R9" s="2653">
        <v>8</v>
      </c>
      <c r="S9" s="2642"/>
      <c r="T9" s="2653" t="e">
        <f t="shared" si="0"/>
        <v>#DIV/0!</v>
      </c>
      <c r="U9" s="2642"/>
      <c r="V9" s="2653" t="e">
        <f t="shared" si="1"/>
        <v>#DIV/0!</v>
      </c>
      <c r="W9" s="3516" t="s">
        <v>2758</v>
      </c>
      <c r="X9" s="2647" t="s">
        <v>2759</v>
      </c>
      <c r="Y9" s="2785"/>
      <c r="Z9" s="2648">
        <f t="shared" ref="Z9:AJ9" si="2">$Y$9</f>
        <v>0</v>
      </c>
      <c r="AA9" s="2648">
        <f t="shared" si="2"/>
        <v>0</v>
      </c>
      <c r="AB9" s="2648">
        <f t="shared" si="2"/>
        <v>0</v>
      </c>
      <c r="AC9" s="2648">
        <f t="shared" si="2"/>
        <v>0</v>
      </c>
      <c r="AD9" s="2648">
        <f t="shared" si="2"/>
        <v>0</v>
      </c>
      <c r="AE9" s="2648">
        <f t="shared" si="2"/>
        <v>0</v>
      </c>
      <c r="AF9" s="2648">
        <f t="shared" si="2"/>
        <v>0</v>
      </c>
      <c r="AG9" s="2648">
        <f t="shared" si="2"/>
        <v>0</v>
      </c>
      <c r="AH9" s="2648">
        <f t="shared" si="2"/>
        <v>0</v>
      </c>
      <c r="AI9" s="2648">
        <f t="shared" si="2"/>
        <v>0</v>
      </c>
      <c r="AJ9" s="2648">
        <f t="shared" si="2"/>
        <v>0</v>
      </c>
    </row>
    <row r="10" spans="1:39" ht="15">
      <c r="A10" s="3507"/>
      <c r="B10" s="1362" t="s">
        <v>931</v>
      </c>
      <c r="C10" s="1034">
        <f>SUMIF(修正!C59:C119,C8,修正!F59:F119)</f>
        <v>0</v>
      </c>
      <c r="D10" s="1034" t="s">
        <v>932</v>
      </c>
      <c r="E10" s="1034" t="e">
        <f>ROUND(C11/E7,4)</f>
        <v>#DIV/0!</v>
      </c>
      <c r="F10" s="1380" t="s">
        <v>933</v>
      </c>
      <c r="G10" s="1381"/>
      <c r="H10" s="1381"/>
      <c r="I10" s="1381"/>
      <c r="J10" s="1382"/>
      <c r="K10" s="3232"/>
      <c r="L10" s="1798" t="s">
        <v>2235</v>
      </c>
      <c r="M10" s="1799">
        <f>SUMPRODUCT((区片价!B290:B316=I2)*(区片价!C3:F3=E2)*(区片价!C290:F316))</f>
        <v>0</v>
      </c>
      <c r="N10" s="1800">
        <f>SUMPRODUCT((因素修正幅度!B290:B316=I2)*(因素修正幅度!C3:F3=E2)*(因素修正幅度!C290:F316))</f>
        <v>0</v>
      </c>
      <c r="O10" s="3232"/>
      <c r="P10" s="2069"/>
      <c r="Q10" s="2069"/>
      <c r="R10" s="2653">
        <v>9</v>
      </c>
      <c r="S10" s="2642"/>
      <c r="T10" s="2653" t="e">
        <f t="shared" si="0"/>
        <v>#DIV/0!</v>
      </c>
      <c r="U10" s="2642"/>
      <c r="V10" s="2653" t="e">
        <f t="shared" si="1"/>
        <v>#DIV/0!</v>
      </c>
      <c r="W10" s="3516"/>
      <c r="X10" s="2647">
        <v>7</v>
      </c>
      <c r="Y10" s="2649">
        <f>(-0.163*(Y9^2)-0.59*Y9+7617)*(10^(-4))</f>
        <v>0.76170000000000004</v>
      </c>
      <c r="Z10" s="2649">
        <f>(-0.163*(Z9^2)-0.59*Z9+7617)*(10^(-4))</f>
        <v>0.76170000000000004</v>
      </c>
      <c r="AA10" s="2649">
        <f>(-0.161*(AA9^2)-7.509*AA9+6533)*(10^(-4))</f>
        <v>0.65329999999999999</v>
      </c>
      <c r="AB10" s="2649">
        <f>(-0.161*(AB9^2)-7.509*AB9+6533)*(10^(-4))</f>
        <v>0.65329999999999999</v>
      </c>
      <c r="AC10" s="2649">
        <f>(-0.161*(AC9^2)-7.509*AC9+6533)*(10^(-4))</f>
        <v>0.65329999999999999</v>
      </c>
      <c r="AD10" s="2649">
        <f>(-0.161*(AD9^2)-7.509*AD9+6533)*(10^(-4))</f>
        <v>0.65329999999999999</v>
      </c>
      <c r="AE10" s="2649">
        <f>(-0.161*(AE9^2)-7.509*AE9+6533)*(10^(-4))</f>
        <v>0.65329999999999999</v>
      </c>
      <c r="AF10" s="2649">
        <f>(-0.214*(AF9^2)-21.991*AF9+4665)*(10^(-4))</f>
        <v>0.46650000000000003</v>
      </c>
      <c r="AG10" s="2649">
        <f>(-0.214*(AG9^2)-21.991*AG9+4665)*(10^(-4))</f>
        <v>0.46650000000000003</v>
      </c>
      <c r="AH10" s="2649">
        <f>(-0.214*(AH9^2)-21.991*AH9+4665)*(10^(-4))</f>
        <v>0.46650000000000003</v>
      </c>
      <c r="AI10" s="2649">
        <f>(-0.214*(AI9^2)-21.991*AI9+4665)*(10^(-4))</f>
        <v>0.46650000000000003</v>
      </c>
      <c r="AJ10" s="2649">
        <f>(-0.214*(AJ9^2)-21.991*AJ9+4665)*(10^(-4))</f>
        <v>0.46650000000000003</v>
      </c>
    </row>
    <row r="11" spans="1:39" ht="15.75" customHeight="1" thickBot="1">
      <c r="A11" s="3507"/>
      <c r="B11" s="1383" t="s">
        <v>934</v>
      </c>
      <c r="C11" s="1035">
        <f>C10/4</f>
        <v>0</v>
      </c>
      <c r="D11" s="1035" t="s">
        <v>935</v>
      </c>
      <c r="E11" s="1035" t="e">
        <f>ROUND(C11/E7,4)</f>
        <v>#DIV/0!</v>
      </c>
      <c r="F11" s="1384" t="s">
        <v>936</v>
      </c>
      <c r="G11" s="1385"/>
      <c r="H11" s="1385"/>
      <c r="I11" s="1385"/>
      <c r="J11" s="1386"/>
      <c r="K11" s="3232"/>
      <c r="L11" s="1798" t="s">
        <v>2236</v>
      </c>
      <c r="M11" s="1799">
        <f>SUMPRODUCT((区片价!B317:B337=I2)*(区片价!C3:F3=E2)*(区片价!C317:F337))</f>
        <v>0</v>
      </c>
      <c r="N11" s="1800">
        <f>SUMPRODUCT((因素修正幅度!B317:B337=I2)*(因素修正幅度!C3:F3=E2)*(因素修正幅度!C317:F337))</f>
        <v>0</v>
      </c>
      <c r="O11" s="3232"/>
      <c r="P11" s="2069"/>
      <c r="Q11" s="2069"/>
      <c r="R11" s="2653">
        <v>10</v>
      </c>
      <c r="S11" s="2642"/>
      <c r="T11" s="2653" t="e">
        <f t="shared" si="0"/>
        <v>#DIV/0!</v>
      </c>
      <c r="U11" s="2642"/>
      <c r="V11" s="2653" t="e">
        <f t="shared" si="1"/>
        <v>#DIV/0!</v>
      </c>
      <c r="W11" s="3516" t="s">
        <v>2760</v>
      </c>
      <c r="X11" s="1034" t="s">
        <v>2745</v>
      </c>
      <c r="Y11" s="1581">
        <f>$G$3</f>
        <v>4</v>
      </c>
      <c r="Z11" s="1581">
        <f t="shared" ref="Z11:AJ11" si="3">$G$3</f>
        <v>4</v>
      </c>
      <c r="AA11" s="1581">
        <f t="shared" si="3"/>
        <v>4</v>
      </c>
      <c r="AB11" s="1581">
        <f t="shared" si="3"/>
        <v>4</v>
      </c>
      <c r="AC11" s="1581">
        <f t="shared" si="3"/>
        <v>4</v>
      </c>
      <c r="AD11" s="1581">
        <f t="shared" si="3"/>
        <v>4</v>
      </c>
      <c r="AE11" s="1581">
        <f t="shared" si="3"/>
        <v>4</v>
      </c>
      <c r="AF11" s="1581">
        <f t="shared" si="3"/>
        <v>4</v>
      </c>
      <c r="AG11" s="1581">
        <f t="shared" si="3"/>
        <v>4</v>
      </c>
      <c r="AH11" s="1581">
        <f t="shared" si="3"/>
        <v>4</v>
      </c>
      <c r="AI11" s="1581">
        <f t="shared" si="3"/>
        <v>4</v>
      </c>
      <c r="AJ11" s="1581">
        <f t="shared" si="3"/>
        <v>4</v>
      </c>
    </row>
    <row r="12" spans="1:39" ht="25.5" thickBot="1">
      <c r="A12" s="3506" t="s">
        <v>1861</v>
      </c>
      <c r="B12" s="1387" t="s">
        <v>937</v>
      </c>
      <c r="C12" s="1029">
        <f>ROUND(C15*D15*E15*F15*G15*H15*I15*J15,4)</f>
        <v>1</v>
      </c>
      <c r="D12" s="1388" t="s">
        <v>938</v>
      </c>
      <c r="E12" s="1389"/>
      <c r="F12" s="1389"/>
      <c r="G12" s="1390"/>
      <c r="H12" s="1390"/>
      <c r="I12" s="1390"/>
      <c r="J12" s="1391"/>
      <c r="K12" s="3232"/>
      <c r="L12" s="1801" t="s">
        <v>2237</v>
      </c>
      <c r="M12" s="1802">
        <f>SUMPRODUCT((区片价!B338:B344=I2)*(区片价!C3:F3=E2)*(区片价!C338:F344))</f>
        <v>0</v>
      </c>
      <c r="N12" s="1803">
        <f>SUMPRODUCT((因素修正幅度!B338:B344=I2)*(因素修正幅度!C3:F3=E2)*(因素修正幅度!C338:F344))</f>
        <v>0</v>
      </c>
      <c r="O12" s="3232"/>
      <c r="P12" s="2069"/>
      <c r="Q12" s="2069"/>
      <c r="R12" s="2653">
        <v>11</v>
      </c>
      <c r="S12" s="2642"/>
      <c r="T12" s="2653" t="e">
        <f t="shared" si="0"/>
        <v>#DIV/0!</v>
      </c>
      <c r="U12" s="2642"/>
      <c r="V12" s="2653" t="e">
        <f t="shared" si="1"/>
        <v>#DIV/0!</v>
      </c>
      <c r="W12" s="3516"/>
      <c r="X12" s="2650" t="s">
        <v>2761</v>
      </c>
      <c r="Y12" s="2648">
        <f t="shared" ref="Y12:AJ12" si="4">Y9</f>
        <v>0</v>
      </c>
      <c r="Z12" s="2648">
        <f t="shared" si="4"/>
        <v>0</v>
      </c>
      <c r="AA12" s="2648">
        <f t="shared" si="4"/>
        <v>0</v>
      </c>
      <c r="AB12" s="2648">
        <f t="shared" si="4"/>
        <v>0</v>
      </c>
      <c r="AC12" s="2648">
        <f t="shared" si="4"/>
        <v>0</v>
      </c>
      <c r="AD12" s="2648">
        <f t="shared" si="4"/>
        <v>0</v>
      </c>
      <c r="AE12" s="2648">
        <f t="shared" si="4"/>
        <v>0</v>
      </c>
      <c r="AF12" s="2648">
        <f t="shared" si="4"/>
        <v>0</v>
      </c>
      <c r="AG12" s="2648">
        <f t="shared" si="4"/>
        <v>0</v>
      </c>
      <c r="AH12" s="2648">
        <f t="shared" si="4"/>
        <v>0</v>
      </c>
      <c r="AI12" s="2648">
        <f t="shared" si="4"/>
        <v>0</v>
      </c>
      <c r="AJ12" s="2648">
        <f t="shared" si="4"/>
        <v>0</v>
      </c>
    </row>
    <row r="13" spans="1:39" ht="24">
      <c r="A13" s="3508"/>
      <c r="B13" s="1392" t="s">
        <v>1686</v>
      </c>
      <c r="C13" s="1393" t="s">
        <v>1687</v>
      </c>
      <c r="D13" s="1071" t="s">
        <v>1688</v>
      </c>
      <c r="E13" s="1071" t="s">
        <v>1689</v>
      </c>
      <c r="F13" s="1394" t="s">
        <v>939</v>
      </c>
      <c r="G13" s="1395" t="s">
        <v>1633</v>
      </c>
      <c r="H13" s="1396" t="s">
        <v>1633</v>
      </c>
      <c r="I13" s="1397" t="s">
        <v>1633</v>
      </c>
      <c r="J13" s="1398" t="s">
        <v>1633</v>
      </c>
      <c r="K13" s="2842"/>
      <c r="L13" s="2842"/>
      <c r="M13" s="2842"/>
      <c r="N13" s="2842"/>
      <c r="O13" s="2842"/>
      <c r="P13" s="2069"/>
      <c r="Q13" s="2069"/>
      <c r="R13" s="2653">
        <v>12</v>
      </c>
      <c r="S13" s="2642"/>
      <c r="T13" s="2653" t="e">
        <f t="shared" si="0"/>
        <v>#DIV/0!</v>
      </c>
      <c r="U13" s="2642"/>
      <c r="V13" s="2653" t="e">
        <f t="shared" si="1"/>
        <v>#DIV/0!</v>
      </c>
      <c r="W13" s="3516"/>
      <c r="X13" s="2650"/>
      <c r="Y13" s="2649">
        <f>(-0.163*(Y12^2)-0.59*Y12+7617)*(10^(-4))/Y11</f>
        <v>0.19042500000000001</v>
      </c>
      <c r="Z13" s="2649">
        <f t="shared" ref="Z13:AJ13" si="5">(-0.163*(Z12^2)-0.59*Z12+7617)*(10^(-4))/Z11</f>
        <v>0.19042500000000001</v>
      </c>
      <c r="AA13" s="2649">
        <f t="shared" si="5"/>
        <v>0.19042500000000001</v>
      </c>
      <c r="AB13" s="2649">
        <f t="shared" si="5"/>
        <v>0.19042500000000001</v>
      </c>
      <c r="AC13" s="2649">
        <f t="shared" si="5"/>
        <v>0.19042500000000001</v>
      </c>
      <c r="AD13" s="2649">
        <f t="shared" si="5"/>
        <v>0.19042500000000001</v>
      </c>
      <c r="AE13" s="2649">
        <f t="shared" si="5"/>
        <v>0.19042500000000001</v>
      </c>
      <c r="AF13" s="2649">
        <f t="shared" si="5"/>
        <v>0.19042500000000001</v>
      </c>
      <c r="AG13" s="2649">
        <f t="shared" si="5"/>
        <v>0.19042500000000001</v>
      </c>
      <c r="AH13" s="2649">
        <f t="shared" si="5"/>
        <v>0.19042500000000001</v>
      </c>
      <c r="AI13" s="2649">
        <f t="shared" si="5"/>
        <v>0.19042500000000001</v>
      </c>
      <c r="AJ13" s="2649">
        <f t="shared" si="5"/>
        <v>0.19042500000000001</v>
      </c>
    </row>
    <row r="14" spans="1:39" ht="12.75" customHeight="1">
      <c r="A14" s="3508"/>
      <c r="B14" s="1399"/>
      <c r="C14" s="1400"/>
      <c r="D14" s="1401"/>
      <c r="E14" s="1401"/>
      <c r="F14" s="1402"/>
      <c r="G14" s="1403" t="s">
        <v>940</v>
      </c>
      <c r="H14" s="1404"/>
      <c r="I14" s="1405"/>
      <c r="J14" s="1406"/>
      <c r="K14" s="3233"/>
      <c r="L14" s="3233"/>
      <c r="M14" s="3233"/>
      <c r="N14" s="3233"/>
      <c r="O14" s="3233"/>
      <c r="P14" s="2069"/>
      <c r="Q14" s="2069"/>
      <c r="R14" s="2653">
        <v>13</v>
      </c>
      <c r="S14" s="2642"/>
      <c r="T14" s="2653" t="e">
        <f t="shared" si="0"/>
        <v>#DIV/0!</v>
      </c>
      <c r="U14" s="2642"/>
      <c r="V14" s="2653" t="e">
        <f t="shared" si="1"/>
        <v>#DIV/0!</v>
      </c>
      <c r="W14" s="2069"/>
      <c r="X14" s="2069"/>
      <c r="Y14" s="2069"/>
      <c r="Z14" s="2069"/>
      <c r="AA14" s="2069"/>
      <c r="AB14" s="2069"/>
      <c r="AC14" s="2070"/>
    </row>
    <row r="15" spans="1:39" ht="13.5" customHeight="1" thickBot="1">
      <c r="A15" s="3509"/>
      <c r="B15" s="2847" t="s">
        <v>1690</v>
      </c>
      <c r="C15" s="1035">
        <f>IF(C14="有",1.1,1)</f>
        <v>1</v>
      </c>
      <c r="D15" s="1035">
        <f>IF(D14="有",1.1,1)</f>
        <v>1</v>
      </c>
      <c r="E15" s="1035">
        <f>IF(E14="有",1.1,1)</f>
        <v>1</v>
      </c>
      <c r="F15" s="1035">
        <f>IF(F14="500米范围内",1.2,IF(F14="500-1000米",1.1,1))</f>
        <v>1</v>
      </c>
      <c r="G15" s="2839">
        <v>1</v>
      </c>
      <c r="H15" s="2839">
        <v>1</v>
      </c>
      <c r="I15" s="2839">
        <v>1</v>
      </c>
      <c r="J15" s="2840">
        <v>1</v>
      </c>
      <c r="K15" s="2843"/>
      <c r="L15" s="2843"/>
      <c r="M15" s="2843"/>
      <c r="N15" s="2843"/>
      <c r="O15" s="2843"/>
      <c r="P15" s="2069"/>
      <c r="Q15" s="2069"/>
      <c r="R15" s="2653">
        <v>14</v>
      </c>
      <c r="S15" s="2642"/>
      <c r="T15" s="2653" t="e">
        <f t="shared" si="0"/>
        <v>#DIV/0!</v>
      </c>
      <c r="U15" s="2642"/>
      <c r="V15" s="2653" t="e">
        <f t="shared" si="1"/>
        <v>#DIV/0!</v>
      </c>
      <c r="W15" s="2069"/>
      <c r="X15" s="2069"/>
      <c r="Y15" s="2069"/>
      <c r="Z15" s="2069"/>
      <c r="AA15" s="2069"/>
      <c r="AB15" s="2069"/>
      <c r="AC15" s="2070"/>
    </row>
    <row r="16" spans="1:39" ht="24.6" customHeight="1">
      <c r="A16" s="3506" t="s">
        <v>1828</v>
      </c>
      <c r="B16" s="1375" t="s">
        <v>941</v>
      </c>
      <c r="C16" s="1038" t="e">
        <f>ROUND(IF(F17="与级别开发程度一致",0,(G17-E17)/C17),0)</f>
        <v>#DIV/0!</v>
      </c>
      <c r="D16" s="3524" t="s">
        <v>945</v>
      </c>
      <c r="E16" s="3525"/>
      <c r="F16" s="3524" t="s">
        <v>942</v>
      </c>
      <c r="G16" s="3525"/>
      <c r="H16" s="1407"/>
      <c r="I16" s="1407"/>
      <c r="J16" s="1407"/>
      <c r="K16" s="1407"/>
      <c r="L16" s="1407"/>
      <c r="M16" s="1407"/>
      <c r="N16" s="1407"/>
      <c r="O16" s="2852"/>
      <c r="P16" s="2069"/>
      <c r="Q16" s="2072"/>
      <c r="R16" s="2653">
        <v>15</v>
      </c>
      <c r="S16" s="2642"/>
      <c r="T16" s="2653" t="e">
        <f t="shared" si="0"/>
        <v>#DIV/0!</v>
      </c>
      <c r="U16" s="2642"/>
      <c r="V16" s="2653" t="e">
        <f t="shared" si="1"/>
        <v>#DIV/0!</v>
      </c>
      <c r="W16" s="2072"/>
      <c r="X16" s="2072"/>
      <c r="Y16" s="2072"/>
      <c r="Z16" s="2072"/>
      <c r="AA16" s="2072"/>
      <c r="AB16" s="2072"/>
      <c r="AC16" s="2073"/>
    </row>
    <row r="17" spans="1:40" ht="13.5" thickBot="1">
      <c r="A17" s="3510"/>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6">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75" thickBot="1">
      <c r="A18" s="2496" t="s">
        <v>1819</v>
      </c>
      <c r="B18" s="2848" t="s">
        <v>946</v>
      </c>
      <c r="C18" s="2849">
        <f>SUMIF(修正!C18:C39,E3,修正!E18:E39)</f>
        <v>0</v>
      </c>
      <c r="D18" s="2850"/>
      <c r="E18" s="2851"/>
      <c r="F18" s="2834"/>
      <c r="G18" s="2833"/>
      <c r="H18" s="2833"/>
      <c r="I18" s="2833"/>
      <c r="J18" s="2841"/>
      <c r="K18" s="3231"/>
      <c r="L18" s="2833"/>
      <c r="M18" s="2833"/>
      <c r="N18" s="2833"/>
      <c r="O18" s="2833"/>
      <c r="P18" s="3236"/>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7.75" thickBot="1">
      <c r="A19" s="1568" t="s">
        <v>1825</v>
      </c>
      <c r="B19" s="1410" t="s">
        <v>947</v>
      </c>
      <c r="C19" s="1039" t="e">
        <f>ROUND(IF(H19="按公示增长率计算",SUMPRODUCT((地价!A3:A32=YEAR(G19)&amp;"-"&amp;ROUNDUP(MONTH(G19)/3,0))*(地价!X2:AB2=E2)*(地价!X3:AB32)),IF(H19="地价指数",M20/M19,(1+I19)^O19)),4)</f>
        <v>#VALUE!</v>
      </c>
      <c r="D19" s="1414" t="s">
        <v>948</v>
      </c>
      <c r="E19" s="1040">
        <v>41640</v>
      </c>
      <c r="F19" s="1414" t="s">
        <v>949</v>
      </c>
      <c r="G19" s="1041">
        <f>'数据-取费表'!B2</f>
        <v>44125</v>
      </c>
      <c r="H19" s="1415"/>
      <c r="I19" s="2502" t="str">
        <f>IF(H19="季度增幅（自定义）",SUMIF(N21:N24,E2,O21:O24),"")</f>
        <v/>
      </c>
      <c r="J19" s="1411"/>
      <c r="K19" s="3231"/>
      <c r="L19" s="2752" t="s">
        <v>2820</v>
      </c>
      <c r="M19" s="2753">
        <f>ROUND(SUMIF(地价!B2:F2,E2,地价!B32:F32),0)</f>
        <v>0</v>
      </c>
      <c r="N19" s="2504" t="s">
        <v>1667</v>
      </c>
      <c r="O19" s="2503">
        <f>ROUNDDOWN(DATEDIF(E19,G19,"M")/3,0)</f>
        <v>27</v>
      </c>
      <c r="P19" s="2073"/>
      <c r="Q19" s="2641"/>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7.75" thickBot="1">
      <c r="A20" s="2496" t="s">
        <v>1826</v>
      </c>
      <c r="B20" s="2497" t="s">
        <v>962</v>
      </c>
      <c r="C20" s="2498" t="e">
        <f>ROUND(POWER(1+G20,J20-I20)*(POWER(1+G20,I20)-1)/(POWER(1+G20,J20)-1),4)</f>
        <v>#DIV/0!</v>
      </c>
      <c r="D20" s="2499" t="s">
        <v>963</v>
      </c>
      <c r="E20" s="2782">
        <f ca="1">存贷款利率!I4/100</f>
        <v>4.3499999999999997E-2</v>
      </c>
      <c r="F20" s="2499" t="s">
        <v>964</v>
      </c>
      <c r="G20" s="2500">
        <f>SUMIF(M26:P26,E2,M28:P28)</f>
        <v>0</v>
      </c>
      <c r="H20" s="2499" t="s">
        <v>965</v>
      </c>
      <c r="I20" s="2495" t="e">
        <f>SUMIF('数据-取费表'!C6:C15,E2,'数据-取费表'!F6:F15)/COUNTIF('数据-取费表'!C6:C15,E2)</f>
        <v>#DIV/0!</v>
      </c>
      <c r="J20" s="2501">
        <f>IF(E2="住宅",70,IF(E2="商业",40,50))</f>
        <v>50</v>
      </c>
      <c r="K20" s="2843"/>
      <c r="L20" s="2754" t="s">
        <v>2821</v>
      </c>
      <c r="M20" s="2836">
        <f>ROUND(SUMPRODUCT((地价!A4:A32=YEAR(G19)&amp;"-"&amp;ROUNDUP(MONTH(G19)/3,0))*(地价!B2:F2=E2)*(地价!B4:F32)),0)</f>
        <v>0</v>
      </c>
      <c r="N20" s="2507" t="s">
        <v>2625</v>
      </c>
      <c r="O20" s="2505" t="s">
        <v>2624</v>
      </c>
      <c r="P20" s="2506" t="s">
        <v>2630</v>
      </c>
      <c r="Q20" s="2641"/>
      <c r="R20" s="2075"/>
      <c r="S20" s="2075"/>
      <c r="T20" s="2075"/>
      <c r="U20" s="2075"/>
      <c r="V20" s="2075"/>
      <c r="W20" s="2075"/>
      <c r="X20" s="2075"/>
      <c r="Y20" s="1412"/>
      <c r="Z20" s="1412"/>
      <c r="AA20" s="1412"/>
      <c r="AB20" s="1412"/>
      <c r="AC20" s="1412"/>
      <c r="AD20" s="1412"/>
    </row>
    <row r="21" spans="1:40" s="1369" customFormat="1" ht="14.25">
      <c r="A21" s="1570" t="s">
        <v>1827</v>
      </c>
      <c r="B21" s="1420"/>
      <c r="C21" s="1140">
        <f>IF(B21="容积率修正",IF(G3&lt;=10,D22,J22),C23)</f>
        <v>0</v>
      </c>
      <c r="D21" s="1421"/>
      <c r="E21" s="1421"/>
      <c r="F21" s="1421"/>
      <c r="G21" s="1421"/>
      <c r="H21" s="1421"/>
      <c r="I21" s="1421"/>
      <c r="J21" s="1422"/>
      <c r="K21" s="3231"/>
      <c r="L21" s="1421"/>
      <c r="M21" s="1421"/>
      <c r="N21" s="1418" t="s">
        <v>966</v>
      </c>
      <c r="O21" s="1481"/>
      <c r="P21" s="2494">
        <f>SUMPRODUCT((地价!A3:A32=YEAR(G19)&amp;"-"&amp;ROUNDUP(MONTH(G19)/3,0))*(地价!AD2:AH2=N21)*(地价!AD3:AH32))</f>
        <v>1.1599999999999999E-2</v>
      </c>
      <c r="Q21" s="2641"/>
      <c r="R21" s="2075"/>
      <c r="S21" s="2075"/>
      <c r="T21" s="2075"/>
      <c r="U21" s="2075"/>
      <c r="V21" s="2075"/>
      <c r="W21" s="2075"/>
      <c r="X21" s="2075"/>
      <c r="Y21" s="1351"/>
      <c r="Z21" s="1351"/>
      <c r="AA21" s="1351"/>
      <c r="AB21" s="1351"/>
      <c r="AC21" s="1412"/>
      <c r="AD21" s="1412"/>
    </row>
    <row r="22" spans="1:40" s="1369" customFormat="1" ht="14.25">
      <c r="A22" s="1571" t="s">
        <v>1860</v>
      </c>
      <c r="B22" s="1423" t="s">
        <v>967</v>
      </c>
      <c r="C22" s="1042" t="s">
        <v>1692</v>
      </c>
      <c r="D22" s="1042" t="b">
        <f>IF(E22=G22,F22,IF(G3&lt;=10,ROUND(F22+(H22-F22)*(G3-E22)/(G22-E22),4),"——"))</f>
        <v>0</v>
      </c>
      <c r="E22" s="1025">
        <f>ROUNDDOWN(G3,1)</f>
        <v>4</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4</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37"/>
      <c r="L22" s="1421"/>
      <c r="M22" s="1421"/>
      <c r="N22" s="1418" t="s">
        <v>969</v>
      </c>
      <c r="O22" s="1481"/>
      <c r="P22" s="2494">
        <f>SUMPRODUCT((地价!A3:A32=YEAR(G19)&amp;"-"&amp;ROUNDUP(MONTH(G19)/3,0))*(地价!AD2:AH2=N22)*(地价!AD3:AH32))</f>
        <v>1.1599999999999999E-2</v>
      </c>
      <c r="Q22" s="2641"/>
      <c r="R22" s="2075"/>
      <c r="S22" s="2075"/>
      <c r="T22" s="2075"/>
      <c r="U22" s="2075"/>
      <c r="V22" s="2075"/>
      <c r="W22" s="2075"/>
      <c r="X22" s="2075"/>
      <c r="Y22" s="1412"/>
      <c r="Z22" s="1412"/>
      <c r="AA22" s="1412"/>
      <c r="AB22" s="1412"/>
      <c r="AC22" s="1412"/>
      <c r="AD22" s="1412"/>
    </row>
    <row r="23" spans="1:40" ht="15.75" thickBot="1">
      <c r="A23" s="1571" t="s">
        <v>1861</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38"/>
      <c r="L23" s="1349"/>
      <c r="M23" s="1349"/>
      <c r="N23" s="1418" t="s">
        <v>914</v>
      </c>
      <c r="O23" s="1481"/>
      <c r="P23" s="2494">
        <f>SUMPRODUCT((地价!A3:A32=YEAR(G19)&amp;"-"&amp;ROUNDUP(MONTH(G19)/3,0))*(地价!AD2:AH2=N23)*(地价!AD3:AH32))</f>
        <v>1.9E-2</v>
      </c>
      <c r="Q23" s="2641"/>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75" thickBot="1">
      <c r="A24" s="1569" t="s">
        <v>1862</v>
      </c>
      <c r="B24" s="1363" t="s">
        <v>971</v>
      </c>
      <c r="C24" s="1044">
        <f>SUMIF(A44:A87,E2,B44:B87)</f>
        <v>0</v>
      </c>
      <c r="D24" s="1474"/>
      <c r="E24" s="1475"/>
      <c r="F24" s="1475"/>
      <c r="G24" s="1475"/>
      <c r="H24" s="1475"/>
      <c r="I24" s="1475"/>
      <c r="J24" s="1475"/>
      <c r="K24" s="3238"/>
      <c r="L24" s="1421"/>
      <c r="M24" s="1421"/>
      <c r="N24" s="1418" t="s">
        <v>972</v>
      </c>
      <c r="O24" s="2835"/>
      <c r="P24" s="2494">
        <f>SUMPRODUCT((地价!A3:A32=YEAR(G19)&amp;"-"&amp;ROUNDUP(MONTH(G19)/3,0))*(地价!AD2:AH2=N24)*(地价!AD3:AH32))</f>
        <v>1.23E-2</v>
      </c>
      <c r="Q24" s="2641"/>
      <c r="R24" s="2075"/>
      <c r="S24" s="2075"/>
      <c r="T24" s="2075"/>
      <c r="U24" s="2075"/>
      <c r="V24" s="2075"/>
      <c r="W24" s="2075"/>
      <c r="X24" s="2075"/>
      <c r="Y24" s="1412"/>
      <c r="Z24" s="1412"/>
      <c r="AA24" s="1412"/>
      <c r="AB24" s="1412"/>
      <c r="AC24" s="1412"/>
      <c r="AD24" s="1412"/>
    </row>
    <row r="25" spans="1:40" ht="15" thickBot="1">
      <c r="A25" s="1569" t="s">
        <v>1863</v>
      </c>
      <c r="B25" s="1425" t="s">
        <v>973</v>
      </c>
      <c r="C25" s="1426"/>
      <c r="D25" s="1378"/>
      <c r="E25" s="1378"/>
      <c r="F25" s="1427"/>
      <c r="G25" s="1378"/>
      <c r="H25" s="1378"/>
      <c r="I25" s="1378"/>
      <c r="J25" s="1379"/>
      <c r="K25" s="3232"/>
      <c r="L25" s="2075"/>
      <c r="M25" s="2075"/>
      <c r="N25" s="2837" t="s">
        <v>2628</v>
      </c>
      <c r="O25" s="2838"/>
      <c r="P25" s="2301">
        <f>SUMPRODUCT((地价!A3:A32=YEAR(G19)&amp;"-"&amp;ROUNDUP(MONTH(G19)/3,0))*(地价!AD2:AH2=N25)*(地价!AD3:AH32))</f>
        <v>1.7299999999999999E-2</v>
      </c>
      <c r="Q25" s="2641"/>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2"/>
      <c r="L26" s="1528" t="s">
        <v>889</v>
      </c>
      <c r="M26" s="1376" t="s">
        <v>974</v>
      </c>
      <c r="N26" s="1376" t="s">
        <v>975</v>
      </c>
      <c r="O26" s="1376" t="s">
        <v>893</v>
      </c>
      <c r="P26" s="1416" t="s">
        <v>976</v>
      </c>
      <c r="Q26" s="2641"/>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2"/>
      <c r="L27" s="1408" t="s">
        <v>978</v>
      </c>
      <c r="M27" s="1033">
        <v>0.25</v>
      </c>
      <c r="N27" s="1033">
        <v>0.2</v>
      </c>
      <c r="O27" s="1033">
        <v>0.15</v>
      </c>
      <c r="P27" s="1478">
        <v>0.1</v>
      </c>
      <c r="Q27" s="2075"/>
      <c r="R27" s="2641"/>
      <c r="S27" s="2641"/>
      <c r="T27" s="2641"/>
      <c r="U27" s="2641"/>
      <c r="V27" s="2641"/>
      <c r="W27" s="2075"/>
      <c r="X27" s="2075"/>
      <c r="Y27" s="2075"/>
      <c r="Z27" s="2075"/>
      <c r="AA27" s="2075"/>
      <c r="AB27" s="2075"/>
      <c r="AC27" s="2075"/>
    </row>
    <row r="28" spans="1:40" ht="15" thickBot="1">
      <c r="A28" s="1424"/>
      <c r="B28" s="1437" t="s">
        <v>980</v>
      </c>
      <c r="C28" s="1438" t="s">
        <v>981</v>
      </c>
      <c r="D28" s="1438" t="s">
        <v>982</v>
      </c>
      <c r="E28" s="1439" t="s">
        <v>983</v>
      </c>
      <c r="F28" s="1440"/>
      <c r="G28" s="1390"/>
      <c r="H28" s="1390"/>
      <c r="I28" s="1390"/>
      <c r="J28" s="1391"/>
      <c r="K28" s="3232"/>
      <c r="L28" s="1409" t="s">
        <v>964</v>
      </c>
      <c r="M28" s="1479">
        <f ca="1">ROUND($E$20*(1+M27),3)</f>
        <v>5.3999999999999999E-2</v>
      </c>
      <c r="N28" s="1479">
        <f ca="1">ROUND($E$20*(1+N27),3)</f>
        <v>5.1999999999999998E-2</v>
      </c>
      <c r="O28" s="1479">
        <f ca="1">ROUND($E$20*(1+O27),3)</f>
        <v>0.05</v>
      </c>
      <c r="P28" s="1480">
        <f ca="1">ROUND($E$20*(1+P27),3)</f>
        <v>4.8000000000000001E-2</v>
      </c>
      <c r="Q28" s="2075"/>
      <c r="R28" s="2641"/>
      <c r="S28" s="2641"/>
      <c r="T28" s="2641"/>
      <c r="U28" s="2641"/>
      <c r="V28" s="2641"/>
      <c r="W28" s="2075"/>
      <c r="X28" s="2075"/>
      <c r="Y28" s="2075"/>
      <c r="Z28" s="2075"/>
      <c r="AA28" s="2075"/>
      <c r="AB28" s="2075"/>
      <c r="AC28" s="2075"/>
      <c r="AD28" s="1412"/>
      <c r="AE28" s="1412"/>
      <c r="AF28" s="1412"/>
      <c r="AG28" s="1412"/>
    </row>
    <row r="29" spans="1:40" ht="14.25">
      <c r="A29" s="1441"/>
      <c r="B29" s="1442" t="s">
        <v>984</v>
      </c>
      <c r="C29" s="1045" t="e">
        <f>ROUND(C5*C18*C19*C20*C21*C24,0)</f>
        <v>#DIV/0!</v>
      </c>
      <c r="D29" s="1443"/>
      <c r="E29" s="1762" t="e">
        <f>ROUND(C29*D29/10000,0)</f>
        <v>#DIV/0!</v>
      </c>
      <c r="F29" s="1444" t="s">
        <v>1691</v>
      </c>
      <c r="G29" s="1445"/>
      <c r="H29" s="1445"/>
      <c r="I29" s="1445"/>
      <c r="J29" s="1446"/>
      <c r="K29" s="3239"/>
      <c r="L29" s="3239"/>
      <c r="M29" s="3239"/>
      <c r="N29" s="3239"/>
      <c r="O29" s="3239"/>
      <c r="P29" s="2069"/>
      <c r="Q29" s="2075"/>
      <c r="R29" s="2075"/>
      <c r="S29" s="2075"/>
      <c r="T29" s="2075"/>
      <c r="U29" s="2075"/>
      <c r="V29" s="2075"/>
      <c r="W29" s="2641"/>
      <c r="X29" s="2641"/>
      <c r="Y29" s="2641"/>
      <c r="Z29" s="2641"/>
      <c r="AA29" s="2641"/>
      <c r="AB29" s="2075"/>
      <c r="AC29" s="2075"/>
      <c r="AD29" s="2075"/>
      <c r="AE29" s="2075"/>
      <c r="AF29" s="2075"/>
      <c r="AG29" s="2075"/>
      <c r="AH29" s="2075"/>
      <c r="AJ29" s="1351"/>
      <c r="AK29" s="1351"/>
      <c r="AL29" s="1351"/>
      <c r="AM29" s="1350"/>
      <c r="AN29" s="1350"/>
    </row>
    <row r="30" spans="1:40" ht="24.75" thickBot="1">
      <c r="A30" s="1447"/>
      <c r="B30" s="1448" t="s">
        <v>985</v>
      </c>
      <c r="C30" s="1037" t="e">
        <f>ROUND(IF(E2="工业",C29*M39,C29*M38),0)</f>
        <v>#DIV/0!</v>
      </c>
      <c r="D30" s="1449"/>
      <c r="E30" s="1762" t="e">
        <f>ROUND(C30*D30/10000,0)</f>
        <v>#DIV/0!</v>
      </c>
      <c r="F30" s="1450" t="s">
        <v>986</v>
      </c>
      <c r="G30" s="1451"/>
      <c r="H30" s="1451"/>
      <c r="I30" s="1451"/>
      <c r="J30" s="1452"/>
      <c r="K30" s="3232"/>
      <c r="L30" s="3232"/>
      <c r="M30" s="3232"/>
      <c r="N30" s="3232"/>
      <c r="O30" s="3232"/>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2"/>
      <c r="L31" s="3232"/>
      <c r="M31" s="3232"/>
      <c r="N31" s="3232"/>
      <c r="O31" s="3232"/>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0"/>
      <c r="L32" s="3240"/>
      <c r="M32" s="3240"/>
      <c r="N32" s="3240"/>
      <c r="O32" s="3240"/>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2.75">
      <c r="A33" s="3513"/>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13" t="s">
        <v>2987</v>
      </c>
      <c r="K33" s="2842"/>
      <c r="L33" s="2842"/>
      <c r="M33" s="2842"/>
      <c r="N33" s="2842"/>
      <c r="O33" s="2842"/>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2.75">
      <c r="A34" s="3514"/>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14"/>
      <c r="K34" s="2842"/>
      <c r="L34" s="2842"/>
      <c r="M34" s="2842"/>
      <c r="N34" s="2842"/>
      <c r="O34" s="2842"/>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2.75">
      <c r="A35" s="3514"/>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14"/>
      <c r="K35" s="2842"/>
      <c r="L35" s="2842"/>
      <c r="M35" s="2842"/>
      <c r="N35" s="2842"/>
      <c r="O35" s="2842"/>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5" thickBot="1">
      <c r="A36" s="3515"/>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15"/>
      <c r="K36" s="2842"/>
      <c r="L36" s="2842"/>
      <c r="M36" s="2842"/>
      <c r="N36" s="2842"/>
      <c r="O36" s="2842"/>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12.75">
      <c r="A41" s="1351"/>
      <c r="B41" s="2832" t="s">
        <v>2945</v>
      </c>
      <c r="C41" s="828" t="e">
        <f>ROUND(POWER(1+E41,H41-G41)*(POWER(1+E41,G41)-1)/(POWER(1+E41,H41)-1),4)</f>
        <v>#DIV/0!</v>
      </c>
      <c r="D41" s="372" t="s">
        <v>2943</v>
      </c>
      <c r="E41" s="2831">
        <f>G20</f>
        <v>0</v>
      </c>
      <c r="F41" s="372" t="s">
        <v>2944</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3" t="s">
        <v>997</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5">
      <c r="A45" s="2278" t="s">
        <v>998</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999</v>
      </c>
      <c r="B46" s="2262" t="s">
        <v>1000</v>
      </c>
      <c r="C46" s="2284" t="s">
        <v>1001</v>
      </c>
      <c r="D46" s="2285" t="s">
        <v>1002</v>
      </c>
      <c r="E46" s="2286" t="s">
        <v>1004</v>
      </c>
      <c r="F46" s="2287" t="s">
        <v>2238</v>
      </c>
      <c r="G46" s="2285" t="s">
        <v>1005</v>
      </c>
      <c r="H46" s="2268" t="s">
        <v>2402</v>
      </c>
      <c r="I46" s="2285" t="s">
        <v>1003</v>
      </c>
      <c r="J46" s="2288" t="s">
        <v>1006</v>
      </c>
      <c r="K46" s="2288" t="s">
        <v>1007</v>
      </c>
      <c r="L46" s="2288" t="s">
        <v>1008</v>
      </c>
      <c r="M46" s="2288" t="s">
        <v>1009</v>
      </c>
      <c r="N46" s="2288" t="s">
        <v>1010</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24">
      <c r="A47" s="1049" t="s">
        <v>1011</v>
      </c>
      <c r="B47" s="2265" t="str">
        <f>估价对象房地状况!C16</f>
        <v>现状差，未来较好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14.25">
      <c r="A48" s="1049" t="s">
        <v>1012</v>
      </c>
      <c r="B48" s="2262" t="str">
        <f>估价对象房地状况!C18</f>
        <v>现状差，未来较好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1013</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36">
      <c r="A50" s="1049" t="s">
        <v>1014</v>
      </c>
      <c r="B50" s="2784" t="s">
        <v>2901</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1015</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24">
      <c r="A52" s="1049" t="s">
        <v>1016</v>
      </c>
      <c r="B52" s="2783" t="s">
        <v>2900</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4" t="s">
        <v>1017</v>
      </c>
      <c r="B53" s="2263" t="str">
        <f>估价对象房地状况!C21</f>
        <v>现状差，未来好</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4" t="s">
        <v>1018</v>
      </c>
      <c r="B54" s="2262" t="str">
        <f>估价对象房地状况!C22</f>
        <v>七桶</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24.75" thickBot="1">
      <c r="A55" s="2295" t="s">
        <v>1019</v>
      </c>
      <c r="B55" s="2266" t="str">
        <f>估价对象房地状况!C20</f>
        <v>现状一般，未来较好</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5">
      <c r="A56" s="2278" t="s">
        <v>1020</v>
      </c>
      <c r="B56" s="2279">
        <f>1+E58</f>
        <v>1</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999</v>
      </c>
      <c r="B57" s="2262"/>
      <c r="C57" s="2284" t="s">
        <v>1001</v>
      </c>
      <c r="D57" s="2285" t="s">
        <v>1002</v>
      </c>
      <c r="E57" s="2286" t="s">
        <v>1004</v>
      </c>
      <c r="F57" s="2287" t="s">
        <v>2239</v>
      </c>
      <c r="G57" s="2285" t="s">
        <v>1005</v>
      </c>
      <c r="H57" s="2268" t="s">
        <v>2402</v>
      </c>
      <c r="I57" s="2285" t="s">
        <v>1003</v>
      </c>
      <c r="J57" s="2288" t="s">
        <v>1006</v>
      </c>
      <c r="K57" s="2288" t="s">
        <v>1007</v>
      </c>
      <c r="L57" s="2288" t="s">
        <v>1008</v>
      </c>
      <c r="M57" s="2288" t="s">
        <v>1009</v>
      </c>
      <c r="N57" s="2288" t="s">
        <v>1010</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24">
      <c r="A58" s="1049" t="s">
        <v>1021</v>
      </c>
      <c r="B58" s="2265" t="str">
        <f>估价对象房地状况!C17</f>
        <v>现状差，未来较好</v>
      </c>
      <c r="C58" s="1036"/>
      <c r="D58" s="2271">
        <f t="shared" ref="D58:D66" si="15">SUMIF($J$57:$N$57,C58,J58:N58)</f>
        <v>0</v>
      </c>
      <c r="E58" s="2290">
        <f>ROUND(SUM(D58:D66),4)</f>
        <v>0</v>
      </c>
      <c r="F58" s="2291" t="str">
        <f>IF(E2="办公",SUMIF(L1:L12,G2,N1:N12),"——")</f>
        <v>——</v>
      </c>
      <c r="G58" s="2269"/>
      <c r="H58" s="2314" t="str">
        <f>IFERROR(ROUNDDOWN($F$58*I58/2,4),"——")</f>
        <v>——</v>
      </c>
      <c r="I58" s="2289">
        <v>0.24</v>
      </c>
      <c r="J58" s="2292">
        <f t="shared" ref="J58:J66" si="16">K58+$G58</f>
        <v>0</v>
      </c>
      <c r="K58" s="2292">
        <f t="shared" ref="K58:K66" si="17">$L58+$G58</f>
        <v>0</v>
      </c>
      <c r="L58" s="2292">
        <v>0</v>
      </c>
      <c r="M58" s="2292">
        <f t="shared" ref="M58:N66" si="18">L58-$G58</f>
        <v>0</v>
      </c>
      <c r="N58" s="2292">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14.25">
      <c r="A59" s="1049" t="s">
        <v>1012</v>
      </c>
      <c r="B59" s="2262" t="str">
        <f>估价对象房地状况!C18</f>
        <v>现状差，未来较好</v>
      </c>
      <c r="C59" s="1036"/>
      <c r="D59" s="2271">
        <f t="shared" si="15"/>
        <v>0</v>
      </c>
      <c r="E59" s="2293"/>
      <c r="F59" s="2291"/>
      <c r="G59" s="2269"/>
      <c r="H59" s="2270" t="str">
        <f t="shared" ref="H59:H66" si="19">IFERROR($F$58*I59/2,"——")</f>
        <v>——</v>
      </c>
      <c r="I59" s="2289">
        <v>0.3</v>
      </c>
      <c r="J59" s="2292">
        <f t="shared" si="16"/>
        <v>0</v>
      </c>
      <c r="K59" s="2292">
        <f t="shared" si="17"/>
        <v>0</v>
      </c>
      <c r="L59" s="2292">
        <v>0</v>
      </c>
      <c r="M59" s="2292">
        <f t="shared" si="18"/>
        <v>0</v>
      </c>
      <c r="N59" s="2292">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1013</v>
      </c>
      <c r="B60" s="2262">
        <f>估价对象房地状况!C19</f>
        <v>0</v>
      </c>
      <c r="C60" s="1036"/>
      <c r="D60" s="2271">
        <f t="shared" si="15"/>
        <v>0</v>
      </c>
      <c r="E60" s="2293"/>
      <c r="F60" s="2291"/>
      <c r="G60" s="2269"/>
      <c r="H60" s="2270" t="str">
        <f t="shared" si="19"/>
        <v>——</v>
      </c>
      <c r="I60" s="2289">
        <v>0.08</v>
      </c>
      <c r="J60" s="2292">
        <f t="shared" si="16"/>
        <v>0</v>
      </c>
      <c r="K60" s="2292">
        <f t="shared" si="17"/>
        <v>0</v>
      </c>
      <c r="L60" s="2292">
        <v>0</v>
      </c>
      <c r="M60" s="2292">
        <f t="shared" si="18"/>
        <v>0</v>
      </c>
      <c r="N60" s="2292">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36">
      <c r="A61" s="1049" t="s">
        <v>1014</v>
      </c>
      <c r="B61" s="2784" t="s">
        <v>2902</v>
      </c>
      <c r="C61" s="1036"/>
      <c r="D61" s="2271">
        <f t="shared" si="15"/>
        <v>0</v>
      </c>
      <c r="E61" s="2293"/>
      <c r="F61" s="2291"/>
      <c r="G61" s="2269"/>
      <c r="H61" s="2270" t="str">
        <f t="shared" si="19"/>
        <v>——</v>
      </c>
      <c r="I61" s="2289">
        <v>0.04</v>
      </c>
      <c r="J61" s="2292">
        <f t="shared" si="16"/>
        <v>0</v>
      </c>
      <c r="K61" s="2292">
        <f t="shared" si="17"/>
        <v>0</v>
      </c>
      <c r="L61" s="2292">
        <v>0</v>
      </c>
      <c r="M61" s="2292">
        <f t="shared" si="18"/>
        <v>0</v>
      </c>
      <c r="N61" s="2292">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1015</v>
      </c>
      <c r="B62" s="2262">
        <f>估价对象房地状况!C24</f>
        <v>0</v>
      </c>
      <c r="C62" s="1036"/>
      <c r="D62" s="2271">
        <f t="shared" si="15"/>
        <v>0</v>
      </c>
      <c r="E62" s="2293"/>
      <c r="F62" s="2291"/>
      <c r="G62" s="2269"/>
      <c r="H62" s="2270" t="str">
        <f t="shared" si="19"/>
        <v>——</v>
      </c>
      <c r="I62" s="2289">
        <v>0.05</v>
      </c>
      <c r="J62" s="2292">
        <f t="shared" si="16"/>
        <v>0</v>
      </c>
      <c r="K62" s="2292">
        <f t="shared" si="17"/>
        <v>0</v>
      </c>
      <c r="L62" s="2292">
        <v>0</v>
      </c>
      <c r="M62" s="2292">
        <f t="shared" si="18"/>
        <v>0</v>
      </c>
      <c r="N62" s="2292">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24">
      <c r="A63" s="1049" t="s">
        <v>1016</v>
      </c>
      <c r="B63" s="2783" t="s">
        <v>2900</v>
      </c>
      <c r="C63" s="1036"/>
      <c r="D63" s="2271">
        <f t="shared" si="15"/>
        <v>0</v>
      </c>
      <c r="E63" s="2293"/>
      <c r="F63" s="2291"/>
      <c r="G63" s="2269"/>
      <c r="H63" s="2270" t="str">
        <f t="shared" si="19"/>
        <v>——</v>
      </c>
      <c r="I63" s="2289">
        <v>0.05</v>
      </c>
      <c r="J63" s="2292">
        <f t="shared" si="16"/>
        <v>0</v>
      </c>
      <c r="K63" s="2292">
        <f t="shared" si="17"/>
        <v>0</v>
      </c>
      <c r="L63" s="2292">
        <v>0</v>
      </c>
      <c r="M63" s="2292">
        <f t="shared" si="18"/>
        <v>0</v>
      </c>
      <c r="N63" s="2292">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1017</v>
      </c>
      <c r="B64" s="2263" t="str">
        <f>估价对象房地状况!C21</f>
        <v>现状差，未来好</v>
      </c>
      <c r="C64" s="1036"/>
      <c r="D64" s="2271">
        <f t="shared" si="15"/>
        <v>0</v>
      </c>
      <c r="E64" s="2293"/>
      <c r="F64" s="2291"/>
      <c r="G64" s="2269"/>
      <c r="H64" s="2270" t="str">
        <f t="shared" si="19"/>
        <v>——</v>
      </c>
      <c r="I64" s="2289">
        <v>0.06</v>
      </c>
      <c r="J64" s="2292">
        <f t="shared" si="16"/>
        <v>0</v>
      </c>
      <c r="K64" s="2292">
        <f t="shared" si="17"/>
        <v>0</v>
      </c>
      <c r="L64" s="2292">
        <v>0</v>
      </c>
      <c r="M64" s="2292">
        <f t="shared" si="18"/>
        <v>0</v>
      </c>
      <c r="N64" s="2292">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1018</v>
      </c>
      <c r="B65" s="2263" t="str">
        <f>估价对象房地状况!C22</f>
        <v>七桶</v>
      </c>
      <c r="C65" s="1036"/>
      <c r="D65" s="2271">
        <f t="shared" si="15"/>
        <v>0</v>
      </c>
      <c r="E65" s="2293"/>
      <c r="F65" s="2291"/>
      <c r="G65" s="2269"/>
      <c r="H65" s="2270" t="str">
        <f t="shared" si="19"/>
        <v>——</v>
      </c>
      <c r="I65" s="2289">
        <v>0.12</v>
      </c>
      <c r="J65" s="2292">
        <f t="shared" si="16"/>
        <v>0</v>
      </c>
      <c r="K65" s="2292">
        <f t="shared" si="17"/>
        <v>0</v>
      </c>
      <c r="L65" s="2292">
        <v>0</v>
      </c>
      <c r="M65" s="2292">
        <f t="shared" si="18"/>
        <v>0</v>
      </c>
      <c r="N65" s="2292">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24.75" thickBot="1">
      <c r="A66" s="2295" t="s">
        <v>1019</v>
      </c>
      <c r="B66" s="2267" t="str">
        <f>估价对象房地状况!C20</f>
        <v>现状一般，未来较好</v>
      </c>
      <c r="C66" s="1036"/>
      <c r="D66" s="2271">
        <f t="shared" si="15"/>
        <v>0</v>
      </c>
      <c r="E66" s="2297"/>
      <c r="F66" s="2291"/>
      <c r="G66" s="2269"/>
      <c r="H66" s="2270" t="str">
        <f t="shared" si="19"/>
        <v>——</v>
      </c>
      <c r="I66" s="2296">
        <v>0.06</v>
      </c>
      <c r="J66" s="2292">
        <f t="shared" si="16"/>
        <v>0</v>
      </c>
      <c r="K66" s="2292">
        <f t="shared" si="17"/>
        <v>0</v>
      </c>
      <c r="L66" s="2292">
        <v>0</v>
      </c>
      <c r="M66" s="2292">
        <f t="shared" si="18"/>
        <v>0</v>
      </c>
      <c r="N66" s="2292">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5">
      <c r="A67" s="2278" t="s">
        <v>1022</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999</v>
      </c>
      <c r="B68" s="2262"/>
      <c r="C68" s="2284" t="s">
        <v>1001</v>
      </c>
      <c r="D68" s="2285" t="s">
        <v>1002</v>
      </c>
      <c r="E68" s="2286" t="s">
        <v>1004</v>
      </c>
      <c r="F68" s="2287" t="s">
        <v>2240</v>
      </c>
      <c r="G68" s="2285" t="s">
        <v>1005</v>
      </c>
      <c r="H68" s="2268" t="s">
        <v>2402</v>
      </c>
      <c r="I68" s="2285" t="s">
        <v>1003</v>
      </c>
      <c r="J68" s="2288" t="s">
        <v>1006</v>
      </c>
      <c r="K68" s="2288" t="s">
        <v>1007</v>
      </c>
      <c r="L68" s="2288" t="s">
        <v>1008</v>
      </c>
      <c r="M68" s="2288" t="s">
        <v>1009</v>
      </c>
      <c r="N68" s="2288" t="s">
        <v>1010</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24">
      <c r="A69" s="1049" t="s">
        <v>1023</v>
      </c>
      <c r="B69" s="2265" t="str">
        <f>估价对象房地状况!C15</f>
        <v>现状差，未来好</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14.25">
      <c r="A70" s="1049" t="s">
        <v>1024</v>
      </c>
      <c r="B70" s="2262" t="str">
        <f>估价对象房地状况!C18</f>
        <v>现状差，未来较好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1013</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4.25">
      <c r="A72" s="1049" t="s">
        <v>1025</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1017</v>
      </c>
      <c r="B73" s="2263" t="str">
        <f>估价对象房地状况!C21</f>
        <v>现状差，未来好</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1018</v>
      </c>
      <c r="B74" s="2263" t="str">
        <f>估价对象房地状况!C22</f>
        <v>七桶</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24">
      <c r="A75" s="1049" t="s">
        <v>1016</v>
      </c>
      <c r="B75" s="2783" t="s">
        <v>2900</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24">
      <c r="A76" s="1049" t="s">
        <v>1019</v>
      </c>
      <c r="B76" s="2265" t="str">
        <f>估价对象房地状况!C20</f>
        <v>现状一般，未来较好</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1"/>
      <c r="AN76" s="1352"/>
    </row>
    <row r="77" spans="1:40" ht="24.75" thickBot="1">
      <c r="A77" s="2295" t="s">
        <v>1026</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3"/>
      <c r="AD77" s="1352"/>
      <c r="AJ77" s="1351"/>
      <c r="AN77" s="1352"/>
    </row>
    <row r="78" spans="1:40" ht="15">
      <c r="A78" s="2278" t="s">
        <v>1027</v>
      </c>
      <c r="B78" s="2279">
        <f>1+E80</f>
        <v>1</v>
      </c>
      <c r="C78" s="2298"/>
      <c r="D78" s="2281"/>
      <c r="E78" s="2282"/>
      <c r="F78" s="2283"/>
      <c r="G78" s="2277"/>
      <c r="H78" s="2277"/>
      <c r="I78" s="2277"/>
      <c r="J78" s="1048"/>
      <c r="K78" s="1048"/>
      <c r="L78" s="1048"/>
      <c r="M78" s="1048"/>
      <c r="N78" s="1048"/>
      <c r="AC78" s="1353"/>
      <c r="AD78" s="1352"/>
      <c r="AJ78" s="1351"/>
      <c r="AN78" s="1352"/>
    </row>
    <row r="79" spans="1:40" ht="24">
      <c r="A79" s="1049" t="s">
        <v>999</v>
      </c>
      <c r="B79" s="2262"/>
      <c r="C79" s="2284" t="s">
        <v>1001</v>
      </c>
      <c r="D79" s="2285" t="s">
        <v>1002</v>
      </c>
      <c r="E79" s="2286" t="s">
        <v>1004</v>
      </c>
      <c r="F79" s="2287" t="s">
        <v>2241</v>
      </c>
      <c r="G79" s="2285" t="s">
        <v>1005</v>
      </c>
      <c r="H79" s="2268" t="s">
        <v>2402</v>
      </c>
      <c r="I79" s="2285" t="s">
        <v>1003</v>
      </c>
      <c r="J79" s="2288" t="s">
        <v>1006</v>
      </c>
      <c r="K79" s="2288" t="s">
        <v>1007</v>
      </c>
      <c r="L79" s="2288" t="s">
        <v>1008</v>
      </c>
      <c r="M79" s="2288" t="s">
        <v>1009</v>
      </c>
      <c r="N79" s="2288" t="s">
        <v>1010</v>
      </c>
      <c r="AC79" s="1353"/>
      <c r="AD79" s="1352"/>
      <c r="AJ79" s="1351"/>
      <c r="AN79" s="1352"/>
    </row>
    <row r="80" spans="1:40" ht="36">
      <c r="A80" s="1049" t="s">
        <v>1028</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3"/>
      <c r="AD80" s="1352"/>
      <c r="AJ80" s="1351"/>
      <c r="AN80" s="1352"/>
    </row>
    <row r="81" spans="1:40" ht="48">
      <c r="A81" s="1049" t="s">
        <v>1024</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3"/>
      <c r="AD81" s="1352"/>
      <c r="AJ81" s="1351"/>
      <c r="AN81" s="1352"/>
    </row>
    <row r="82" spans="1:40" ht="24">
      <c r="A82" s="1049" t="s">
        <v>1013</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3"/>
      <c r="AD82" s="1352"/>
      <c r="AJ82" s="1351"/>
      <c r="AN82" s="1352"/>
    </row>
    <row r="83" spans="1:40" ht="14.25">
      <c r="A83" s="1049" t="s">
        <v>1025</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3"/>
      <c r="AD83" s="1352"/>
      <c r="AJ83" s="1351"/>
      <c r="AN83" s="1352"/>
    </row>
    <row r="84" spans="1:40" ht="24">
      <c r="A84" s="1049" t="s">
        <v>1017</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3"/>
      <c r="AD84" s="1352"/>
      <c r="AJ84" s="1351"/>
      <c r="AN84" s="1352"/>
    </row>
    <row r="85" spans="1:40" ht="24">
      <c r="A85" s="1049" t="s">
        <v>1018</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3"/>
      <c r="AD85" s="1352"/>
      <c r="AJ85" s="1351"/>
      <c r="AN85" s="1352"/>
    </row>
    <row r="86" spans="1:40" ht="24">
      <c r="A86" s="1049" t="s">
        <v>1016</v>
      </c>
      <c r="B86" s="2783" t="s">
        <v>2900</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3"/>
      <c r="AD86" s="1352"/>
      <c r="AJ86" s="1351"/>
      <c r="AN86" s="1352"/>
    </row>
    <row r="87" spans="1:40" ht="36.75" thickBot="1">
      <c r="A87" s="2295" t="s">
        <v>1029</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3"/>
      <c r="AD87" s="1352"/>
      <c r="AJ87" s="1351"/>
      <c r="AN87" s="1352"/>
    </row>
    <row r="90" spans="1:40">
      <c r="A90" s="3511" t="s">
        <v>1624</v>
      </c>
      <c r="B90" s="3511"/>
      <c r="C90" s="3511"/>
      <c r="D90" s="3511"/>
      <c r="E90" s="3511"/>
      <c r="F90" s="3511"/>
      <c r="G90" s="3511"/>
      <c r="H90" s="3511"/>
      <c r="I90" s="3511"/>
      <c r="J90" s="3511"/>
      <c r="K90" s="2304"/>
      <c r="L90" s="2304"/>
      <c r="M90" s="2304"/>
      <c r="N90" s="2304"/>
    </row>
    <row r="91" spans="1:40">
      <c r="A91" s="3512" t="s">
        <v>1434</v>
      </c>
      <c r="B91" s="3512" t="s">
        <v>1625</v>
      </c>
      <c r="C91" s="1122" t="s">
        <v>1626</v>
      </c>
      <c r="D91" s="1123"/>
      <c r="E91" s="1123"/>
      <c r="F91" s="1123"/>
      <c r="G91" s="1123"/>
      <c r="H91" s="1123"/>
      <c r="I91" s="1123"/>
      <c r="J91" s="1124"/>
      <c r="K91" s="1116"/>
      <c r="L91" s="1116"/>
      <c r="M91" s="1116"/>
      <c r="N91" s="1116"/>
    </row>
    <row r="92" spans="1:40">
      <c r="A92" s="3512"/>
      <c r="B92" s="3512"/>
      <c r="C92" s="2303" t="s">
        <v>898</v>
      </c>
      <c r="D92" s="2303" t="s">
        <v>876</v>
      </c>
      <c r="E92" s="2303" t="s">
        <v>877</v>
      </c>
      <c r="F92" s="2303" t="s">
        <v>901</v>
      </c>
      <c r="G92" s="2303" t="s">
        <v>879</v>
      </c>
      <c r="H92" s="2303" t="s">
        <v>880</v>
      </c>
      <c r="I92" s="2303" t="s">
        <v>881</v>
      </c>
      <c r="J92" s="2303" t="s">
        <v>882</v>
      </c>
      <c r="K92" s="2303" t="s">
        <v>906</v>
      </c>
      <c r="L92" s="2303" t="s">
        <v>884</v>
      </c>
      <c r="M92" s="2303" t="s">
        <v>885</v>
      </c>
      <c r="N92" s="2303" t="s">
        <v>909</v>
      </c>
    </row>
    <row r="93" spans="1:40">
      <c r="A93" s="3519"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20"/>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20"/>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20"/>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20"/>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20"/>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20"/>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521"/>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519" t="s">
        <v>1628</v>
      </c>
      <c r="B101" s="1129" t="s">
        <v>897</v>
      </c>
      <c r="C101" s="1130">
        <f>$G$3</f>
        <v>4</v>
      </c>
      <c r="D101" s="1130">
        <f t="shared" ref="D101:N101" si="31">$G$3</f>
        <v>4</v>
      </c>
      <c r="E101" s="1130">
        <f t="shared" si="31"/>
        <v>4</v>
      </c>
      <c r="F101" s="1130">
        <f t="shared" si="31"/>
        <v>4</v>
      </c>
      <c r="G101" s="1130">
        <f t="shared" si="31"/>
        <v>4</v>
      </c>
      <c r="H101" s="1130">
        <f t="shared" si="31"/>
        <v>4</v>
      </c>
      <c r="I101" s="1130">
        <f t="shared" si="31"/>
        <v>4</v>
      </c>
      <c r="J101" s="1130">
        <f t="shared" si="31"/>
        <v>4</v>
      </c>
      <c r="K101" s="1130">
        <f t="shared" si="31"/>
        <v>4</v>
      </c>
      <c r="L101" s="1130">
        <f t="shared" si="31"/>
        <v>4</v>
      </c>
      <c r="M101" s="1130">
        <f t="shared" si="31"/>
        <v>4</v>
      </c>
      <c r="N101" s="1130">
        <f t="shared" si="31"/>
        <v>4</v>
      </c>
    </row>
    <row r="102" spans="1:14">
      <c r="A102" s="3520"/>
      <c r="B102" s="1125">
        <v>1</v>
      </c>
      <c r="C102" s="1126">
        <f>1.9362/C101</f>
        <v>0.48404999999999998</v>
      </c>
      <c r="D102" s="1126">
        <f>1.9362/D101</f>
        <v>0.48404999999999998</v>
      </c>
      <c r="E102" s="1126">
        <f>1.8629/E101</f>
        <v>0.465725</v>
      </c>
      <c r="F102" s="1126">
        <f>1.8629/F101</f>
        <v>0.465725</v>
      </c>
      <c r="G102" s="1126">
        <f>1.8629/G101</f>
        <v>0.465725</v>
      </c>
      <c r="H102" s="1126">
        <f>1.8629/H101</f>
        <v>0.465725</v>
      </c>
      <c r="I102" s="1126">
        <f>1.8629/I101</f>
        <v>0.465725</v>
      </c>
      <c r="J102" s="1126">
        <f>1.942/J101</f>
        <v>0.48549999999999999</v>
      </c>
      <c r="K102" s="1126">
        <f>1.942/K101</f>
        <v>0.48549999999999999</v>
      </c>
      <c r="L102" s="1126">
        <f>1.942/L101</f>
        <v>0.48549999999999999</v>
      </c>
      <c r="M102" s="1126">
        <f>1.942/M101</f>
        <v>0.48549999999999999</v>
      </c>
      <c r="N102" s="1126">
        <f>1.942/N101</f>
        <v>0.48549999999999999</v>
      </c>
    </row>
    <row r="103" spans="1:14">
      <c r="A103" s="3520"/>
      <c r="B103" s="1125">
        <v>2</v>
      </c>
      <c r="C103" s="1126">
        <f>1.4198/C101</f>
        <v>0.35494999999999999</v>
      </c>
      <c r="D103" s="1126">
        <f>1.4198/D101</f>
        <v>0.35494999999999999</v>
      </c>
      <c r="E103" s="1126">
        <f>1.3372/E101</f>
        <v>0.33429999999999999</v>
      </c>
      <c r="F103" s="1126">
        <f>1.3372/F101</f>
        <v>0.33429999999999999</v>
      </c>
      <c r="G103" s="1126">
        <f>1.3372/G101</f>
        <v>0.33429999999999999</v>
      </c>
      <c r="H103" s="1126">
        <f>1.3372/H101</f>
        <v>0.33429999999999999</v>
      </c>
      <c r="I103" s="1126">
        <f>1.3372/I101</f>
        <v>0.33429999999999999</v>
      </c>
      <c r="J103" s="1126">
        <f>1.2799/J101</f>
        <v>0.31997500000000001</v>
      </c>
      <c r="K103" s="1126">
        <f>1.2799/K101</f>
        <v>0.31997500000000001</v>
      </c>
      <c r="L103" s="1126">
        <f>1.2799/L101</f>
        <v>0.31997500000000001</v>
      </c>
      <c r="M103" s="1126">
        <f>1.2799/M101</f>
        <v>0.31997500000000001</v>
      </c>
      <c r="N103" s="1126">
        <f>1.2799/N101</f>
        <v>0.31997500000000001</v>
      </c>
    </row>
    <row r="104" spans="1:14">
      <c r="A104" s="3520"/>
      <c r="B104" s="1125">
        <v>3</v>
      </c>
      <c r="C104" s="1126">
        <f>1.1594/C101</f>
        <v>0.28985</v>
      </c>
      <c r="D104" s="1126">
        <f>1.1594/D101</f>
        <v>0.28985</v>
      </c>
      <c r="E104" s="1126">
        <f>1.0788/E101</f>
        <v>0.2697</v>
      </c>
      <c r="F104" s="1126">
        <f>1.0788/F101</f>
        <v>0.2697</v>
      </c>
      <c r="G104" s="1126">
        <f>1.0788/G101</f>
        <v>0.2697</v>
      </c>
      <c r="H104" s="1126">
        <f>1.0788/H101</f>
        <v>0.2697</v>
      </c>
      <c r="I104" s="1126">
        <f>1.0788/I101</f>
        <v>0.2697</v>
      </c>
      <c r="J104" s="1126">
        <f>1.0072/J101</f>
        <v>0.25180000000000002</v>
      </c>
      <c r="K104" s="1126">
        <f>1.0072/K101</f>
        <v>0.25180000000000002</v>
      </c>
      <c r="L104" s="1126">
        <f>1.0072/L101</f>
        <v>0.25180000000000002</v>
      </c>
      <c r="M104" s="1126">
        <f>1.0072/M101</f>
        <v>0.25180000000000002</v>
      </c>
      <c r="N104" s="1126">
        <f>1.0072/N101</f>
        <v>0.25180000000000002</v>
      </c>
    </row>
    <row r="105" spans="1:14">
      <c r="A105" s="3520"/>
      <c r="B105" s="1125">
        <v>4</v>
      </c>
      <c r="C105" s="1126">
        <f>0.9622/C101</f>
        <v>0.24055000000000001</v>
      </c>
      <c r="D105" s="1126">
        <f>0.9622/D101</f>
        <v>0.24055000000000001</v>
      </c>
      <c r="E105" s="1126">
        <f>0.8656/E101</f>
        <v>0.21640000000000001</v>
      </c>
      <c r="F105" s="1126">
        <f>0.8656/F101</f>
        <v>0.21640000000000001</v>
      </c>
      <c r="G105" s="1126">
        <f>0.8656/G101</f>
        <v>0.21640000000000001</v>
      </c>
      <c r="H105" s="1126">
        <f>0.8656/H101</f>
        <v>0.21640000000000001</v>
      </c>
      <c r="I105" s="1126">
        <f>0.8656/I101</f>
        <v>0.21640000000000001</v>
      </c>
      <c r="J105" s="1126">
        <f>0.7525/J101</f>
        <v>0.18812499999999999</v>
      </c>
      <c r="K105" s="1126">
        <f>0.7525/K101</f>
        <v>0.18812499999999999</v>
      </c>
      <c r="L105" s="1126">
        <f>0.7525/L101</f>
        <v>0.18812499999999999</v>
      </c>
      <c r="M105" s="1126">
        <f>0.7525/M101</f>
        <v>0.18812499999999999</v>
      </c>
      <c r="N105" s="1126">
        <f>0.7525/N101</f>
        <v>0.18812499999999999</v>
      </c>
    </row>
    <row r="106" spans="1:14">
      <c r="A106" s="3520"/>
      <c r="B106" s="1125">
        <v>5</v>
      </c>
      <c r="C106" s="1126">
        <f>0.8417/C101</f>
        <v>0.210425</v>
      </c>
      <c r="D106" s="1126">
        <f>0.8417/D101</f>
        <v>0.210425</v>
      </c>
      <c r="E106" s="1126">
        <f>0.7371/E101</f>
        <v>0.18427499999999999</v>
      </c>
      <c r="F106" s="1126">
        <f>0.7371/F101</f>
        <v>0.18427499999999999</v>
      </c>
      <c r="G106" s="1126">
        <f>0.7371/G101</f>
        <v>0.18427499999999999</v>
      </c>
      <c r="H106" s="1126">
        <f>0.7371/H101</f>
        <v>0.18427499999999999</v>
      </c>
      <c r="I106" s="1126">
        <f>0.7371/I101</f>
        <v>0.18427499999999999</v>
      </c>
      <c r="J106" s="1126">
        <f>0.5659/J101</f>
        <v>0.14147499999999999</v>
      </c>
      <c r="K106" s="1126">
        <f>0.5659/K101</f>
        <v>0.14147499999999999</v>
      </c>
      <c r="L106" s="1126">
        <f>0.5659/L101</f>
        <v>0.14147499999999999</v>
      </c>
      <c r="M106" s="1126">
        <f>0.5659/M101</f>
        <v>0.14147499999999999</v>
      </c>
      <c r="N106" s="1126">
        <f>0.5659/N101</f>
        <v>0.14147499999999999</v>
      </c>
    </row>
    <row r="107" spans="1:14">
      <c r="A107" s="3520"/>
      <c r="B107" s="1125">
        <v>6</v>
      </c>
      <c r="C107" s="1126">
        <f>0.7608/C101</f>
        <v>0.19020000000000001</v>
      </c>
      <c r="D107" s="1126">
        <f>0.7608/D101</f>
        <v>0.19020000000000001</v>
      </c>
      <c r="E107" s="1126">
        <f>0.6482/E101</f>
        <v>0.16205</v>
      </c>
      <c r="F107" s="1126">
        <f>0.6482/F101</f>
        <v>0.16205</v>
      </c>
      <c r="G107" s="1126">
        <f>0.6482/G101</f>
        <v>0.16205</v>
      </c>
      <c r="H107" s="1126">
        <f>0.6482/H101</f>
        <v>0.16205</v>
      </c>
      <c r="I107" s="1126">
        <f>0.6482/I101</f>
        <v>0.16205</v>
      </c>
      <c r="J107" s="1126">
        <f>0.4525/J101</f>
        <v>0.113125</v>
      </c>
      <c r="K107" s="1126">
        <f>0.4525/K101</f>
        <v>0.113125</v>
      </c>
      <c r="L107" s="1126">
        <f>0.4525/L101</f>
        <v>0.113125</v>
      </c>
      <c r="M107" s="1126">
        <f>0.4525/M101</f>
        <v>0.113125</v>
      </c>
      <c r="N107" s="1126">
        <f>0.4525/N101</f>
        <v>0.113125</v>
      </c>
    </row>
    <row r="108" spans="1:14">
      <c r="A108" s="3520"/>
      <c r="B108" s="3522"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521"/>
      <c r="B109" s="3523"/>
      <c r="C109" s="1128">
        <f>(-0.163*(C108^2)-0.59*C108+7617)*(10^(-4))/C101</f>
        <v>0.19042500000000001</v>
      </c>
      <c r="D109" s="1128">
        <f>(-0.163*(D108^2)-0.59*D108+7617)*(10^(-4))/D101</f>
        <v>0.19042500000000001</v>
      </c>
      <c r="E109" s="1128">
        <f>(-0.161*(E108^2)-7.509*E108+6533)*(10^(-4))/E101</f>
        <v>0.163325</v>
      </c>
      <c r="F109" s="1128">
        <f>(-0.161*(F108^2)-7.509*F108+6533)*(10^(-4))/F101</f>
        <v>0.163325</v>
      </c>
      <c r="G109" s="1128">
        <f>(-0.161*(G108^2)-7.509*G108+6533)*(10^(-4))/G101</f>
        <v>0.163325</v>
      </c>
      <c r="H109" s="1128">
        <f>(-0.161*(H108^2)-7.509*H108+6533)*(10^(-4))/H101</f>
        <v>0.163325</v>
      </c>
      <c r="I109" s="1128">
        <f>(-0.161*(I108^2)-7.509*I108+6533)*(10^(-4))/I101</f>
        <v>0.163325</v>
      </c>
      <c r="J109" s="1128">
        <f>(-0.214*(J108^2)-21.991*J108+4665)*(10^(-4))/J101</f>
        <v>0.11662500000000001</v>
      </c>
      <c r="K109" s="1128">
        <f>(-0.214*(K108^2)-21.991*K108+4665)*(10^(-4))/K101</f>
        <v>0.11662500000000001</v>
      </c>
      <c r="L109" s="1128">
        <f>(-0.214*(L108^2)-21.991*L108+4665)*(10^(-4))/L101</f>
        <v>0.11662500000000001</v>
      </c>
      <c r="M109" s="1128">
        <f>(-0.214*(M108^2)-21.991*M108+4665)*(10^(-4))/M101</f>
        <v>0.11662500000000001</v>
      </c>
      <c r="N109" s="1128">
        <f>(-0.214*(N108^2)-21.991*N108+4665)*(10^(-4))/N101</f>
        <v>0.11662500000000001</v>
      </c>
    </row>
    <row r="110" spans="1:14">
      <c r="A110" s="3505" t="s">
        <v>1630</v>
      </c>
      <c r="B110" s="3505"/>
      <c r="C110" s="3505"/>
      <c r="D110" s="3505"/>
      <c r="E110" s="3505"/>
      <c r="F110" s="3505"/>
      <c r="G110" s="3505"/>
      <c r="H110" s="3505"/>
      <c r="I110" s="3505"/>
      <c r="J110" s="3505"/>
      <c r="K110" s="2302"/>
      <c r="L110" s="2302"/>
      <c r="M110" s="2302"/>
      <c r="N110" s="2302"/>
    </row>
    <row r="112" spans="1:14" ht="12.75" thickBot="1"/>
    <row r="113" spans="1:13" ht="25.5" thickBot="1">
      <c r="A113" s="1002" t="s">
        <v>887</v>
      </c>
      <c r="B113" s="2305">
        <f>G3</f>
        <v>4</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0.89590000000000003</v>
      </c>
      <c r="C115" s="1016">
        <f>B115</f>
        <v>0.89590000000000003</v>
      </c>
      <c r="D115" s="1016">
        <f>ROUND(0.8331-0.0109*B113,4)</f>
        <v>0.78949999999999998</v>
      </c>
      <c r="E115" s="1016">
        <f>D115</f>
        <v>0.78949999999999998</v>
      </c>
      <c r="F115" s="1016">
        <f>E115</f>
        <v>0.78949999999999998</v>
      </c>
      <c r="G115" s="1016">
        <f>F115</f>
        <v>0.78949999999999998</v>
      </c>
      <c r="H115" s="1016">
        <f>G115</f>
        <v>0.78949999999999998</v>
      </c>
      <c r="I115" s="1016">
        <f>ROUND(0.689-0.0155*B113,4)</f>
        <v>0.627</v>
      </c>
      <c r="J115" s="1016">
        <f t="shared" ref="J115:M118" si="33">I115</f>
        <v>0.627</v>
      </c>
      <c r="K115" s="1016">
        <f t="shared" si="33"/>
        <v>0.627</v>
      </c>
      <c r="L115" s="1016">
        <f t="shared" si="33"/>
        <v>0.627</v>
      </c>
      <c r="M115" s="1017">
        <f t="shared" si="33"/>
        <v>0.627</v>
      </c>
    </row>
    <row r="116" spans="1:13" ht="12.75">
      <c r="A116" s="1015" t="s">
        <v>892</v>
      </c>
      <c r="B116" s="1016">
        <f>ROUND(0.949-0.012*B113,4)</f>
        <v>0.90100000000000002</v>
      </c>
      <c r="C116" s="1016">
        <f>B116</f>
        <v>0.90100000000000002</v>
      </c>
      <c r="D116" s="1016">
        <f>ROUND(0.8567-0.013*B113,4)</f>
        <v>0.80469999999999997</v>
      </c>
      <c r="E116" s="1016">
        <f t="shared" ref="E116:H117" si="34">D116</f>
        <v>0.80469999999999997</v>
      </c>
      <c r="F116" s="1016">
        <f t="shared" si="34"/>
        <v>0.80469999999999997</v>
      </c>
      <c r="G116" s="1016">
        <f t="shared" si="34"/>
        <v>0.80469999999999997</v>
      </c>
      <c r="H116" s="1016">
        <f t="shared" si="34"/>
        <v>0.80469999999999997</v>
      </c>
      <c r="I116" s="1016">
        <f>ROUND(0.7694-0.014*B113,4)</f>
        <v>0.71340000000000003</v>
      </c>
      <c r="J116" s="1016">
        <f t="shared" si="33"/>
        <v>0.71340000000000003</v>
      </c>
      <c r="K116" s="1016">
        <f t="shared" si="33"/>
        <v>0.71340000000000003</v>
      </c>
      <c r="L116" s="1016">
        <f t="shared" si="33"/>
        <v>0.71340000000000003</v>
      </c>
      <c r="M116" s="1017">
        <f t="shared" si="33"/>
        <v>0.71340000000000003</v>
      </c>
    </row>
    <row r="117" spans="1:13" ht="12.75">
      <c r="A117" s="1018" t="s">
        <v>893</v>
      </c>
      <c r="B117" s="1016">
        <f>ROUND(0.8808-0.006*B113,4)</f>
        <v>0.85680000000000001</v>
      </c>
      <c r="C117" s="1016">
        <f>B117</f>
        <v>0.85680000000000001</v>
      </c>
      <c r="D117" s="1016">
        <f>ROUND(0.8748-0.008*B113,4)</f>
        <v>0.84279999999999999</v>
      </c>
      <c r="E117" s="1016">
        <f t="shared" si="34"/>
        <v>0.84279999999999999</v>
      </c>
      <c r="F117" s="1016">
        <f t="shared" si="34"/>
        <v>0.84279999999999999</v>
      </c>
      <c r="G117" s="1016">
        <f t="shared" si="34"/>
        <v>0.84279999999999999</v>
      </c>
      <c r="H117" s="1016">
        <f t="shared" si="34"/>
        <v>0.84279999999999999</v>
      </c>
      <c r="I117" s="1016">
        <f>ROUND(0.7412-0.0095*B113,4)</f>
        <v>0.70320000000000005</v>
      </c>
      <c r="J117" s="1016">
        <f t="shared" si="33"/>
        <v>0.70320000000000005</v>
      </c>
      <c r="K117" s="1016">
        <f t="shared" si="33"/>
        <v>0.70320000000000005</v>
      </c>
      <c r="L117" s="1016">
        <f t="shared" si="33"/>
        <v>0.70320000000000005</v>
      </c>
      <c r="M117" s="1017">
        <f t="shared" si="33"/>
        <v>0.70320000000000005</v>
      </c>
    </row>
    <row r="118" spans="1:13" ht="13.5" thickBot="1">
      <c r="A118" s="1019" t="s">
        <v>894</v>
      </c>
      <c r="B118" s="1020">
        <f>ROUND(0.7275-0.01*B113,4)</f>
        <v>0.6875</v>
      </c>
      <c r="C118" s="1020">
        <f>B118</f>
        <v>0.6875</v>
      </c>
      <c r="D118" s="1020">
        <f>ROUND(0.7043-0.012*B113,4)</f>
        <v>0.65629999999999999</v>
      </c>
      <c r="E118" s="1020">
        <f>D118</f>
        <v>0.65629999999999999</v>
      </c>
      <c r="F118" s="1020">
        <f>E118</f>
        <v>0.65629999999999999</v>
      </c>
      <c r="G118" s="1020">
        <f>ROUND(0.6299-0.0122*B113,4)</f>
        <v>0.58109999999999995</v>
      </c>
      <c r="H118" s="1020">
        <f>G118</f>
        <v>0.58109999999999995</v>
      </c>
      <c r="I118" s="1020">
        <f>ROUND(0.5667-0.0136*B113,4)</f>
        <v>0.51229999999999998</v>
      </c>
      <c r="J118" s="1020">
        <f t="shared" si="33"/>
        <v>0.51229999999999998</v>
      </c>
      <c r="K118" s="1020">
        <f t="shared" si="33"/>
        <v>0.51229999999999998</v>
      </c>
      <c r="L118" s="1020">
        <f t="shared" si="33"/>
        <v>0.51229999999999998</v>
      </c>
      <c r="M118" s="1021">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4" type="noConversion"/>
  <conditionalFormatting sqref="F47">
    <cfRule type="cellIs" dxfId="169" priority="5" stopIfTrue="1" operator="notEqual">
      <formula>"——"</formula>
    </cfRule>
  </conditionalFormatting>
  <conditionalFormatting sqref="F58">
    <cfRule type="cellIs" dxfId="168" priority="4" stopIfTrue="1" operator="notEqual">
      <formula>"——"</formula>
    </cfRule>
  </conditionalFormatting>
  <conditionalFormatting sqref="F69">
    <cfRule type="cellIs" dxfId="167" priority="3" stopIfTrue="1" operator="notEqual">
      <formula>"——"</formula>
    </cfRule>
  </conditionalFormatting>
  <conditionalFormatting sqref="F80">
    <cfRule type="cellIs" dxfId="166" priority="2" stopIfTrue="1" operator="notEqual">
      <formula>"——"</formula>
    </cfRule>
  </conditionalFormatting>
  <conditionalFormatting sqref="H58:H66 H47:H55 H69:H77 H80:H87">
    <cfRule type="cellIs" dxfId="165"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48" customWidth="1"/>
    <col min="2" max="9" width="8.125" style="1087" customWidth="1"/>
    <col min="10" max="13" width="8.125" style="1048"/>
    <col min="14" max="14" width="10" style="1048" customWidth="1"/>
    <col min="15" max="16" width="8.125" style="1048"/>
    <col min="17" max="17" width="34.125" style="1048" customWidth="1"/>
    <col min="18" max="18" width="8.125" style="1048" customWidth="1"/>
    <col min="19" max="19" width="8.125" style="1048"/>
    <col min="20" max="20" width="11.625" style="1048" customWidth="1"/>
    <col min="21" max="16384" width="8.1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4" t="s">
        <v>2947</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12" t="s">
        <v>998</v>
      </c>
      <c r="B18" s="1136" t="s">
        <v>1437</v>
      </c>
      <c r="C18" s="1113" t="s">
        <v>1438</v>
      </c>
      <c r="D18" s="1114"/>
      <c r="E18" s="1136">
        <v>1</v>
      </c>
      <c r="F18" s="1115" t="s">
        <v>1439</v>
      </c>
      <c r="G18" s="1116"/>
      <c r="H18" s="1087"/>
      <c r="I18" s="1087"/>
    </row>
    <row r="19" spans="1:9" s="1529" customFormat="1" ht="19.5" customHeight="1">
      <c r="A19" s="3512"/>
      <c r="B19" s="3512" t="s">
        <v>1440</v>
      </c>
      <c r="C19" s="1113" t="s">
        <v>1441</v>
      </c>
      <c r="D19" s="1114"/>
      <c r="E19" s="1136">
        <v>0.9</v>
      </c>
      <c r="F19" s="1115" t="s">
        <v>1442</v>
      </c>
      <c r="G19" s="1116"/>
      <c r="H19" s="1087"/>
      <c r="I19" s="1087"/>
    </row>
    <row r="20" spans="1:9" s="1529" customFormat="1" ht="19.5" customHeight="1">
      <c r="A20" s="3512"/>
      <c r="B20" s="3512"/>
      <c r="C20" s="1113" t="s">
        <v>1443</v>
      </c>
      <c r="D20" s="1114"/>
      <c r="E20" s="1136">
        <v>1.1000000000000001</v>
      </c>
      <c r="F20" s="1115" t="s">
        <v>1444</v>
      </c>
      <c r="G20" s="1116"/>
      <c r="H20" s="1087"/>
      <c r="I20" s="1087"/>
    </row>
    <row r="21" spans="1:9" s="1529" customFormat="1" ht="19.5" customHeight="1">
      <c r="A21" s="3512"/>
      <c r="B21" s="3512"/>
      <c r="C21" s="1113" t="s">
        <v>1445</v>
      </c>
      <c r="D21" s="1114"/>
      <c r="E21" s="1136">
        <v>0.8</v>
      </c>
      <c r="F21" s="1115" t="s">
        <v>1446</v>
      </c>
      <c r="G21" s="1116"/>
      <c r="H21" s="1087"/>
      <c r="I21" s="1087"/>
    </row>
    <row r="22" spans="1:9" s="1529" customFormat="1" ht="19.5" customHeight="1">
      <c r="A22" s="3512"/>
      <c r="B22" s="3512"/>
      <c r="C22" s="1113" t="s">
        <v>1447</v>
      </c>
      <c r="D22" s="1114"/>
      <c r="E22" s="1136">
        <v>0.5</v>
      </c>
      <c r="F22" s="1115"/>
      <c r="G22" s="1116"/>
      <c r="H22" s="1087"/>
      <c r="I22" s="1087"/>
    </row>
    <row r="23" spans="1:9" s="1529" customFormat="1" ht="19.5" customHeight="1">
      <c r="A23" s="3512" t="s">
        <v>1020</v>
      </c>
      <c r="B23" s="1136" t="s">
        <v>1437</v>
      </c>
      <c r="C23" s="1113" t="s">
        <v>1448</v>
      </c>
      <c r="D23" s="1114"/>
      <c r="E23" s="1136">
        <v>1</v>
      </c>
      <c r="F23" s="1115" t="s">
        <v>1449</v>
      </c>
      <c r="G23" s="1116"/>
      <c r="H23" s="1087"/>
      <c r="I23" s="1087"/>
    </row>
    <row r="24" spans="1:9" s="1529" customFormat="1" ht="19.5" customHeight="1">
      <c r="A24" s="3512"/>
      <c r="B24" s="3512" t="s">
        <v>1440</v>
      </c>
      <c r="C24" s="1113" t="s">
        <v>1450</v>
      </c>
      <c r="D24" s="1114"/>
      <c r="E24" s="1136">
        <v>0.5</v>
      </c>
      <c r="F24" s="1115"/>
      <c r="G24" s="1116"/>
      <c r="H24" s="1087"/>
      <c r="I24" s="1087"/>
    </row>
    <row r="25" spans="1:9" s="1529" customFormat="1" ht="19.5" customHeight="1">
      <c r="A25" s="3512"/>
      <c r="B25" s="3512"/>
      <c r="C25" s="1113" t="s">
        <v>1451</v>
      </c>
      <c r="D25" s="1114"/>
      <c r="E25" s="1136">
        <v>1.1000000000000001</v>
      </c>
      <c r="F25" s="1115"/>
      <c r="G25" s="1116"/>
      <c r="H25" s="1087"/>
      <c r="I25" s="1087"/>
    </row>
    <row r="26" spans="1:9" s="1529" customFormat="1" ht="19.5" customHeight="1">
      <c r="A26" s="3512"/>
      <c r="B26" s="3512"/>
      <c r="C26" s="1113" t="s">
        <v>1452</v>
      </c>
      <c r="D26" s="1114"/>
      <c r="E26" s="1136">
        <v>1.1000000000000001</v>
      </c>
      <c r="F26" s="1115"/>
      <c r="G26" s="1116"/>
      <c r="H26" s="1087"/>
      <c r="I26" s="1087"/>
    </row>
    <row r="27" spans="1:9" s="1529" customFormat="1" ht="19.5" customHeight="1">
      <c r="A27" s="3512"/>
      <c r="B27" s="3512"/>
      <c r="C27" s="1113" t="s">
        <v>1453</v>
      </c>
      <c r="D27" s="1114"/>
      <c r="E27" s="1136">
        <v>0.9</v>
      </c>
      <c r="F27" s="1115" t="s">
        <v>1454</v>
      </c>
      <c r="G27" s="1116"/>
      <c r="H27" s="1087"/>
      <c r="I27" s="1087"/>
    </row>
    <row r="28" spans="1:9" s="1529" customFormat="1" ht="19.5" customHeight="1">
      <c r="A28" s="3512"/>
      <c r="B28" s="3512"/>
      <c r="C28" s="1113" t="s">
        <v>1455</v>
      </c>
      <c r="D28" s="1114"/>
      <c r="E28" s="1136">
        <v>0.9</v>
      </c>
      <c r="F28" s="1115" t="s">
        <v>1456</v>
      </c>
      <c r="G28" s="1116"/>
      <c r="H28" s="1087"/>
      <c r="I28" s="1087"/>
    </row>
    <row r="29" spans="1:9" s="1529" customFormat="1" ht="19.5" customHeight="1">
      <c r="A29" s="3512"/>
      <c r="B29" s="3512"/>
      <c r="C29" s="1113" t="s">
        <v>1457</v>
      </c>
      <c r="D29" s="1114"/>
      <c r="E29" s="1136">
        <v>0.9</v>
      </c>
      <c r="F29" s="1115" t="s">
        <v>1458</v>
      </c>
      <c r="G29" s="1116"/>
      <c r="H29" s="1087"/>
      <c r="I29" s="1087"/>
    </row>
    <row r="30" spans="1:9" s="1529" customFormat="1" ht="19.5" customHeight="1">
      <c r="A30" s="3512"/>
      <c r="B30" s="3512"/>
      <c r="C30" s="1113" t="s">
        <v>1459</v>
      </c>
      <c r="D30" s="1114"/>
      <c r="E30" s="1136">
        <v>0.9</v>
      </c>
      <c r="F30" s="1115" t="s">
        <v>1460</v>
      </c>
      <c r="G30" s="1116"/>
      <c r="H30" s="1087"/>
      <c r="I30" s="1087"/>
    </row>
    <row r="31" spans="1:9" s="1529" customFormat="1" ht="19.5" customHeight="1">
      <c r="A31" s="3512"/>
      <c r="B31" s="3512"/>
      <c r="C31" s="1113" t="s">
        <v>1461</v>
      </c>
      <c r="D31" s="1114"/>
      <c r="E31" s="1136">
        <v>0.8</v>
      </c>
      <c r="F31" s="1115" t="s">
        <v>1462</v>
      </c>
      <c r="G31" s="1116"/>
      <c r="H31" s="1087"/>
      <c r="I31" s="1087"/>
    </row>
    <row r="32" spans="1:9" s="1529" customFormat="1" ht="19.5" customHeight="1">
      <c r="A32" s="3512"/>
      <c r="B32" s="3512"/>
      <c r="C32" s="1113" t="s">
        <v>1463</v>
      </c>
      <c r="D32" s="1114"/>
      <c r="E32" s="1136">
        <v>0.8</v>
      </c>
      <c r="F32" s="1115" t="s">
        <v>1464</v>
      </c>
      <c r="G32" s="1116"/>
      <c r="H32" s="1087"/>
      <c r="I32" s="1087"/>
    </row>
    <row r="33" spans="1:9" s="1529" customFormat="1" ht="19.5" customHeight="1">
      <c r="A33" s="3512" t="s">
        <v>1465</v>
      </c>
      <c r="B33" s="1136" t="s">
        <v>1437</v>
      </c>
      <c r="C33" s="1113" t="s">
        <v>1466</v>
      </c>
      <c r="D33" s="1114"/>
      <c r="E33" s="1136">
        <v>1</v>
      </c>
      <c r="F33" s="1115" t="s">
        <v>1467</v>
      </c>
      <c r="G33" s="1116"/>
      <c r="H33" s="1087"/>
      <c r="I33" s="1087"/>
    </row>
    <row r="34" spans="1:9" s="1529" customFormat="1" ht="19.5" customHeight="1">
      <c r="A34" s="3512"/>
      <c r="B34" s="1136" t="s">
        <v>1440</v>
      </c>
      <c r="C34" s="1113" t="s">
        <v>1468</v>
      </c>
      <c r="D34" s="1114"/>
      <c r="E34" s="1136">
        <v>1.5</v>
      </c>
      <c r="F34" s="1115" t="s">
        <v>1469</v>
      </c>
      <c r="G34" s="1116"/>
      <c r="H34" s="1087"/>
      <c r="I34" s="1087"/>
    </row>
    <row r="35" spans="1:9" s="1529" customFormat="1" ht="19.5" customHeight="1">
      <c r="A35" s="3512" t="s">
        <v>1423</v>
      </c>
      <c r="B35" s="1136" t="s">
        <v>1437</v>
      </c>
      <c r="C35" s="1113" t="s">
        <v>1470</v>
      </c>
      <c r="D35" s="1114"/>
      <c r="E35" s="1136">
        <v>1</v>
      </c>
      <c r="F35" s="1115" t="s">
        <v>1471</v>
      </c>
      <c r="G35" s="1116"/>
      <c r="H35" s="1087"/>
      <c r="I35" s="1087"/>
    </row>
    <row r="36" spans="1:9" s="1529" customFormat="1" ht="19.5" customHeight="1">
      <c r="A36" s="3512"/>
      <c r="B36" s="3512" t="s">
        <v>1440</v>
      </c>
      <c r="C36" s="1113" t="s">
        <v>1472</v>
      </c>
      <c r="D36" s="1114"/>
      <c r="E36" s="1136">
        <v>1</v>
      </c>
      <c r="F36" s="1115" t="s">
        <v>1473</v>
      </c>
      <c r="G36" s="1116"/>
      <c r="H36" s="1087"/>
      <c r="I36" s="1087"/>
    </row>
    <row r="37" spans="1:9" s="1529" customFormat="1" ht="19.5" customHeight="1">
      <c r="A37" s="3512"/>
      <c r="B37" s="3512"/>
      <c r="C37" s="1113" t="s">
        <v>1474</v>
      </c>
      <c r="D37" s="1114"/>
      <c r="E37" s="1136">
        <v>1.5</v>
      </c>
      <c r="F37" s="1115" t="s">
        <v>1475</v>
      </c>
      <c r="G37" s="1116"/>
      <c r="H37" s="1087"/>
      <c r="I37" s="1087"/>
    </row>
    <row r="38" spans="1:9" s="1529" customFormat="1" ht="19.5" customHeight="1">
      <c r="A38" s="3512"/>
      <c r="B38" s="3512"/>
      <c r="C38" s="1113" t="s">
        <v>1476</v>
      </c>
      <c r="D38" s="1114"/>
      <c r="E38" s="1136">
        <v>1</v>
      </c>
      <c r="F38" s="1115" t="s">
        <v>1477</v>
      </c>
      <c r="G38" s="1116"/>
      <c r="H38" s="1087"/>
      <c r="I38" s="1087"/>
    </row>
    <row r="39" spans="1:9" s="1529" customFormat="1" ht="19.5" customHeight="1">
      <c r="A39" s="3512"/>
      <c r="B39" s="3512"/>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12" t="s">
        <v>1492</v>
      </c>
      <c r="C61" s="1050" t="s">
        <v>1493</v>
      </c>
      <c r="D61" s="1050" t="s">
        <v>1494</v>
      </c>
      <c r="E61" s="1121">
        <v>0.5</v>
      </c>
      <c r="F61" s="1136">
        <v>80</v>
      </c>
      <c r="H61" s="1087">
        <f>SUMIF(C59:C119,基准地价!C8,E59:E119)</f>
        <v>0</v>
      </c>
    </row>
    <row r="62" spans="1:8" s="1087" customFormat="1" ht="24">
      <c r="A62" s="1136">
        <v>2</v>
      </c>
      <c r="B62" s="3512"/>
      <c r="C62" s="1050" t="s">
        <v>1495</v>
      </c>
      <c r="D62" s="1050" t="s">
        <v>1496</v>
      </c>
      <c r="E62" s="1121">
        <v>0.5</v>
      </c>
      <c r="F62" s="1136">
        <v>80</v>
      </c>
    </row>
    <row r="63" spans="1:8" s="1087" customFormat="1" ht="36">
      <c r="A63" s="1136">
        <v>3</v>
      </c>
      <c r="B63" s="3512"/>
      <c r="C63" s="1050" t="s">
        <v>1497</v>
      </c>
      <c r="D63" s="1050" t="s">
        <v>1498</v>
      </c>
      <c r="E63" s="1121">
        <v>0.5</v>
      </c>
      <c r="F63" s="1136">
        <v>80</v>
      </c>
    </row>
    <row r="64" spans="1:8" s="1087" customFormat="1" ht="36">
      <c r="A64" s="1136">
        <v>4</v>
      </c>
      <c r="B64" s="3512"/>
      <c r="C64" s="1050" t="s">
        <v>1499</v>
      </c>
      <c r="D64" s="1050" t="s">
        <v>1500</v>
      </c>
      <c r="E64" s="1121">
        <v>0.4</v>
      </c>
      <c r="F64" s="1136">
        <v>60</v>
      </c>
    </row>
    <row r="65" spans="1:6" s="1087" customFormat="1" ht="36">
      <c r="A65" s="1136">
        <v>5</v>
      </c>
      <c r="B65" s="3512"/>
      <c r="C65" s="1050" t="s">
        <v>1501</v>
      </c>
      <c r="D65" s="1050" t="s">
        <v>1502</v>
      </c>
      <c r="E65" s="1121">
        <v>0.2</v>
      </c>
      <c r="F65" s="1136">
        <v>30</v>
      </c>
    </row>
    <row r="66" spans="1:6" s="1087" customFormat="1" ht="36">
      <c r="A66" s="1136">
        <v>6</v>
      </c>
      <c r="B66" s="3512"/>
      <c r="C66" s="1050" t="s">
        <v>1503</v>
      </c>
      <c r="D66" s="1050" t="s">
        <v>1504</v>
      </c>
      <c r="E66" s="1121">
        <v>0.3</v>
      </c>
      <c r="F66" s="1136">
        <v>50</v>
      </c>
    </row>
    <row r="67" spans="1:6" s="1087" customFormat="1" ht="36">
      <c r="A67" s="1136">
        <v>7</v>
      </c>
      <c r="B67" s="3512"/>
      <c r="C67" s="1050" t="s">
        <v>1505</v>
      </c>
      <c r="D67" s="1050" t="s">
        <v>1506</v>
      </c>
      <c r="E67" s="1121">
        <v>0.2</v>
      </c>
      <c r="F67" s="1136">
        <v>30</v>
      </c>
    </row>
    <row r="68" spans="1:6" s="1087" customFormat="1" ht="36">
      <c r="A68" s="1136">
        <v>8</v>
      </c>
      <c r="B68" s="3512"/>
      <c r="C68" s="1050" t="s">
        <v>1507</v>
      </c>
      <c r="D68" s="1050" t="s">
        <v>1508</v>
      </c>
      <c r="E68" s="1121">
        <v>0.2</v>
      </c>
      <c r="F68" s="1136">
        <v>30</v>
      </c>
    </row>
    <row r="69" spans="1:6" s="1087" customFormat="1" ht="36">
      <c r="A69" s="1136">
        <v>9</v>
      </c>
      <c r="B69" s="3512"/>
      <c r="C69" s="1050" t="s">
        <v>1509</v>
      </c>
      <c r="D69" s="1050" t="s">
        <v>1510</v>
      </c>
      <c r="E69" s="1121">
        <v>0.2</v>
      </c>
      <c r="F69" s="1136">
        <v>30</v>
      </c>
    </row>
    <row r="70" spans="1:6" s="1087" customFormat="1" ht="48">
      <c r="A70" s="1136">
        <v>10</v>
      </c>
      <c r="B70" s="3512"/>
      <c r="C70" s="1050" t="s">
        <v>1511</v>
      </c>
      <c r="D70" s="1050" t="s">
        <v>1512</v>
      </c>
      <c r="E70" s="1121">
        <v>0.2</v>
      </c>
      <c r="F70" s="1136">
        <v>30</v>
      </c>
    </row>
    <row r="71" spans="1:6" s="1087" customFormat="1" ht="48">
      <c r="A71" s="1136">
        <v>11</v>
      </c>
      <c r="B71" s="3512"/>
      <c r="C71" s="1050" t="s">
        <v>1513</v>
      </c>
      <c r="D71" s="1050" t="s">
        <v>1514</v>
      </c>
      <c r="E71" s="1121">
        <v>0.2</v>
      </c>
      <c r="F71" s="1136">
        <v>30</v>
      </c>
    </row>
    <row r="72" spans="1:6" s="1087" customFormat="1" ht="36">
      <c r="A72" s="1136">
        <v>12</v>
      </c>
      <c r="B72" s="3512"/>
      <c r="C72" s="1050" t="s">
        <v>1515</v>
      </c>
      <c r="D72" s="1050" t="s">
        <v>1516</v>
      </c>
      <c r="E72" s="1121">
        <v>0.5</v>
      </c>
      <c r="F72" s="1136">
        <v>80</v>
      </c>
    </row>
    <row r="73" spans="1:6" s="1087" customFormat="1" ht="24">
      <c r="A73" s="1136">
        <v>13</v>
      </c>
      <c r="B73" s="3512"/>
      <c r="C73" s="1050" t="s">
        <v>1517</v>
      </c>
      <c r="D73" s="1050" t="s">
        <v>1518</v>
      </c>
      <c r="E73" s="1121">
        <v>0.4</v>
      </c>
      <c r="F73" s="1136">
        <v>60</v>
      </c>
    </row>
    <row r="74" spans="1:6" s="1087" customFormat="1" ht="24">
      <c r="A74" s="1136">
        <v>14</v>
      </c>
      <c r="B74" s="3512"/>
      <c r="C74" s="1050" t="s">
        <v>1519</v>
      </c>
      <c r="D74" s="1050" t="s">
        <v>1520</v>
      </c>
      <c r="E74" s="1121">
        <v>0.2</v>
      </c>
      <c r="F74" s="1136">
        <v>30</v>
      </c>
    </row>
    <row r="75" spans="1:6" s="1087" customFormat="1" ht="24">
      <c r="A75" s="1136">
        <v>15</v>
      </c>
      <c r="B75" s="3512"/>
      <c r="C75" s="1050" t="s">
        <v>1521</v>
      </c>
      <c r="D75" s="1050" t="s">
        <v>1522</v>
      </c>
      <c r="E75" s="1121">
        <v>0.2</v>
      </c>
      <c r="F75" s="1136">
        <v>30</v>
      </c>
    </row>
    <row r="76" spans="1:6" s="1087" customFormat="1" ht="24">
      <c r="A76" s="1136">
        <v>16</v>
      </c>
      <c r="B76" s="3512" t="s">
        <v>1523</v>
      </c>
      <c r="C76" s="1050" t="s">
        <v>1524</v>
      </c>
      <c r="D76" s="1050" t="s">
        <v>1525</v>
      </c>
      <c r="E76" s="1121">
        <v>0.5</v>
      </c>
      <c r="F76" s="1136">
        <v>80</v>
      </c>
    </row>
    <row r="77" spans="1:6" s="1087" customFormat="1" ht="24">
      <c r="A77" s="1136">
        <v>17</v>
      </c>
      <c r="B77" s="3512"/>
      <c r="C77" s="1050" t="s">
        <v>1526</v>
      </c>
      <c r="D77" s="1050" t="s">
        <v>1527</v>
      </c>
      <c r="E77" s="1121">
        <v>0.5</v>
      </c>
      <c r="F77" s="1136">
        <v>80</v>
      </c>
    </row>
    <row r="78" spans="1:6" s="1087" customFormat="1" ht="24">
      <c r="A78" s="1136">
        <v>18</v>
      </c>
      <c r="B78" s="3512"/>
      <c r="C78" s="1050" t="s">
        <v>1528</v>
      </c>
      <c r="D78" s="1050" t="s">
        <v>1529</v>
      </c>
      <c r="E78" s="1121">
        <v>0.2</v>
      </c>
      <c r="F78" s="1136">
        <v>30</v>
      </c>
    </row>
    <row r="79" spans="1:6" s="1087" customFormat="1" ht="24">
      <c r="A79" s="1136">
        <v>19</v>
      </c>
      <c r="B79" s="3512"/>
      <c r="C79" s="1050" t="s">
        <v>1530</v>
      </c>
      <c r="D79" s="1050" t="s">
        <v>1531</v>
      </c>
      <c r="E79" s="1121">
        <v>0.5</v>
      </c>
      <c r="F79" s="1136">
        <v>80</v>
      </c>
    </row>
    <row r="80" spans="1:6" s="1087" customFormat="1" ht="36">
      <c r="A80" s="1136">
        <v>20</v>
      </c>
      <c r="B80" s="3512"/>
      <c r="C80" s="1050" t="s">
        <v>1532</v>
      </c>
      <c r="D80" s="1050" t="s">
        <v>1533</v>
      </c>
      <c r="E80" s="1121">
        <v>0.2</v>
      </c>
      <c r="F80" s="1136">
        <v>30</v>
      </c>
    </row>
    <row r="81" spans="1:6" s="1087" customFormat="1" ht="36">
      <c r="A81" s="1136">
        <v>21</v>
      </c>
      <c r="B81" s="3512"/>
      <c r="C81" s="1050" t="s">
        <v>1534</v>
      </c>
      <c r="D81" s="1050" t="s">
        <v>1535</v>
      </c>
      <c r="E81" s="1121">
        <v>0.2</v>
      </c>
      <c r="F81" s="1136">
        <v>30</v>
      </c>
    </row>
    <row r="82" spans="1:6" s="1087" customFormat="1" ht="48">
      <c r="A82" s="1136">
        <v>22</v>
      </c>
      <c r="B82" s="3512"/>
      <c r="C82" s="1050" t="s">
        <v>1536</v>
      </c>
      <c r="D82" s="1050" t="s">
        <v>1537</v>
      </c>
      <c r="E82" s="1121">
        <v>0.2</v>
      </c>
      <c r="F82" s="1136">
        <v>30</v>
      </c>
    </row>
    <row r="83" spans="1:6" s="1087" customFormat="1" ht="48">
      <c r="A83" s="1136">
        <v>23</v>
      </c>
      <c r="B83" s="3512"/>
      <c r="C83" s="1050" t="s">
        <v>1538</v>
      </c>
      <c r="D83" s="1050" t="s">
        <v>1539</v>
      </c>
      <c r="E83" s="1121">
        <v>0.2</v>
      </c>
      <c r="F83" s="1136">
        <v>30</v>
      </c>
    </row>
    <row r="84" spans="1:6" s="1087" customFormat="1" ht="36">
      <c r="A84" s="1136">
        <v>24</v>
      </c>
      <c r="B84" s="3512"/>
      <c r="C84" s="1050" t="s">
        <v>1540</v>
      </c>
      <c r="D84" s="1050" t="s">
        <v>1541</v>
      </c>
      <c r="E84" s="1121">
        <v>0.2</v>
      </c>
      <c r="F84" s="1136">
        <v>30</v>
      </c>
    </row>
    <row r="85" spans="1:6" s="1087" customFormat="1" ht="36">
      <c r="A85" s="1136">
        <v>25</v>
      </c>
      <c r="B85" s="3512"/>
      <c r="C85" s="1050" t="s">
        <v>1542</v>
      </c>
      <c r="D85" s="1050" t="s">
        <v>1543</v>
      </c>
      <c r="E85" s="1121">
        <v>0.5</v>
      </c>
      <c r="F85" s="1136">
        <v>80</v>
      </c>
    </row>
    <row r="86" spans="1:6" s="1087" customFormat="1" ht="36">
      <c r="A86" s="1136">
        <v>26</v>
      </c>
      <c r="B86" s="3512"/>
      <c r="C86" s="1050" t="s">
        <v>1544</v>
      </c>
      <c r="D86" s="1050" t="s">
        <v>1545</v>
      </c>
      <c r="E86" s="1121">
        <v>0.2</v>
      </c>
      <c r="F86" s="1136">
        <v>30</v>
      </c>
    </row>
    <row r="87" spans="1:6" s="1087" customFormat="1" ht="36">
      <c r="A87" s="1136">
        <v>27</v>
      </c>
      <c r="B87" s="3512"/>
      <c r="C87" s="1050" t="s">
        <v>1546</v>
      </c>
      <c r="D87" s="1050" t="s">
        <v>1547</v>
      </c>
      <c r="E87" s="1121">
        <v>0.2</v>
      </c>
      <c r="F87" s="1136">
        <v>30</v>
      </c>
    </row>
    <row r="88" spans="1:6" s="1087" customFormat="1" ht="36">
      <c r="A88" s="1136">
        <v>28</v>
      </c>
      <c r="B88" s="3512"/>
      <c r="C88" s="1050" t="s">
        <v>1548</v>
      </c>
      <c r="D88" s="1050" t="s">
        <v>1549</v>
      </c>
      <c r="E88" s="1121">
        <v>0.2</v>
      </c>
      <c r="F88" s="1136">
        <v>30</v>
      </c>
    </row>
    <row r="89" spans="1:6" s="1087" customFormat="1" ht="24">
      <c r="A89" s="1136">
        <v>29</v>
      </c>
      <c r="B89" s="3512"/>
      <c r="C89" s="1050" t="s">
        <v>1550</v>
      </c>
      <c r="D89" s="1050" t="s">
        <v>1551</v>
      </c>
      <c r="E89" s="1121">
        <v>0.2</v>
      </c>
      <c r="F89" s="1136">
        <v>30</v>
      </c>
    </row>
    <row r="90" spans="1:6" s="1087" customFormat="1" ht="24">
      <c r="A90" s="1136">
        <v>30</v>
      </c>
      <c r="B90" s="3512"/>
      <c r="C90" s="1050" t="s">
        <v>1552</v>
      </c>
      <c r="D90" s="1050" t="s">
        <v>1553</v>
      </c>
      <c r="E90" s="1121">
        <v>0.2</v>
      </c>
      <c r="F90" s="1136">
        <v>30</v>
      </c>
    </row>
    <row r="91" spans="1:6" s="1087" customFormat="1" ht="36">
      <c r="A91" s="1136">
        <v>31</v>
      </c>
      <c r="B91" s="3512"/>
      <c r="C91" s="1050" t="s">
        <v>1554</v>
      </c>
      <c r="D91" s="1050" t="s">
        <v>1555</v>
      </c>
      <c r="E91" s="1121">
        <v>0.2</v>
      </c>
      <c r="F91" s="1136">
        <v>30</v>
      </c>
    </row>
    <row r="92" spans="1:6" s="1087" customFormat="1" ht="24">
      <c r="A92" s="1136">
        <v>32</v>
      </c>
      <c r="B92" s="3512" t="s">
        <v>1556</v>
      </c>
      <c r="C92" s="1136" t="s">
        <v>1557</v>
      </c>
      <c r="D92" s="1050" t="s">
        <v>1558</v>
      </c>
      <c r="E92" s="1121">
        <v>0.2</v>
      </c>
      <c r="F92" s="1136">
        <v>30</v>
      </c>
    </row>
    <row r="93" spans="1:6" s="1087" customFormat="1" ht="36">
      <c r="A93" s="1136">
        <v>33</v>
      </c>
      <c r="B93" s="3512"/>
      <c r="C93" s="1136" t="s">
        <v>1559</v>
      </c>
      <c r="D93" s="1050" t="s">
        <v>1560</v>
      </c>
      <c r="E93" s="1121">
        <v>0.2</v>
      </c>
      <c r="F93" s="1136">
        <v>30</v>
      </c>
    </row>
    <row r="94" spans="1:6" s="1087" customFormat="1" ht="48">
      <c r="A94" s="1136">
        <v>34</v>
      </c>
      <c r="B94" s="3512"/>
      <c r="C94" s="1136" t="s">
        <v>1561</v>
      </c>
      <c r="D94" s="1050" t="s">
        <v>1562</v>
      </c>
      <c r="E94" s="1121">
        <v>0.2</v>
      </c>
      <c r="F94" s="1136">
        <v>30</v>
      </c>
    </row>
    <row r="95" spans="1:6" s="1087" customFormat="1" ht="36">
      <c r="A95" s="1136">
        <v>35</v>
      </c>
      <c r="B95" s="3512"/>
      <c r="C95" s="1136" t="s">
        <v>1563</v>
      </c>
      <c r="D95" s="1050" t="s">
        <v>1564</v>
      </c>
      <c r="E95" s="1121">
        <v>0.2</v>
      </c>
      <c r="F95" s="1136">
        <v>30</v>
      </c>
    </row>
    <row r="96" spans="1:6" s="1087" customFormat="1" ht="48">
      <c r="A96" s="1136">
        <v>36</v>
      </c>
      <c r="B96" s="3512"/>
      <c r="C96" s="1050" t="s">
        <v>1565</v>
      </c>
      <c r="D96" s="1050" t="s">
        <v>1566</v>
      </c>
      <c r="E96" s="1121">
        <v>0.2</v>
      </c>
      <c r="F96" s="1136">
        <v>30</v>
      </c>
    </row>
    <row r="97" spans="1:6" s="1087" customFormat="1" ht="36">
      <c r="A97" s="1136">
        <v>37</v>
      </c>
      <c r="B97" s="3512"/>
      <c r="C97" s="1136" t="s">
        <v>1567</v>
      </c>
      <c r="D97" s="1050" t="s">
        <v>1568</v>
      </c>
      <c r="E97" s="1121">
        <v>0.2</v>
      </c>
      <c r="F97" s="1136">
        <v>30</v>
      </c>
    </row>
    <row r="98" spans="1:6" s="1087" customFormat="1" ht="36">
      <c r="A98" s="1136">
        <v>38</v>
      </c>
      <c r="B98" s="3512"/>
      <c r="C98" s="1136" t="s">
        <v>1569</v>
      </c>
      <c r="D98" s="1050" t="s">
        <v>1570</v>
      </c>
      <c r="E98" s="1121">
        <v>0.2</v>
      </c>
      <c r="F98" s="1136">
        <v>30</v>
      </c>
    </row>
    <row r="99" spans="1:6" s="1087" customFormat="1" ht="36">
      <c r="A99" s="1136">
        <v>39</v>
      </c>
      <c r="B99" s="3512" t="s">
        <v>1571</v>
      </c>
      <c r="C99" s="1136" t="s">
        <v>1572</v>
      </c>
      <c r="D99" s="1050" t="s">
        <v>1573</v>
      </c>
      <c r="E99" s="1121">
        <v>0.3</v>
      </c>
      <c r="F99" s="1136">
        <v>50</v>
      </c>
    </row>
    <row r="100" spans="1:6" s="1087" customFormat="1" ht="24">
      <c r="A100" s="1136">
        <v>40</v>
      </c>
      <c r="B100" s="3512"/>
      <c r="C100" s="1136" t="s">
        <v>1574</v>
      </c>
      <c r="D100" s="1050" t="s">
        <v>1575</v>
      </c>
      <c r="E100" s="1121">
        <v>0.2</v>
      </c>
      <c r="F100" s="1136">
        <v>30</v>
      </c>
    </row>
    <row r="101" spans="1:6" s="1087" customFormat="1" ht="36">
      <c r="A101" s="1136">
        <v>41</v>
      </c>
      <c r="B101" s="3512"/>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12" t="s">
        <v>1586</v>
      </c>
      <c r="C105" s="1136" t="s">
        <v>1587</v>
      </c>
      <c r="D105" s="1050" t="s">
        <v>1588</v>
      </c>
      <c r="E105" s="1121">
        <v>0.2</v>
      </c>
      <c r="F105" s="1136">
        <v>30</v>
      </c>
    </row>
    <row r="106" spans="1:6" s="1087" customFormat="1" ht="36">
      <c r="A106" s="1136">
        <v>46</v>
      </c>
      <c r="B106" s="3512"/>
      <c r="C106" s="1136" t="s">
        <v>1589</v>
      </c>
      <c r="D106" s="1050" t="s">
        <v>1590</v>
      </c>
      <c r="E106" s="1121">
        <v>0.2</v>
      </c>
      <c r="F106" s="1136">
        <v>30</v>
      </c>
    </row>
    <row r="107" spans="1:6" s="1087" customFormat="1" ht="36">
      <c r="A107" s="1136">
        <v>47</v>
      </c>
      <c r="B107" s="3512" t="s">
        <v>1591</v>
      </c>
      <c r="C107" s="1136" t="s">
        <v>1592</v>
      </c>
      <c r="D107" s="1050" t="s">
        <v>1593</v>
      </c>
      <c r="E107" s="1121">
        <v>0.3</v>
      </c>
      <c r="F107" s="1136">
        <v>50</v>
      </c>
    </row>
    <row r="108" spans="1:6" s="1087" customFormat="1" ht="36">
      <c r="A108" s="1136">
        <v>48</v>
      </c>
      <c r="B108" s="3512"/>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12" t="s">
        <v>1602</v>
      </c>
      <c r="C111" s="1136" t="s">
        <v>1603</v>
      </c>
      <c r="D111" s="1050" t="s">
        <v>1604</v>
      </c>
      <c r="E111" s="1121">
        <v>0.2</v>
      </c>
      <c r="F111" s="1136">
        <v>30</v>
      </c>
    </row>
    <row r="112" spans="1:6" s="1087" customFormat="1" ht="24">
      <c r="A112" s="1136">
        <v>52</v>
      </c>
      <c r="B112" s="3512"/>
      <c r="C112" s="1136" t="s">
        <v>1605</v>
      </c>
      <c r="D112" s="1050" t="s">
        <v>1606</v>
      </c>
      <c r="E112" s="1121">
        <v>0.2</v>
      </c>
      <c r="F112" s="1136">
        <v>30</v>
      </c>
    </row>
    <row r="113" spans="1:14" s="1087" customFormat="1" ht="24">
      <c r="A113" s="1136">
        <v>53</v>
      </c>
      <c r="B113" s="3512"/>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12" t="s">
        <v>1615</v>
      </c>
      <c r="C116" s="1136" t="s">
        <v>1616</v>
      </c>
      <c r="D116" s="1050" t="s">
        <v>1617</v>
      </c>
      <c r="E116" s="1121">
        <v>0.2</v>
      </c>
      <c r="F116" s="1136">
        <v>30</v>
      </c>
    </row>
    <row r="117" spans="1:14" ht="36">
      <c r="A117" s="1136">
        <v>57</v>
      </c>
      <c r="B117" s="3512"/>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11" t="s">
        <v>1624</v>
      </c>
      <c r="B121" s="3511"/>
      <c r="C121" s="3511"/>
      <c r="D121" s="3511"/>
      <c r="E121" s="3511"/>
      <c r="F121" s="3511"/>
      <c r="G121" s="3511"/>
      <c r="H121" s="3511"/>
      <c r="I121" s="3511"/>
      <c r="J121" s="3511"/>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125" style="1048" customWidth="1"/>
    <col min="6" max="6" width="9" style="1048"/>
    <col min="7" max="7" width="9" style="1051"/>
    <col min="8" max="8" width="9" style="1048"/>
    <col min="9" max="9" width="9" style="1051"/>
    <col min="10" max="16384" width="9" style="1048"/>
  </cols>
  <sheetData>
    <row r="1" spans="1:20">
      <c r="A1" s="3526" t="s">
        <v>1030</v>
      </c>
      <c r="B1" s="3526"/>
      <c r="C1" s="3526"/>
      <c r="D1" s="3526"/>
      <c r="E1" s="3526"/>
      <c r="F1" s="3526"/>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27" t="s">
        <v>1043</v>
      </c>
      <c r="B2" s="3527"/>
      <c r="C2" s="3527"/>
      <c r="D2" s="3527"/>
      <c r="E2" s="3527"/>
      <c r="F2" s="3527"/>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28"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29"/>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2406</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2407</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793" customWidth="1"/>
    <col min="2" max="2" width="10.125" style="1794" customWidth="1"/>
  </cols>
  <sheetData>
    <row r="1" spans="1:6">
      <c r="A1" s="3530" t="s">
        <v>2067</v>
      </c>
      <c r="B1" s="3530"/>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1087</v>
      </c>
      <c r="B6" s="1772" t="s">
        <v>2076</v>
      </c>
      <c r="C6" s="1773">
        <v>0.1</v>
      </c>
      <c r="D6" s="1773">
        <v>9.0999999999999998E-2</v>
      </c>
      <c r="E6" s="1773">
        <v>9.0999999999999998E-2</v>
      </c>
      <c r="F6" s="1774">
        <v>0.1</v>
      </c>
    </row>
    <row r="7" spans="1:6" ht="14.25" thickBot="1">
      <c r="A7" s="1768" t="s">
        <v>1087</v>
      </c>
      <c r="B7" s="1775" t="s">
        <v>1075</v>
      </c>
      <c r="C7" s="1773">
        <v>8.5999999999999993E-2</v>
      </c>
      <c r="D7" s="1773">
        <v>9.6000000000000002E-2</v>
      </c>
      <c r="E7" s="1773">
        <v>7.5999999999999998E-2</v>
      </c>
      <c r="F7" s="1774">
        <v>0.1</v>
      </c>
    </row>
    <row r="8" spans="1:6" ht="14.25" thickBot="1">
      <c r="A8" s="1768" t="s">
        <v>1087</v>
      </c>
      <c r="B8" s="1772" t="s">
        <v>1088</v>
      </c>
      <c r="C8" s="1773">
        <v>9.9000000000000005E-2</v>
      </c>
      <c r="D8" s="1773">
        <v>9.8000000000000004E-2</v>
      </c>
      <c r="E8" s="1773">
        <v>9.8000000000000004E-2</v>
      </c>
      <c r="F8" s="1774">
        <v>0.1</v>
      </c>
    </row>
    <row r="9" spans="1:6" ht="14.25" thickBot="1">
      <c r="A9" s="1776" t="s">
        <v>1087</v>
      </c>
      <c r="B9" s="1777" t="s">
        <v>1102</v>
      </c>
      <c r="C9" s="1778">
        <v>0.05</v>
      </c>
      <c r="D9" s="1779"/>
      <c r="E9" s="1779"/>
      <c r="F9" s="1780"/>
    </row>
    <row r="10" spans="1:6" ht="14.25" thickBot="1">
      <c r="A10" s="1768" t="s">
        <v>1146</v>
      </c>
      <c r="B10" s="1769" t="s">
        <v>2077</v>
      </c>
      <c r="C10" s="1770">
        <v>8.8999999999999996E-2</v>
      </c>
      <c r="D10" s="1770">
        <v>7.2999999999999995E-2</v>
      </c>
      <c r="E10" s="1770">
        <v>8.2000000000000003E-2</v>
      </c>
      <c r="F10" s="1771">
        <v>0.1</v>
      </c>
    </row>
    <row r="11" spans="1:6" ht="14.25" thickBot="1">
      <c r="A11" s="1768" t="s">
        <v>1146</v>
      </c>
      <c r="B11" s="1775" t="s">
        <v>1062</v>
      </c>
      <c r="C11" s="1773">
        <v>8.8999999999999996E-2</v>
      </c>
      <c r="D11" s="1773">
        <v>7.2999999999999995E-2</v>
      </c>
      <c r="E11" s="1773">
        <v>8.2000000000000003E-2</v>
      </c>
      <c r="F11" s="1774">
        <v>0.1</v>
      </c>
    </row>
    <row r="12" spans="1:6" ht="14.25" thickBot="1">
      <c r="A12" s="1768" t="s">
        <v>1146</v>
      </c>
      <c r="B12" s="1775" t="s">
        <v>1076</v>
      </c>
      <c r="C12" s="1773">
        <v>6.0999999999999999E-2</v>
      </c>
      <c r="D12" s="1773">
        <v>7.0999999999999994E-2</v>
      </c>
      <c r="E12" s="1773">
        <v>9.6000000000000002E-2</v>
      </c>
      <c r="F12" s="1774">
        <v>0.1</v>
      </c>
    </row>
    <row r="13" spans="1:6" ht="14.25" thickBot="1">
      <c r="A13" s="1768" t="s">
        <v>1146</v>
      </c>
      <c r="B13" s="1775" t="s">
        <v>1089</v>
      </c>
      <c r="C13" s="1773">
        <v>6.9000000000000006E-2</v>
      </c>
      <c r="D13" s="1773">
        <v>6.5000000000000002E-2</v>
      </c>
      <c r="E13" s="1773">
        <v>6.6000000000000003E-2</v>
      </c>
      <c r="F13" s="1774">
        <v>0.1</v>
      </c>
    </row>
    <row r="14" spans="1:6" ht="14.25" thickBot="1">
      <c r="A14" s="1768" t="s">
        <v>1146</v>
      </c>
      <c r="B14" s="1775" t="s">
        <v>1103</v>
      </c>
      <c r="C14" s="1773">
        <v>0.1</v>
      </c>
      <c r="D14" s="1773">
        <v>6.5000000000000002E-2</v>
      </c>
      <c r="E14" s="1773">
        <v>7.0000000000000007E-2</v>
      </c>
      <c r="F14" s="1774">
        <v>0.1</v>
      </c>
    </row>
    <row r="15" spans="1:6" ht="14.25" thickBot="1">
      <c r="A15" s="1768" t="s">
        <v>1146</v>
      </c>
      <c r="B15" s="1775" t="s">
        <v>1114</v>
      </c>
      <c r="C15" s="1773">
        <v>9.8000000000000004E-2</v>
      </c>
      <c r="D15" s="1773">
        <v>8.8999999999999996E-2</v>
      </c>
      <c r="E15" s="1773">
        <v>8.8999999999999996E-2</v>
      </c>
      <c r="F15" s="1774">
        <v>0.1</v>
      </c>
    </row>
    <row r="16" spans="1:6" ht="14.25" thickBot="1">
      <c r="A16" s="1768" t="s">
        <v>1146</v>
      </c>
      <c r="B16" s="1775" t="s">
        <v>1125</v>
      </c>
      <c r="C16" s="1773">
        <v>7.0000000000000007E-2</v>
      </c>
      <c r="D16" s="1773">
        <v>9.2999999999999999E-2</v>
      </c>
      <c r="E16" s="1773">
        <v>9.6000000000000002E-2</v>
      </c>
      <c r="F16" s="1774">
        <v>0.1</v>
      </c>
    </row>
    <row r="17" spans="1:6" ht="14.25" thickBot="1">
      <c r="A17" s="1768" t="s">
        <v>1146</v>
      </c>
      <c r="B17" s="1775" t="s">
        <v>1136</v>
      </c>
      <c r="C17" s="1773">
        <v>9.5000000000000001E-2</v>
      </c>
      <c r="D17" s="1773">
        <v>0.1</v>
      </c>
      <c r="E17" s="1773">
        <v>0.1</v>
      </c>
      <c r="F17" s="1781"/>
    </row>
    <row r="18" spans="1:6" ht="14.25" thickBot="1">
      <c r="A18" s="1768" t="s">
        <v>1146</v>
      </c>
      <c r="B18" s="1775" t="s">
        <v>1148</v>
      </c>
      <c r="C18" s="1773">
        <v>7.3999999999999996E-2</v>
      </c>
      <c r="D18" s="1773">
        <v>9.9000000000000005E-2</v>
      </c>
      <c r="E18" s="1773">
        <v>0.1</v>
      </c>
      <c r="F18" s="1781"/>
    </row>
    <row r="19" spans="1:6" ht="14.25" thickBot="1">
      <c r="A19" s="1768" t="s">
        <v>1146</v>
      </c>
      <c r="B19" s="1775" t="s">
        <v>1158</v>
      </c>
      <c r="C19" s="1773">
        <v>9.9000000000000005E-2</v>
      </c>
      <c r="D19" s="1773">
        <v>7.5999999999999998E-2</v>
      </c>
      <c r="E19" s="1773">
        <v>8.6999999999999994E-2</v>
      </c>
      <c r="F19" s="1781"/>
    </row>
    <row r="20" spans="1:6" ht="14.25" thickBot="1">
      <c r="A20" s="1768" t="s">
        <v>1146</v>
      </c>
      <c r="B20" s="1775" t="s">
        <v>1168</v>
      </c>
      <c r="C20" s="1773">
        <v>9.8000000000000004E-2</v>
      </c>
      <c r="D20" s="1773">
        <v>8.5000000000000006E-2</v>
      </c>
      <c r="E20" s="1773">
        <v>8.2000000000000003E-2</v>
      </c>
      <c r="F20" s="1781"/>
    </row>
    <row r="21" spans="1:6" ht="14.25" thickBot="1">
      <c r="A21" s="1768" t="s">
        <v>1146</v>
      </c>
      <c r="B21" s="1775" t="s">
        <v>1178</v>
      </c>
      <c r="C21" s="1773">
        <v>6.6000000000000003E-2</v>
      </c>
      <c r="D21" s="1773">
        <v>6.4000000000000001E-2</v>
      </c>
      <c r="E21" s="1773">
        <v>6.5000000000000002E-2</v>
      </c>
      <c r="F21" s="1781"/>
    </row>
    <row r="22" spans="1:6" ht="14.25" thickBot="1">
      <c r="A22" s="1768" t="s">
        <v>1146</v>
      </c>
      <c r="B22" s="1775" t="s">
        <v>2078</v>
      </c>
      <c r="C22" s="1773">
        <v>0.08</v>
      </c>
      <c r="D22" s="1773">
        <v>9.8000000000000004E-2</v>
      </c>
      <c r="E22" s="1773">
        <v>9.8000000000000004E-2</v>
      </c>
      <c r="F22" s="1781"/>
    </row>
    <row r="23" spans="1:6" ht="14.25" thickBot="1">
      <c r="A23" s="1768" t="s">
        <v>1146</v>
      </c>
      <c r="B23" s="1775" t="s">
        <v>1198</v>
      </c>
      <c r="C23" s="1773">
        <v>9.9000000000000005E-2</v>
      </c>
      <c r="D23" s="1773">
        <v>9.8000000000000004E-2</v>
      </c>
      <c r="E23" s="1773">
        <v>9.0999999999999998E-2</v>
      </c>
      <c r="F23" s="1781"/>
    </row>
    <row r="24" spans="1:6" ht="14.25" thickBot="1">
      <c r="A24" s="1768" t="s">
        <v>1146</v>
      </c>
      <c r="B24" s="1775" t="s">
        <v>1208</v>
      </c>
      <c r="C24" s="1773">
        <v>8.8999999999999996E-2</v>
      </c>
      <c r="D24" s="1773">
        <v>9.7000000000000003E-2</v>
      </c>
      <c r="E24" s="1773">
        <v>7.0000000000000007E-2</v>
      </c>
      <c r="F24" s="1781"/>
    </row>
    <row r="25" spans="1:6" ht="14.25" thickBot="1">
      <c r="A25" s="1768" t="s">
        <v>1146</v>
      </c>
      <c r="B25" s="1775" t="s">
        <v>1218</v>
      </c>
      <c r="C25" s="1773">
        <v>8.8999999999999996E-2</v>
      </c>
      <c r="D25" s="1773">
        <v>0.1</v>
      </c>
      <c r="E25" s="1773">
        <v>8.1000000000000003E-2</v>
      </c>
      <c r="F25" s="1781"/>
    </row>
    <row r="26" spans="1:6" ht="14.25" thickBot="1">
      <c r="A26" s="1768" t="s">
        <v>1146</v>
      </c>
      <c r="B26" s="1775" t="s">
        <v>1228</v>
      </c>
      <c r="C26" s="1782"/>
      <c r="D26" s="1773">
        <v>9.6000000000000002E-2</v>
      </c>
      <c r="E26" s="1773">
        <v>9.2999999999999999E-2</v>
      </c>
      <c r="F26" s="1781"/>
    </row>
    <row r="27" spans="1:6" ht="14.25" thickBot="1">
      <c r="A27" s="1768" t="s">
        <v>1146</v>
      </c>
      <c r="B27" s="1775" t="s">
        <v>1238</v>
      </c>
      <c r="C27" s="1782"/>
      <c r="D27" s="1773">
        <v>7.5999999999999998E-2</v>
      </c>
      <c r="E27" s="1773">
        <v>9.1999999999999998E-2</v>
      </c>
      <c r="F27" s="1781"/>
    </row>
    <row r="28" spans="1:6" ht="14.25" thickBot="1">
      <c r="A28" s="1776" t="s">
        <v>1146</v>
      </c>
      <c r="B28" s="1777" t="s">
        <v>1248</v>
      </c>
      <c r="C28" s="1779"/>
      <c r="D28" s="1778">
        <v>7.5999999999999998E-2</v>
      </c>
      <c r="E28" s="1778">
        <v>9.1999999999999998E-2</v>
      </c>
      <c r="F28" s="1780"/>
    </row>
    <row r="29" spans="1:6" ht="14.25" thickBot="1">
      <c r="A29" s="1768" t="s">
        <v>1317</v>
      </c>
      <c r="B29" s="1769" t="s">
        <v>2079</v>
      </c>
      <c r="C29" s="1770">
        <v>6.4000000000000001E-2</v>
      </c>
      <c r="D29" s="1770">
        <v>6.5000000000000002E-2</v>
      </c>
      <c r="E29" s="1770">
        <v>6.9000000000000006E-2</v>
      </c>
      <c r="F29" s="1771">
        <v>0.1</v>
      </c>
    </row>
    <row r="30" spans="1:6" ht="14.25" thickBot="1">
      <c r="A30" s="1768" t="s">
        <v>1317</v>
      </c>
      <c r="B30" s="1775" t="s">
        <v>1063</v>
      </c>
      <c r="C30" s="1773">
        <v>6.4000000000000001E-2</v>
      </c>
      <c r="D30" s="1773">
        <v>9.9000000000000005E-2</v>
      </c>
      <c r="E30" s="1773">
        <v>0.1</v>
      </c>
      <c r="F30" s="1774">
        <v>0.1</v>
      </c>
    </row>
    <row r="31" spans="1:6" ht="14.25" thickBot="1">
      <c r="A31" s="1768" t="s">
        <v>1317</v>
      </c>
      <c r="B31" s="1775" t="s">
        <v>1077</v>
      </c>
      <c r="C31" s="1773">
        <v>0.1</v>
      </c>
      <c r="D31" s="1773">
        <v>9.5000000000000001E-2</v>
      </c>
      <c r="E31" s="1773">
        <v>8.8999999999999996E-2</v>
      </c>
      <c r="F31" s="1774">
        <v>0.1</v>
      </c>
    </row>
    <row r="32" spans="1:6" ht="14.25" thickBot="1">
      <c r="A32" s="1768" t="s">
        <v>1317</v>
      </c>
      <c r="B32" s="1775" t="s">
        <v>1090</v>
      </c>
      <c r="C32" s="1773">
        <v>0.05</v>
      </c>
      <c r="D32" s="1773">
        <v>0.05</v>
      </c>
      <c r="E32" s="1773">
        <v>8.7999999999999995E-2</v>
      </c>
      <c r="F32" s="1774">
        <v>0.1</v>
      </c>
    </row>
    <row r="33" spans="1:6" ht="14.25" thickBot="1">
      <c r="A33" s="1768" t="s">
        <v>1317</v>
      </c>
      <c r="B33" s="1775" t="s">
        <v>1104</v>
      </c>
      <c r="C33" s="1773">
        <v>7.4999999999999997E-2</v>
      </c>
      <c r="D33" s="1773">
        <v>9.4E-2</v>
      </c>
      <c r="E33" s="1773">
        <v>9.7000000000000003E-2</v>
      </c>
      <c r="F33" s="1774">
        <v>0.1</v>
      </c>
    </row>
    <row r="34" spans="1:6" ht="14.25" thickBot="1">
      <c r="A34" s="1768" t="s">
        <v>1317</v>
      </c>
      <c r="B34" s="1775" t="s">
        <v>1115</v>
      </c>
      <c r="C34" s="1773">
        <v>9.8000000000000004E-2</v>
      </c>
      <c r="D34" s="1773">
        <v>8.5999999999999993E-2</v>
      </c>
      <c r="E34" s="1773">
        <v>9.7000000000000003E-2</v>
      </c>
      <c r="F34" s="1774">
        <v>0.1</v>
      </c>
    </row>
    <row r="35" spans="1:6" ht="14.25" thickBot="1">
      <c r="A35" s="1768" t="s">
        <v>1317</v>
      </c>
      <c r="B35" s="1775" t="s">
        <v>1126</v>
      </c>
      <c r="C35" s="1773">
        <v>5.8999999999999997E-2</v>
      </c>
      <c r="D35" s="1773">
        <v>6.5000000000000002E-2</v>
      </c>
      <c r="E35" s="1773">
        <v>7.0000000000000007E-2</v>
      </c>
      <c r="F35" s="1774">
        <v>0.1</v>
      </c>
    </row>
    <row r="36" spans="1:6" ht="14.25" thickBot="1">
      <c r="A36" s="1768" t="s">
        <v>1317</v>
      </c>
      <c r="B36" s="1775" t="s">
        <v>1137</v>
      </c>
      <c r="C36" s="1773">
        <v>6.3E-2</v>
      </c>
      <c r="D36" s="1773">
        <v>0.1</v>
      </c>
      <c r="E36" s="1773">
        <v>0.1</v>
      </c>
      <c r="F36" s="1774">
        <v>0.1</v>
      </c>
    </row>
    <row r="37" spans="1:6" ht="14.25" thickBot="1">
      <c r="A37" s="1768" t="s">
        <v>1317</v>
      </c>
      <c r="B37" s="1775" t="s">
        <v>1149</v>
      </c>
      <c r="C37" s="1773">
        <v>7.3999999999999996E-2</v>
      </c>
      <c r="D37" s="1773">
        <v>0.1</v>
      </c>
      <c r="E37" s="1773">
        <v>0.1</v>
      </c>
      <c r="F37" s="1774">
        <v>0.1</v>
      </c>
    </row>
    <row r="38" spans="1:6" ht="14.25" thickBot="1">
      <c r="A38" s="1768" t="s">
        <v>1317</v>
      </c>
      <c r="B38" s="1775" t="s">
        <v>1159</v>
      </c>
      <c r="C38" s="1773">
        <v>0.1</v>
      </c>
      <c r="D38" s="1773">
        <v>9.6000000000000002E-2</v>
      </c>
      <c r="E38" s="1773">
        <v>9.6000000000000002E-2</v>
      </c>
      <c r="F38" s="1781"/>
    </row>
    <row r="39" spans="1:6" ht="14.25" thickBot="1">
      <c r="A39" s="1768" t="s">
        <v>1317</v>
      </c>
      <c r="B39" s="1775" t="s">
        <v>1169</v>
      </c>
      <c r="C39" s="1773">
        <v>0.1</v>
      </c>
      <c r="D39" s="1773">
        <v>9.6000000000000002E-2</v>
      </c>
      <c r="E39" s="1773">
        <v>9.6000000000000002E-2</v>
      </c>
      <c r="F39" s="1781"/>
    </row>
    <row r="40" spans="1:6" ht="14.25" thickBot="1">
      <c r="A40" s="1768" t="s">
        <v>1317</v>
      </c>
      <c r="B40" s="1775" t="s">
        <v>1179</v>
      </c>
      <c r="C40" s="1773">
        <v>9.6000000000000002E-2</v>
      </c>
      <c r="D40" s="1773">
        <v>0.1</v>
      </c>
      <c r="E40" s="1773">
        <v>9.9000000000000005E-2</v>
      </c>
      <c r="F40" s="1781"/>
    </row>
    <row r="41" spans="1:6" ht="14.25" thickBot="1">
      <c r="A41" s="1768" t="s">
        <v>1317</v>
      </c>
      <c r="B41" s="1775" t="s">
        <v>1189</v>
      </c>
      <c r="C41" s="1773">
        <v>9.6000000000000002E-2</v>
      </c>
      <c r="D41" s="1773">
        <v>9.8000000000000004E-2</v>
      </c>
      <c r="E41" s="1773">
        <v>9.8000000000000004E-2</v>
      </c>
      <c r="F41" s="1781"/>
    </row>
    <row r="42" spans="1:6" ht="14.25" thickBot="1">
      <c r="A42" s="1768" t="s">
        <v>1317</v>
      </c>
      <c r="B42" s="1775" t="s">
        <v>1199</v>
      </c>
      <c r="C42" s="1773">
        <v>0.1</v>
      </c>
      <c r="D42" s="1773">
        <v>8.7999999999999995E-2</v>
      </c>
      <c r="E42" s="1773">
        <v>0.1</v>
      </c>
      <c r="F42" s="1781"/>
    </row>
    <row r="43" spans="1:6" ht="14.25" thickBot="1">
      <c r="A43" s="1768" t="s">
        <v>1317</v>
      </c>
      <c r="B43" s="1775" t="s">
        <v>1209</v>
      </c>
      <c r="C43" s="1773">
        <v>9.8000000000000004E-2</v>
      </c>
      <c r="D43" s="1773">
        <v>9.7000000000000003E-2</v>
      </c>
      <c r="E43" s="1773">
        <v>9.6000000000000002E-2</v>
      </c>
      <c r="F43" s="1781"/>
    </row>
    <row r="44" spans="1:6" ht="14.25" thickBot="1">
      <c r="A44" s="1768" t="s">
        <v>1317</v>
      </c>
      <c r="B44" s="1775" t="s">
        <v>1219</v>
      </c>
      <c r="C44" s="1773">
        <v>8.5999999999999993E-2</v>
      </c>
      <c r="D44" s="1773">
        <v>7.9000000000000001E-2</v>
      </c>
      <c r="E44" s="1773">
        <v>7.0999999999999994E-2</v>
      </c>
      <c r="F44" s="1781"/>
    </row>
    <row r="45" spans="1:6" ht="14.25" thickBot="1">
      <c r="A45" s="1768" t="s">
        <v>1317</v>
      </c>
      <c r="B45" s="1775" t="s">
        <v>1229</v>
      </c>
      <c r="C45" s="1773">
        <v>9.8000000000000004E-2</v>
      </c>
      <c r="D45" s="1773">
        <v>9.6000000000000002E-2</v>
      </c>
      <c r="E45" s="1773">
        <v>9.6000000000000002E-2</v>
      </c>
      <c r="F45" s="1781"/>
    </row>
    <row r="46" spans="1:6" ht="14.25" thickBot="1">
      <c r="A46" s="1768" t="s">
        <v>1317</v>
      </c>
      <c r="B46" s="1775" t="s">
        <v>1239</v>
      </c>
      <c r="C46" s="1773">
        <v>8.5999999999999993E-2</v>
      </c>
      <c r="D46" s="1773">
        <v>9.8000000000000004E-2</v>
      </c>
      <c r="E46" s="1773">
        <v>8.7999999999999995E-2</v>
      </c>
      <c r="F46" s="1781"/>
    </row>
    <row r="47" spans="1:6" ht="14.25" thickBot="1">
      <c r="A47" s="1768" t="s">
        <v>1317</v>
      </c>
      <c r="B47" s="1775" t="s">
        <v>1249</v>
      </c>
      <c r="C47" s="1773">
        <v>9.6000000000000002E-2</v>
      </c>
      <c r="D47" s="1782"/>
      <c r="E47" s="1773">
        <v>6.9000000000000006E-2</v>
      </c>
      <c r="F47" s="1781"/>
    </row>
    <row r="48" spans="1:6" ht="14.25" thickBot="1">
      <c r="A48" s="1776" t="s">
        <v>1317</v>
      </c>
      <c r="B48" s="1777" t="s">
        <v>1258</v>
      </c>
      <c r="C48" s="1778">
        <v>9.8000000000000004E-2</v>
      </c>
      <c r="D48" s="1779"/>
      <c r="E48" s="1778">
        <v>9.5000000000000001E-2</v>
      </c>
      <c r="F48" s="1780"/>
    </row>
    <row r="49" spans="1:6" ht="14.25" thickBot="1">
      <c r="A49" s="1768" t="s">
        <v>916</v>
      </c>
      <c r="B49" s="1769" t="s">
        <v>2080</v>
      </c>
      <c r="C49" s="1770">
        <v>9.7000000000000003E-2</v>
      </c>
      <c r="D49" s="1770">
        <v>9.5000000000000001E-2</v>
      </c>
      <c r="E49" s="1770">
        <v>9.7000000000000003E-2</v>
      </c>
      <c r="F49" s="1771">
        <v>0.1</v>
      </c>
    </row>
    <row r="50" spans="1:6" ht="14.25" thickBot="1">
      <c r="A50" s="1768" t="s">
        <v>916</v>
      </c>
      <c r="B50" s="1772" t="s">
        <v>1064</v>
      </c>
      <c r="C50" s="1773">
        <v>7.4999999999999997E-2</v>
      </c>
      <c r="D50" s="1773">
        <v>9.5000000000000001E-2</v>
      </c>
      <c r="E50" s="1773">
        <v>0.1</v>
      </c>
      <c r="F50" s="1774">
        <v>0.1</v>
      </c>
    </row>
    <row r="51" spans="1:6" ht="14.25" thickBot="1">
      <c r="A51" s="1768" t="s">
        <v>916</v>
      </c>
      <c r="B51" s="1772" t="s">
        <v>1078</v>
      </c>
      <c r="C51" s="1773">
        <v>9.8000000000000004E-2</v>
      </c>
      <c r="D51" s="1773">
        <v>8.8999999999999996E-2</v>
      </c>
      <c r="E51" s="1773">
        <v>0.1</v>
      </c>
      <c r="F51" s="1774">
        <v>0.1</v>
      </c>
    </row>
    <row r="52" spans="1:6" ht="14.25" thickBot="1">
      <c r="A52" s="1768" t="s">
        <v>916</v>
      </c>
      <c r="B52" s="1772" t="s">
        <v>1091</v>
      </c>
      <c r="C52" s="1773">
        <v>9.8000000000000004E-2</v>
      </c>
      <c r="D52" s="1773">
        <v>9.7000000000000003E-2</v>
      </c>
      <c r="E52" s="1773">
        <v>8.1000000000000003E-2</v>
      </c>
      <c r="F52" s="1774">
        <v>0.1</v>
      </c>
    </row>
    <row r="53" spans="1:6" ht="14.25" thickBot="1">
      <c r="A53" s="1768" t="s">
        <v>916</v>
      </c>
      <c r="B53" s="1772" t="s">
        <v>1105</v>
      </c>
      <c r="C53" s="1773">
        <v>9.7000000000000003E-2</v>
      </c>
      <c r="D53" s="1773">
        <v>7.5999999999999998E-2</v>
      </c>
      <c r="E53" s="1773">
        <v>7.0999999999999994E-2</v>
      </c>
      <c r="F53" s="1774">
        <v>0.1</v>
      </c>
    </row>
    <row r="54" spans="1:6" ht="14.25" thickBot="1">
      <c r="A54" s="1768" t="s">
        <v>916</v>
      </c>
      <c r="B54" s="1772" t="s">
        <v>1116</v>
      </c>
      <c r="C54" s="1773">
        <v>7.5999999999999998E-2</v>
      </c>
      <c r="D54" s="1773">
        <v>0.1</v>
      </c>
      <c r="E54" s="1773">
        <v>9.9000000000000005E-2</v>
      </c>
      <c r="F54" s="1774">
        <v>0.1</v>
      </c>
    </row>
    <row r="55" spans="1:6" ht="14.25" thickBot="1">
      <c r="A55" s="1768" t="s">
        <v>916</v>
      </c>
      <c r="B55" s="1772" t="s">
        <v>1127</v>
      </c>
      <c r="C55" s="1773">
        <v>0.1</v>
      </c>
      <c r="D55" s="1773">
        <v>0.1</v>
      </c>
      <c r="E55" s="1773">
        <v>9.6000000000000002E-2</v>
      </c>
      <c r="F55" s="1774">
        <v>0.1</v>
      </c>
    </row>
    <row r="56" spans="1:6" ht="14.25" thickBot="1">
      <c r="A56" s="1768" t="s">
        <v>916</v>
      </c>
      <c r="B56" s="1772" t="s">
        <v>1138</v>
      </c>
      <c r="C56" s="1773">
        <v>0.1</v>
      </c>
      <c r="D56" s="1773">
        <v>9.6000000000000002E-2</v>
      </c>
      <c r="E56" s="1773">
        <v>5.1999999999999998E-2</v>
      </c>
      <c r="F56" s="1774">
        <v>0.1</v>
      </c>
    </row>
    <row r="57" spans="1:6" ht="14.25" thickBot="1">
      <c r="A57" s="1768" t="s">
        <v>916</v>
      </c>
      <c r="B57" s="1772" t="s">
        <v>1150</v>
      </c>
      <c r="C57" s="1773">
        <v>9.7000000000000003E-2</v>
      </c>
      <c r="D57" s="1773">
        <v>9.6000000000000002E-2</v>
      </c>
      <c r="E57" s="1773">
        <v>9.6000000000000002E-2</v>
      </c>
      <c r="F57" s="1774">
        <v>0.1</v>
      </c>
    </row>
    <row r="58" spans="1:6" ht="14.25" thickBot="1">
      <c r="A58" s="1768" t="s">
        <v>916</v>
      </c>
      <c r="B58" s="1772" t="s">
        <v>1160</v>
      </c>
      <c r="C58" s="1773">
        <v>9.6000000000000002E-2</v>
      </c>
      <c r="D58" s="1773">
        <v>9.9000000000000005E-2</v>
      </c>
      <c r="E58" s="1773">
        <v>9.6000000000000002E-2</v>
      </c>
      <c r="F58" s="1774">
        <v>0.1</v>
      </c>
    </row>
    <row r="59" spans="1:6" ht="14.25" thickBot="1">
      <c r="A59" s="1768" t="s">
        <v>916</v>
      </c>
      <c r="B59" s="1772" t="s">
        <v>1170</v>
      </c>
      <c r="C59" s="1773">
        <v>7.1999999999999995E-2</v>
      </c>
      <c r="D59" s="1773">
        <v>9.6000000000000002E-2</v>
      </c>
      <c r="E59" s="1773">
        <v>7.0999999999999994E-2</v>
      </c>
      <c r="F59" s="1774">
        <v>0.1</v>
      </c>
    </row>
    <row r="60" spans="1:6" ht="14.25" thickBot="1">
      <c r="A60" s="1768" t="s">
        <v>916</v>
      </c>
      <c r="B60" s="1772" t="s">
        <v>1180</v>
      </c>
      <c r="C60" s="1773">
        <v>9.6000000000000002E-2</v>
      </c>
      <c r="D60" s="1773">
        <v>8.8999999999999996E-2</v>
      </c>
      <c r="E60" s="1773">
        <v>9.6000000000000002E-2</v>
      </c>
      <c r="F60" s="1774">
        <v>0.1</v>
      </c>
    </row>
    <row r="61" spans="1:6" ht="14.25" thickBot="1">
      <c r="A61" s="1768" t="s">
        <v>916</v>
      </c>
      <c r="B61" s="1772" t="s">
        <v>1190</v>
      </c>
      <c r="C61" s="1773">
        <v>8.8999999999999996E-2</v>
      </c>
      <c r="D61" s="1773">
        <v>9.8000000000000004E-2</v>
      </c>
      <c r="E61" s="1773">
        <v>8.7999999999999995E-2</v>
      </c>
      <c r="F61" s="1781"/>
    </row>
    <row r="62" spans="1:6" ht="14.25" thickBot="1">
      <c r="A62" s="1768" t="s">
        <v>916</v>
      </c>
      <c r="B62" s="1772" t="s">
        <v>1200</v>
      </c>
      <c r="C62" s="1773">
        <v>9.8000000000000004E-2</v>
      </c>
      <c r="D62" s="1773">
        <v>9.2999999999999999E-2</v>
      </c>
      <c r="E62" s="1773">
        <v>9.7000000000000003E-2</v>
      </c>
      <c r="F62" s="1781"/>
    </row>
    <row r="63" spans="1:6" ht="14.25" thickBot="1">
      <c r="A63" s="1768" t="s">
        <v>916</v>
      </c>
      <c r="B63" s="1772" t="s">
        <v>1210</v>
      </c>
      <c r="C63" s="1773">
        <v>9.6000000000000002E-2</v>
      </c>
      <c r="D63" s="1773">
        <v>9.8000000000000004E-2</v>
      </c>
      <c r="E63" s="1773">
        <v>0.09</v>
      </c>
      <c r="F63" s="1781"/>
    </row>
    <row r="64" spans="1:6" ht="14.25" thickBot="1">
      <c r="A64" s="1768" t="s">
        <v>916</v>
      </c>
      <c r="B64" s="1772" t="s">
        <v>1220</v>
      </c>
      <c r="C64" s="1773">
        <v>9.9000000000000005E-2</v>
      </c>
      <c r="D64" s="1773">
        <v>9.7000000000000003E-2</v>
      </c>
      <c r="E64" s="1773">
        <v>9.9000000000000005E-2</v>
      </c>
      <c r="F64" s="1781"/>
    </row>
    <row r="65" spans="1:6" ht="14.25" thickBot="1">
      <c r="A65" s="1768" t="s">
        <v>916</v>
      </c>
      <c r="B65" s="1772" t="s">
        <v>1230</v>
      </c>
      <c r="C65" s="1773">
        <v>9.8000000000000004E-2</v>
      </c>
      <c r="D65" s="1773">
        <v>9.6000000000000002E-2</v>
      </c>
      <c r="E65" s="1773">
        <v>9.6000000000000002E-2</v>
      </c>
      <c r="F65" s="1781"/>
    </row>
    <row r="66" spans="1:6" ht="14.25" thickBot="1">
      <c r="A66" s="1768" t="s">
        <v>916</v>
      </c>
      <c r="B66" s="1772" t="s">
        <v>1240</v>
      </c>
      <c r="C66" s="1773">
        <v>9.6000000000000002E-2</v>
      </c>
      <c r="D66" s="1773">
        <v>9.1999999999999998E-2</v>
      </c>
      <c r="E66" s="1773">
        <v>9.6000000000000002E-2</v>
      </c>
      <c r="F66" s="1781"/>
    </row>
    <row r="67" spans="1:6" ht="14.25" thickBot="1">
      <c r="A67" s="1768" t="s">
        <v>916</v>
      </c>
      <c r="B67" s="1772" t="s">
        <v>1250</v>
      </c>
      <c r="C67" s="1773">
        <v>9.4E-2</v>
      </c>
      <c r="D67" s="1773">
        <v>0.1</v>
      </c>
      <c r="E67" s="1773">
        <v>8.7999999999999995E-2</v>
      </c>
      <c r="F67" s="1781"/>
    </row>
    <row r="68" spans="1:6" ht="14.25" thickBot="1">
      <c r="A68" s="1768" t="s">
        <v>916</v>
      </c>
      <c r="B68" s="1772" t="s">
        <v>1259</v>
      </c>
      <c r="C68" s="1773">
        <v>0.1</v>
      </c>
      <c r="D68" s="1773">
        <v>8.7999999999999995E-2</v>
      </c>
      <c r="E68" s="1773">
        <v>9.7000000000000003E-2</v>
      </c>
      <c r="F68" s="1781"/>
    </row>
    <row r="69" spans="1:6" ht="14.25" thickBot="1">
      <c r="A69" s="1768" t="s">
        <v>916</v>
      </c>
      <c r="B69" s="1772" t="s">
        <v>1268</v>
      </c>
      <c r="C69" s="1773">
        <v>6.4000000000000001E-2</v>
      </c>
      <c r="D69" s="1773">
        <v>0.1</v>
      </c>
      <c r="E69" s="1773">
        <v>0.1</v>
      </c>
      <c r="F69" s="1781"/>
    </row>
    <row r="70" spans="1:6" ht="14.25" thickBot="1">
      <c r="A70" s="1768" t="s">
        <v>916</v>
      </c>
      <c r="B70" s="1772" t="s">
        <v>1276</v>
      </c>
      <c r="C70" s="1773">
        <v>9.0999999999999998E-2</v>
      </c>
      <c r="D70" s="1782"/>
      <c r="E70" s="1782"/>
      <c r="F70" s="1781"/>
    </row>
    <row r="71" spans="1:6" ht="14.25" thickBot="1">
      <c r="A71" s="1768" t="s">
        <v>916</v>
      </c>
      <c r="B71" s="1772" t="s">
        <v>1283</v>
      </c>
      <c r="C71" s="1773">
        <v>0.1</v>
      </c>
      <c r="D71" s="1782"/>
      <c r="E71" s="1782"/>
      <c r="F71" s="1781"/>
    </row>
    <row r="72" spans="1:6" ht="24.75" thickBot="1">
      <c r="A72" s="1768" t="s">
        <v>916</v>
      </c>
      <c r="B72" s="1772" t="s">
        <v>2081</v>
      </c>
      <c r="C72" s="1782"/>
      <c r="D72" s="1782"/>
      <c r="E72" s="1782"/>
      <c r="F72" s="1774">
        <v>0.05</v>
      </c>
    </row>
    <row r="73" spans="1:6" ht="24.75" thickBot="1">
      <c r="A73" s="1768" t="s">
        <v>916</v>
      </c>
      <c r="B73" s="1772" t="s">
        <v>2082</v>
      </c>
      <c r="C73" s="1782"/>
      <c r="D73" s="1782"/>
      <c r="E73" s="1782"/>
      <c r="F73" s="1774">
        <v>0.05</v>
      </c>
    </row>
    <row r="74" spans="1:6" ht="24.75" thickBot="1">
      <c r="A74" s="1768" t="s">
        <v>916</v>
      </c>
      <c r="B74" s="1772" t="s">
        <v>2083</v>
      </c>
      <c r="C74" s="1782"/>
      <c r="D74" s="1782"/>
      <c r="E74" s="1782"/>
      <c r="F74" s="1774">
        <v>0.05</v>
      </c>
    </row>
    <row r="75" spans="1:6" ht="24.75" thickBot="1">
      <c r="A75" s="1776" t="s">
        <v>916</v>
      </c>
      <c r="B75" s="1783" t="s">
        <v>2084</v>
      </c>
      <c r="C75" s="1779"/>
      <c r="D75" s="1779"/>
      <c r="E75" s="1779"/>
      <c r="F75" s="1784">
        <v>0.05</v>
      </c>
    </row>
    <row r="76" spans="1:6" ht="14.25" thickBot="1">
      <c r="A76" s="1768" t="s">
        <v>1398</v>
      </c>
      <c r="B76" s="1769" t="s">
        <v>2085</v>
      </c>
      <c r="C76" s="1770">
        <v>0.1</v>
      </c>
      <c r="D76" s="1770">
        <v>0.1</v>
      </c>
      <c r="E76" s="1770">
        <v>0.1</v>
      </c>
      <c r="F76" s="1771">
        <v>0.1</v>
      </c>
    </row>
    <row r="77" spans="1:6" ht="14.25" thickBot="1">
      <c r="A77" s="1768" t="s">
        <v>1398</v>
      </c>
      <c r="B77" s="1772" t="s">
        <v>1065</v>
      </c>
      <c r="C77" s="1773">
        <v>8.7999999999999995E-2</v>
      </c>
      <c r="D77" s="1773">
        <v>8.6999999999999994E-2</v>
      </c>
      <c r="E77" s="1773">
        <v>7.9000000000000001E-2</v>
      </c>
      <c r="F77" s="1774">
        <v>0.1</v>
      </c>
    </row>
    <row r="78" spans="1:6" ht="14.25" thickBot="1">
      <c r="A78" s="1768" t="s">
        <v>1398</v>
      </c>
      <c r="B78" s="1772" t="s">
        <v>1079</v>
      </c>
      <c r="C78" s="1773">
        <v>8.6999999999999994E-2</v>
      </c>
      <c r="D78" s="1773">
        <v>8.4000000000000005E-2</v>
      </c>
      <c r="E78" s="1773">
        <v>9.6000000000000002E-2</v>
      </c>
      <c r="F78" s="1774">
        <v>0.1</v>
      </c>
    </row>
    <row r="79" spans="1:6" ht="14.25" thickBot="1">
      <c r="A79" s="1768" t="s">
        <v>1398</v>
      </c>
      <c r="B79" s="1772" t="s">
        <v>1092</v>
      </c>
      <c r="C79" s="1773">
        <v>9.8000000000000004E-2</v>
      </c>
      <c r="D79" s="1773">
        <v>9.8000000000000004E-2</v>
      </c>
      <c r="E79" s="1773">
        <v>9.0999999999999998E-2</v>
      </c>
      <c r="F79" s="1774">
        <v>0.1</v>
      </c>
    </row>
    <row r="80" spans="1:6" ht="14.25" thickBot="1">
      <c r="A80" s="1768" t="s">
        <v>1398</v>
      </c>
      <c r="B80" s="1772" t="s">
        <v>1106</v>
      </c>
      <c r="C80" s="1773">
        <v>9.6000000000000002E-2</v>
      </c>
      <c r="D80" s="1773">
        <v>9.6000000000000002E-2</v>
      </c>
      <c r="E80" s="1773">
        <v>0.1</v>
      </c>
      <c r="F80" s="1774">
        <v>0.1</v>
      </c>
    </row>
    <row r="81" spans="1:6" ht="14.25" thickBot="1">
      <c r="A81" s="1768" t="s">
        <v>1398</v>
      </c>
      <c r="B81" s="1772" t="s">
        <v>1117</v>
      </c>
      <c r="C81" s="1773">
        <v>9.9000000000000005E-2</v>
      </c>
      <c r="D81" s="1773">
        <v>9.9000000000000005E-2</v>
      </c>
      <c r="E81" s="1773">
        <v>9.8000000000000004E-2</v>
      </c>
      <c r="F81" s="1774">
        <v>0.1</v>
      </c>
    </row>
    <row r="82" spans="1:6" ht="14.25" thickBot="1">
      <c r="A82" s="1768" t="s">
        <v>1398</v>
      </c>
      <c r="B82" s="1772" t="s">
        <v>1128</v>
      </c>
      <c r="C82" s="1773">
        <v>9.9000000000000005E-2</v>
      </c>
      <c r="D82" s="1773">
        <v>9.9000000000000005E-2</v>
      </c>
      <c r="E82" s="1773">
        <v>9.7000000000000003E-2</v>
      </c>
      <c r="F82" s="1774">
        <v>0.1</v>
      </c>
    </row>
    <row r="83" spans="1:6" ht="14.25" thickBot="1">
      <c r="A83" s="1768" t="s">
        <v>1398</v>
      </c>
      <c r="B83" s="1772" t="s">
        <v>1139</v>
      </c>
      <c r="C83" s="1773">
        <v>9.8000000000000004E-2</v>
      </c>
      <c r="D83" s="1773">
        <v>9.8000000000000004E-2</v>
      </c>
      <c r="E83" s="1773">
        <v>9.8000000000000004E-2</v>
      </c>
      <c r="F83" s="1774">
        <v>0.1</v>
      </c>
    </row>
    <row r="84" spans="1:6" ht="14.25" thickBot="1">
      <c r="A84" s="1768" t="s">
        <v>1398</v>
      </c>
      <c r="B84" s="1772" t="s">
        <v>1151</v>
      </c>
      <c r="C84" s="1773">
        <v>9.9000000000000005E-2</v>
      </c>
      <c r="D84" s="1773">
        <v>9.9000000000000005E-2</v>
      </c>
      <c r="E84" s="1773">
        <v>9.9000000000000005E-2</v>
      </c>
      <c r="F84" s="1774">
        <v>0.1</v>
      </c>
    </row>
    <row r="85" spans="1:6" ht="14.25" thickBot="1">
      <c r="A85" s="1768" t="s">
        <v>1398</v>
      </c>
      <c r="B85" s="1772" t="s">
        <v>1161</v>
      </c>
      <c r="C85" s="1773">
        <v>9.9000000000000005E-2</v>
      </c>
      <c r="D85" s="1773">
        <v>9.9000000000000005E-2</v>
      </c>
      <c r="E85" s="1773">
        <v>9.9000000000000005E-2</v>
      </c>
      <c r="F85" s="1774">
        <v>0.1</v>
      </c>
    </row>
    <row r="86" spans="1:6" ht="14.25" thickBot="1">
      <c r="A86" s="1768" t="s">
        <v>1398</v>
      </c>
      <c r="B86" s="1772" t="s">
        <v>1171</v>
      </c>
      <c r="C86" s="1773">
        <v>0.1</v>
      </c>
      <c r="D86" s="1773">
        <v>0.1</v>
      </c>
      <c r="E86" s="1773">
        <v>7.6999999999999999E-2</v>
      </c>
      <c r="F86" s="1774">
        <v>0.1</v>
      </c>
    </row>
    <row r="87" spans="1:6" ht="14.25" thickBot="1">
      <c r="A87" s="1768" t="s">
        <v>1398</v>
      </c>
      <c r="B87" s="1772" t="s">
        <v>1181</v>
      </c>
      <c r="C87" s="1773">
        <v>0.1</v>
      </c>
      <c r="D87" s="1773">
        <v>0.1</v>
      </c>
      <c r="E87" s="1773">
        <v>9.8000000000000004E-2</v>
      </c>
      <c r="F87" s="1781"/>
    </row>
    <row r="88" spans="1:6" ht="14.25" thickBot="1">
      <c r="A88" s="1768" t="s">
        <v>1398</v>
      </c>
      <c r="B88" s="1772" t="s">
        <v>1191</v>
      </c>
      <c r="C88" s="1773">
        <v>9.1999999999999998E-2</v>
      </c>
      <c r="D88" s="1773">
        <v>8.5000000000000006E-2</v>
      </c>
      <c r="E88" s="1773">
        <v>9.6000000000000002E-2</v>
      </c>
      <c r="F88" s="1781"/>
    </row>
    <row r="89" spans="1:6" ht="14.25" thickBot="1">
      <c r="A89" s="1768" t="s">
        <v>1398</v>
      </c>
      <c r="B89" s="1772" t="s">
        <v>1201</v>
      </c>
      <c r="C89" s="1773">
        <v>0.1</v>
      </c>
      <c r="D89" s="1773">
        <v>0.1</v>
      </c>
      <c r="E89" s="1773">
        <v>9.7000000000000003E-2</v>
      </c>
      <c r="F89" s="1781"/>
    </row>
    <row r="90" spans="1:6" ht="14.25" thickBot="1">
      <c r="A90" s="1768" t="s">
        <v>1398</v>
      </c>
      <c r="B90" s="1772" t="s">
        <v>1211</v>
      </c>
      <c r="C90" s="1773">
        <v>9.8000000000000004E-2</v>
      </c>
      <c r="D90" s="1773">
        <v>9.8000000000000004E-2</v>
      </c>
      <c r="E90" s="1773">
        <v>8.7999999999999995E-2</v>
      </c>
      <c r="F90" s="1781"/>
    </row>
    <row r="91" spans="1:6" ht="14.25" thickBot="1">
      <c r="A91" s="1768" t="s">
        <v>1398</v>
      </c>
      <c r="B91" s="1772" t="s">
        <v>1221</v>
      </c>
      <c r="C91" s="1773">
        <v>9.9000000000000005E-2</v>
      </c>
      <c r="D91" s="1773">
        <v>9.9000000000000005E-2</v>
      </c>
      <c r="E91" s="1773">
        <v>9.0999999999999998E-2</v>
      </c>
      <c r="F91" s="1781"/>
    </row>
    <row r="92" spans="1:6" ht="14.25" thickBot="1">
      <c r="A92" s="1768" t="s">
        <v>1398</v>
      </c>
      <c r="B92" s="1772" t="s">
        <v>1231</v>
      </c>
      <c r="C92" s="1773">
        <v>9.6000000000000002E-2</v>
      </c>
      <c r="D92" s="1773">
        <v>9.6000000000000002E-2</v>
      </c>
      <c r="E92" s="1773">
        <v>7.2999999999999995E-2</v>
      </c>
      <c r="F92" s="1781"/>
    </row>
    <row r="93" spans="1:6" ht="14.25" thickBot="1">
      <c r="A93" s="1768" t="s">
        <v>1398</v>
      </c>
      <c r="B93" s="1772" t="s">
        <v>1241</v>
      </c>
      <c r="C93" s="1773">
        <v>9.6000000000000002E-2</v>
      </c>
      <c r="D93" s="1773">
        <v>9.6000000000000002E-2</v>
      </c>
      <c r="E93" s="1773">
        <v>9.9000000000000005E-2</v>
      </c>
      <c r="F93" s="1781"/>
    </row>
    <row r="94" spans="1:6" ht="14.25" thickBot="1">
      <c r="A94" s="1768" t="s">
        <v>1398</v>
      </c>
      <c r="B94" s="1772" t="s">
        <v>1251</v>
      </c>
      <c r="C94" s="1773">
        <v>7.5999999999999998E-2</v>
      </c>
      <c r="D94" s="1773">
        <v>7.3999999999999996E-2</v>
      </c>
      <c r="E94" s="1773">
        <v>9.7000000000000003E-2</v>
      </c>
      <c r="F94" s="1781"/>
    </row>
    <row r="95" spans="1:6" ht="14.25" thickBot="1">
      <c r="A95" s="1768" t="s">
        <v>1398</v>
      </c>
      <c r="B95" s="1772" t="s">
        <v>1260</v>
      </c>
      <c r="C95" s="1773">
        <v>9.9000000000000005E-2</v>
      </c>
      <c r="D95" s="1773">
        <v>9.4E-2</v>
      </c>
      <c r="E95" s="1773">
        <v>9.6000000000000002E-2</v>
      </c>
      <c r="F95" s="1781"/>
    </row>
    <row r="96" spans="1:6" ht="14.25" thickBot="1">
      <c r="A96" s="1768" t="s">
        <v>1398</v>
      </c>
      <c r="B96" s="1772" t="s">
        <v>1269</v>
      </c>
      <c r="C96" s="1773">
        <v>9.9000000000000005E-2</v>
      </c>
      <c r="D96" s="1773">
        <v>9.9000000000000005E-2</v>
      </c>
      <c r="E96" s="1773">
        <v>9.9000000000000005E-2</v>
      </c>
      <c r="F96" s="1781"/>
    </row>
    <row r="97" spans="1:6" ht="14.25" thickBot="1">
      <c r="A97" s="1768" t="s">
        <v>1398</v>
      </c>
      <c r="B97" s="1772" t="s">
        <v>1277</v>
      </c>
      <c r="C97" s="1773">
        <v>9.8000000000000004E-2</v>
      </c>
      <c r="D97" s="1773">
        <v>9.8000000000000004E-2</v>
      </c>
      <c r="E97" s="1773">
        <v>9.7000000000000003E-2</v>
      </c>
      <c r="F97" s="1781"/>
    </row>
    <row r="98" spans="1:6" ht="14.25" thickBot="1">
      <c r="A98" s="1768" t="s">
        <v>1398</v>
      </c>
      <c r="B98" s="1772" t="s">
        <v>1284</v>
      </c>
      <c r="C98" s="1773">
        <v>0.1</v>
      </c>
      <c r="D98" s="1773">
        <v>0.1</v>
      </c>
      <c r="E98" s="1773">
        <v>9.7000000000000003E-2</v>
      </c>
      <c r="F98" s="1781"/>
    </row>
    <row r="99" spans="1:6" ht="14.25" thickBot="1">
      <c r="A99" s="1768" t="s">
        <v>1398</v>
      </c>
      <c r="B99" s="1772" t="s">
        <v>1291</v>
      </c>
      <c r="C99" s="1773">
        <v>0.1</v>
      </c>
      <c r="D99" s="1773">
        <v>0.1</v>
      </c>
      <c r="E99" s="1782"/>
      <c r="F99" s="1781"/>
    </row>
    <row r="100" spans="1:6" ht="14.25" thickBot="1">
      <c r="A100" s="1768" t="s">
        <v>1398</v>
      </c>
      <c r="B100" s="1772" t="s">
        <v>1298</v>
      </c>
      <c r="C100" s="1773">
        <v>0.09</v>
      </c>
      <c r="D100" s="1773">
        <v>8.8999999999999996E-2</v>
      </c>
      <c r="E100" s="1782"/>
      <c r="F100" s="1781"/>
    </row>
    <row r="101" spans="1:6" ht="14.25" thickBot="1">
      <c r="A101" s="1768" t="s">
        <v>1398</v>
      </c>
      <c r="B101" s="1772" t="s">
        <v>1305</v>
      </c>
      <c r="C101" s="1773">
        <v>9.8000000000000004E-2</v>
      </c>
      <c r="D101" s="1773">
        <v>9.7000000000000003E-2</v>
      </c>
      <c r="E101" s="1782"/>
      <c r="F101" s="1781"/>
    </row>
    <row r="102" spans="1:6" ht="24.75" thickBot="1">
      <c r="A102" s="1768" t="s">
        <v>1398</v>
      </c>
      <c r="B102" s="1772" t="s">
        <v>2086</v>
      </c>
      <c r="C102" s="1782"/>
      <c r="D102" s="1782"/>
      <c r="E102" s="1782"/>
      <c r="F102" s="1774">
        <v>0.05</v>
      </c>
    </row>
    <row r="103" spans="1:6" ht="24.75" thickBot="1">
      <c r="A103" s="1768" t="s">
        <v>1398</v>
      </c>
      <c r="B103" s="1772" t="s">
        <v>2087</v>
      </c>
      <c r="C103" s="1782"/>
      <c r="D103" s="1782"/>
      <c r="E103" s="1782"/>
      <c r="F103" s="1774">
        <v>0.05</v>
      </c>
    </row>
    <row r="104" spans="1:6" ht="14.25" thickBot="1">
      <c r="A104" s="1768" t="s">
        <v>1398</v>
      </c>
      <c r="B104" s="1772" t="s">
        <v>2088</v>
      </c>
      <c r="C104" s="1782"/>
      <c r="D104" s="1782"/>
      <c r="E104" s="1782"/>
      <c r="F104" s="1774">
        <v>0.05</v>
      </c>
    </row>
    <row r="105" spans="1:6" ht="14.25" thickBot="1">
      <c r="A105" s="1768" t="s">
        <v>1398</v>
      </c>
      <c r="B105" s="1772" t="s">
        <v>2089</v>
      </c>
      <c r="C105" s="1782"/>
      <c r="D105" s="1782"/>
      <c r="E105" s="1782"/>
      <c r="F105" s="1774">
        <v>0.05</v>
      </c>
    </row>
    <row r="106" spans="1:6" ht="14.25" thickBot="1">
      <c r="A106" s="1768" t="s">
        <v>1398</v>
      </c>
      <c r="B106" s="1772" t="s">
        <v>2090</v>
      </c>
      <c r="C106" s="1782"/>
      <c r="D106" s="1782"/>
      <c r="E106" s="1782"/>
      <c r="F106" s="1774">
        <v>0.05</v>
      </c>
    </row>
    <row r="107" spans="1:6" ht="24.75" thickBot="1">
      <c r="A107" s="1768" t="s">
        <v>1398</v>
      </c>
      <c r="B107" s="1772" t="s">
        <v>2091</v>
      </c>
      <c r="C107" s="1782"/>
      <c r="D107" s="1782"/>
      <c r="E107" s="1782"/>
      <c r="F107" s="1774">
        <v>0.05</v>
      </c>
    </row>
    <row r="108" spans="1:6" ht="24.75" thickBot="1">
      <c r="A108" s="1768" t="s">
        <v>1398</v>
      </c>
      <c r="B108" s="1772" t="s">
        <v>2092</v>
      </c>
      <c r="C108" s="1782"/>
      <c r="D108" s="1782"/>
      <c r="E108" s="1782"/>
      <c r="F108" s="1774">
        <v>0.05</v>
      </c>
    </row>
    <row r="109" spans="1:6" ht="24.75" thickBot="1">
      <c r="A109" s="1776" t="s">
        <v>1398</v>
      </c>
      <c r="B109" s="1783" t="s">
        <v>2093</v>
      </c>
      <c r="C109" s="1779"/>
      <c r="D109" s="1779"/>
      <c r="E109" s="1779"/>
      <c r="F109" s="1784">
        <v>0.05</v>
      </c>
    </row>
    <row r="110" spans="1:6" ht="14.25" thickBot="1">
      <c r="A110" s="1768" t="s">
        <v>1400</v>
      </c>
      <c r="B110" s="1769" t="s">
        <v>2094</v>
      </c>
      <c r="C110" s="1770">
        <v>0.129</v>
      </c>
      <c r="D110" s="1770">
        <v>0.129</v>
      </c>
      <c r="E110" s="1770">
        <v>0.126</v>
      </c>
      <c r="F110" s="1771">
        <v>0.13</v>
      </c>
    </row>
    <row r="111" spans="1:6" ht="14.25" thickBot="1">
      <c r="A111" s="1768" t="s">
        <v>1400</v>
      </c>
      <c r="B111" s="1772" t="s">
        <v>1066</v>
      </c>
      <c r="C111" s="1773">
        <v>0.11</v>
      </c>
      <c r="D111" s="1773">
        <v>0.11</v>
      </c>
      <c r="E111" s="1773">
        <v>9.9000000000000005E-2</v>
      </c>
      <c r="F111" s="1774">
        <v>0.128</v>
      </c>
    </row>
    <row r="112" spans="1:6" ht="14.25" thickBot="1">
      <c r="A112" s="1768" t="s">
        <v>1400</v>
      </c>
      <c r="B112" s="1772" t="s">
        <v>1080</v>
      </c>
      <c r="C112" s="1773">
        <v>0.125</v>
      </c>
      <c r="D112" s="1773">
        <v>0.125</v>
      </c>
      <c r="E112" s="1773">
        <v>0.12</v>
      </c>
      <c r="F112" s="1774">
        <v>0.125</v>
      </c>
    </row>
    <row r="113" spans="1:6" ht="14.25" thickBot="1">
      <c r="A113" s="1768" t="s">
        <v>1400</v>
      </c>
      <c r="B113" s="1772" t="s">
        <v>1093</v>
      </c>
      <c r="C113" s="1773">
        <v>0.13</v>
      </c>
      <c r="D113" s="1773">
        <v>0.13</v>
      </c>
      <c r="E113" s="1773">
        <v>0.13</v>
      </c>
      <c r="F113" s="1774">
        <v>0.13</v>
      </c>
    </row>
    <row r="114" spans="1:6" ht="14.25" thickBot="1">
      <c r="A114" s="1768" t="s">
        <v>1400</v>
      </c>
      <c r="B114" s="1772" t="s">
        <v>1107</v>
      </c>
      <c r="C114" s="1773">
        <v>0.123</v>
      </c>
      <c r="D114" s="1773">
        <v>0.123</v>
      </c>
      <c r="E114" s="1773">
        <v>0.12</v>
      </c>
      <c r="F114" s="1774">
        <v>0.13</v>
      </c>
    </row>
    <row r="115" spans="1:6" ht="14.25" thickBot="1">
      <c r="A115" s="1768" t="s">
        <v>1400</v>
      </c>
      <c r="B115" s="1772" t="s">
        <v>1118</v>
      </c>
      <c r="C115" s="1773">
        <v>0.125</v>
      </c>
      <c r="D115" s="1773">
        <v>0.125</v>
      </c>
      <c r="E115" s="1773">
        <v>0.11700000000000001</v>
      </c>
      <c r="F115" s="1774">
        <v>0.13</v>
      </c>
    </row>
    <row r="116" spans="1:6" ht="14.25" thickBot="1">
      <c r="A116" s="1768" t="s">
        <v>1400</v>
      </c>
      <c r="B116" s="1772" t="s">
        <v>1129</v>
      </c>
      <c r="C116" s="1773">
        <v>0.11700000000000001</v>
      </c>
      <c r="D116" s="1773">
        <v>0.11700000000000001</v>
      </c>
      <c r="E116" s="1773">
        <v>8.7999999999999995E-2</v>
      </c>
      <c r="F116" s="1774">
        <v>0.13</v>
      </c>
    </row>
    <row r="117" spans="1:6" ht="14.25" thickBot="1">
      <c r="A117" s="1768" t="s">
        <v>1400</v>
      </c>
      <c r="B117" s="1772" t="s">
        <v>1140</v>
      </c>
      <c r="C117" s="1773">
        <v>0.13</v>
      </c>
      <c r="D117" s="1773">
        <v>0.13</v>
      </c>
      <c r="E117" s="1773">
        <v>0.129</v>
      </c>
      <c r="F117" s="1774">
        <v>0.13</v>
      </c>
    </row>
    <row r="118" spans="1:6" ht="14.25" thickBot="1">
      <c r="A118" s="1768" t="s">
        <v>1400</v>
      </c>
      <c r="B118" s="1772" t="s">
        <v>1152</v>
      </c>
      <c r="C118" s="1773">
        <v>0.123</v>
      </c>
      <c r="D118" s="1773">
        <v>0.123</v>
      </c>
      <c r="E118" s="1773">
        <v>0.11600000000000001</v>
      </c>
      <c r="F118" s="1774">
        <v>0.13</v>
      </c>
    </row>
    <row r="119" spans="1:6" ht="14.25" thickBot="1">
      <c r="A119" s="1768" t="s">
        <v>1400</v>
      </c>
      <c r="B119" s="1772" t="s">
        <v>1162</v>
      </c>
      <c r="C119" s="1773">
        <v>0.127</v>
      </c>
      <c r="D119" s="1773">
        <v>0.127</v>
      </c>
      <c r="E119" s="1773">
        <v>0.124</v>
      </c>
      <c r="F119" s="1774">
        <v>0.13</v>
      </c>
    </row>
    <row r="120" spans="1:6" ht="14.25" thickBot="1">
      <c r="A120" s="1768" t="s">
        <v>1400</v>
      </c>
      <c r="B120" s="1772" t="s">
        <v>1172</v>
      </c>
      <c r="C120" s="1773">
        <v>0.125</v>
      </c>
      <c r="D120" s="1773">
        <v>0.125</v>
      </c>
      <c r="E120" s="1773">
        <v>0.122</v>
      </c>
      <c r="F120" s="1774">
        <v>0.13</v>
      </c>
    </row>
    <row r="121" spans="1:6" ht="14.25" thickBot="1">
      <c r="A121" s="1768" t="s">
        <v>1400</v>
      </c>
      <c r="B121" s="1772" t="s">
        <v>1182</v>
      </c>
      <c r="C121" s="1773">
        <v>0.13</v>
      </c>
      <c r="D121" s="1773">
        <v>0.13</v>
      </c>
      <c r="E121" s="1773">
        <v>0.13</v>
      </c>
      <c r="F121" s="1774">
        <v>0.13</v>
      </c>
    </row>
    <row r="122" spans="1:6" ht="14.25" thickBot="1">
      <c r="A122" s="1768" t="s">
        <v>1400</v>
      </c>
      <c r="B122" s="1772" t="s">
        <v>1192</v>
      </c>
      <c r="C122" s="1773">
        <v>0.13</v>
      </c>
      <c r="D122" s="1773">
        <v>0.13</v>
      </c>
      <c r="E122" s="1773">
        <v>0.125</v>
      </c>
      <c r="F122" s="1774">
        <v>0.13</v>
      </c>
    </row>
    <row r="123" spans="1:6" ht="14.25" thickBot="1">
      <c r="A123" s="1768" t="s">
        <v>1400</v>
      </c>
      <c r="B123" s="1772" t="s">
        <v>1202</v>
      </c>
      <c r="C123" s="1773">
        <v>0.129</v>
      </c>
      <c r="D123" s="1773">
        <v>0.129</v>
      </c>
      <c r="E123" s="1773">
        <v>0.123</v>
      </c>
      <c r="F123" s="1774">
        <v>0.13</v>
      </c>
    </row>
    <row r="124" spans="1:6" ht="14.25" thickBot="1">
      <c r="A124" s="1768" t="s">
        <v>1400</v>
      </c>
      <c r="B124" s="1772" t="s">
        <v>1212</v>
      </c>
      <c r="C124" s="1773">
        <v>0.10199999999999999</v>
      </c>
      <c r="D124" s="1773">
        <v>0.10100000000000001</v>
      </c>
      <c r="E124" s="1773">
        <v>0.08</v>
      </c>
      <c r="F124" s="1781"/>
    </row>
    <row r="125" spans="1:6" ht="14.25" thickBot="1">
      <c r="A125" s="1768" t="s">
        <v>1400</v>
      </c>
      <c r="B125" s="1772" t="s">
        <v>1222</v>
      </c>
      <c r="C125" s="1773">
        <v>0.13</v>
      </c>
      <c r="D125" s="1773">
        <v>0.13</v>
      </c>
      <c r="E125" s="1773">
        <v>0.129</v>
      </c>
      <c r="F125" s="1781"/>
    </row>
    <row r="126" spans="1:6" ht="14.25" thickBot="1">
      <c r="A126" s="1768" t="s">
        <v>1400</v>
      </c>
      <c r="B126" s="1772" t="s">
        <v>1232</v>
      </c>
      <c r="C126" s="1773">
        <v>0.13</v>
      </c>
      <c r="D126" s="1773">
        <v>0.13</v>
      </c>
      <c r="E126" s="1773">
        <v>0.126</v>
      </c>
      <c r="F126" s="1781"/>
    </row>
    <row r="127" spans="1:6" ht="14.25" thickBot="1">
      <c r="A127" s="1768" t="s">
        <v>1400</v>
      </c>
      <c r="B127" s="1772" t="s">
        <v>1242</v>
      </c>
      <c r="C127" s="1773">
        <v>0.125</v>
      </c>
      <c r="D127" s="1773">
        <v>0.125</v>
      </c>
      <c r="E127" s="1773">
        <v>0.121</v>
      </c>
      <c r="F127" s="1781"/>
    </row>
    <row r="128" spans="1:6" ht="14.25" thickBot="1">
      <c r="A128" s="1768" t="s">
        <v>1400</v>
      </c>
      <c r="B128" s="1772" t="s">
        <v>1252</v>
      </c>
      <c r="C128" s="1773">
        <v>0.12</v>
      </c>
      <c r="D128" s="1773">
        <v>0.12</v>
      </c>
      <c r="E128" s="1773">
        <v>0.105</v>
      </c>
      <c r="F128" s="1781"/>
    </row>
    <row r="129" spans="1:6" ht="14.25" thickBot="1">
      <c r="A129" s="1768" t="s">
        <v>1400</v>
      </c>
      <c r="B129" s="1772" t="s">
        <v>1261</v>
      </c>
      <c r="C129" s="1773">
        <v>0.13</v>
      </c>
      <c r="D129" s="1773">
        <v>0.13</v>
      </c>
      <c r="E129" s="1773">
        <v>0.126</v>
      </c>
      <c r="F129" s="1781"/>
    </row>
    <row r="130" spans="1:6" ht="14.25" thickBot="1">
      <c r="A130" s="1768" t="s">
        <v>1400</v>
      </c>
      <c r="B130" s="1772" t="s">
        <v>1270</v>
      </c>
      <c r="C130" s="1773">
        <v>0.125</v>
      </c>
      <c r="D130" s="1773">
        <v>0.125</v>
      </c>
      <c r="E130" s="1773">
        <v>0.122</v>
      </c>
      <c r="F130" s="1781"/>
    </row>
    <row r="131" spans="1:6" ht="14.25" thickBot="1">
      <c r="A131" s="1768" t="s">
        <v>1400</v>
      </c>
      <c r="B131" s="1772" t="s">
        <v>1278</v>
      </c>
      <c r="C131" s="1773">
        <v>0.127</v>
      </c>
      <c r="D131" s="1773">
        <v>0.126</v>
      </c>
      <c r="E131" s="1773">
        <v>0.123</v>
      </c>
      <c r="F131" s="1781"/>
    </row>
    <row r="132" spans="1:6" ht="14.25" thickBot="1">
      <c r="A132" s="1768" t="s">
        <v>1400</v>
      </c>
      <c r="B132" s="1772" t="s">
        <v>1285</v>
      </c>
      <c r="C132" s="1773">
        <v>9.0999999999999998E-2</v>
      </c>
      <c r="D132" s="1773">
        <v>0.121</v>
      </c>
      <c r="E132" s="1773">
        <v>9.9000000000000005E-2</v>
      </c>
      <c r="F132" s="1781"/>
    </row>
    <row r="133" spans="1:6" ht="14.25" thickBot="1">
      <c r="A133" s="1768" t="s">
        <v>1400</v>
      </c>
      <c r="B133" s="1772" t="s">
        <v>1292</v>
      </c>
      <c r="C133" s="1773">
        <v>0.13</v>
      </c>
      <c r="D133" s="1773">
        <v>0.13</v>
      </c>
      <c r="E133" s="1773">
        <v>0.129</v>
      </c>
      <c r="F133" s="1781"/>
    </row>
    <row r="134" spans="1:6" ht="14.25" thickBot="1">
      <c r="A134" s="1768" t="s">
        <v>1400</v>
      </c>
      <c r="B134" s="1772" t="s">
        <v>2095</v>
      </c>
      <c r="C134" s="1773">
        <v>6.8000000000000005E-2</v>
      </c>
      <c r="D134" s="1773">
        <v>6.5000000000000002E-2</v>
      </c>
      <c r="E134" s="1773">
        <v>6.5000000000000002E-2</v>
      </c>
      <c r="F134" s="1774">
        <v>0.13</v>
      </c>
    </row>
    <row r="135" spans="1:6" ht="14.25" thickBot="1">
      <c r="A135" s="1768" t="s">
        <v>1400</v>
      </c>
      <c r="B135" s="1772" t="s">
        <v>1306</v>
      </c>
      <c r="C135" s="1773">
        <v>0.123</v>
      </c>
      <c r="D135" s="1773">
        <v>0.123</v>
      </c>
      <c r="E135" s="1773">
        <v>0.11</v>
      </c>
      <c r="F135" s="1781"/>
    </row>
    <row r="136" spans="1:6" ht="14.25" thickBot="1">
      <c r="A136" s="1768" t="s">
        <v>1400</v>
      </c>
      <c r="B136" s="1772" t="s">
        <v>1313</v>
      </c>
      <c r="C136" s="1773">
        <v>0.13</v>
      </c>
      <c r="D136" s="1773">
        <v>0.13</v>
      </c>
      <c r="E136" s="1773">
        <v>0.125</v>
      </c>
      <c r="F136" s="1781"/>
    </row>
    <row r="137" spans="1:6" ht="14.25" thickBot="1">
      <c r="A137" s="1768" t="s">
        <v>1400</v>
      </c>
      <c r="B137" s="1772" t="s">
        <v>1320</v>
      </c>
      <c r="C137" s="1773">
        <v>0.121</v>
      </c>
      <c r="D137" s="1773">
        <v>0.122</v>
      </c>
      <c r="E137" s="1773">
        <v>0.115</v>
      </c>
      <c r="F137" s="1781"/>
    </row>
    <row r="138" spans="1:6" ht="14.25" thickBot="1">
      <c r="A138" s="1768" t="s">
        <v>1400</v>
      </c>
      <c r="B138" s="1772" t="s">
        <v>2096</v>
      </c>
      <c r="C138" s="1773">
        <v>0.105</v>
      </c>
      <c r="D138" s="1773">
        <v>0.125</v>
      </c>
      <c r="E138" s="1773">
        <v>0.112</v>
      </c>
      <c r="F138" s="1781"/>
    </row>
    <row r="139" spans="1:6" ht="14.25" thickBot="1">
      <c r="A139" s="1768" t="s">
        <v>1400</v>
      </c>
      <c r="B139" s="1772" t="s">
        <v>2097</v>
      </c>
      <c r="C139" s="1773">
        <v>0.127</v>
      </c>
      <c r="D139" s="1773">
        <v>0.127</v>
      </c>
      <c r="E139" s="1773">
        <v>0.122</v>
      </c>
      <c r="F139" s="1774">
        <v>0.13</v>
      </c>
    </row>
    <row r="140" spans="1:6" ht="14.25" thickBot="1">
      <c r="A140" s="1768" t="s">
        <v>1400</v>
      </c>
      <c r="B140" s="1772" t="s">
        <v>2098</v>
      </c>
      <c r="C140" s="1773">
        <v>0.125</v>
      </c>
      <c r="D140" s="1773">
        <v>0.125</v>
      </c>
      <c r="E140" s="1773">
        <v>0.11899999999999999</v>
      </c>
      <c r="F140" s="1774">
        <v>0.13</v>
      </c>
    </row>
    <row r="141" spans="1:6" ht="14.25" thickBot="1">
      <c r="A141" s="1768" t="s">
        <v>1400</v>
      </c>
      <c r="B141" s="1772" t="s">
        <v>1339</v>
      </c>
      <c r="C141" s="1773">
        <v>0.125</v>
      </c>
      <c r="D141" s="1773">
        <v>0.125</v>
      </c>
      <c r="E141" s="1773">
        <v>0.11700000000000001</v>
      </c>
      <c r="F141" s="1781"/>
    </row>
    <row r="142" spans="1:6" ht="14.25" thickBot="1">
      <c r="A142" s="1768" t="s">
        <v>1400</v>
      </c>
      <c r="B142" s="1772" t="s">
        <v>1344</v>
      </c>
      <c r="C142" s="1773">
        <v>0.125</v>
      </c>
      <c r="D142" s="1773">
        <v>0.125</v>
      </c>
      <c r="E142" s="1773">
        <v>0.115</v>
      </c>
      <c r="F142" s="1781"/>
    </row>
    <row r="143" spans="1:6" ht="14.25" thickBot="1">
      <c r="A143" s="1768" t="s">
        <v>1400</v>
      </c>
      <c r="B143" s="1772" t="s">
        <v>1349</v>
      </c>
      <c r="C143" s="1773">
        <v>0.121</v>
      </c>
      <c r="D143" s="1773">
        <v>0.121</v>
      </c>
      <c r="E143" s="1773">
        <v>0.108</v>
      </c>
      <c r="F143" s="1781"/>
    </row>
    <row r="144" spans="1:6" ht="14.25" thickBot="1">
      <c r="A144" s="1768" t="s">
        <v>1400</v>
      </c>
      <c r="B144" s="1785" t="s">
        <v>2099</v>
      </c>
      <c r="C144" s="1786">
        <v>0.126</v>
      </c>
      <c r="D144" s="1786">
        <v>0.126</v>
      </c>
      <c r="E144" s="1786">
        <v>0.121</v>
      </c>
      <c r="F144" s="1781"/>
    </row>
    <row r="145" spans="1:6" ht="14.25" thickBot="1">
      <c r="A145" s="1776" t="s">
        <v>1400</v>
      </c>
      <c r="B145" s="1787" t="s">
        <v>2100</v>
      </c>
      <c r="C145" s="1788"/>
      <c r="D145" s="1788"/>
      <c r="E145" s="1788"/>
      <c r="F145" s="1789">
        <v>0.05</v>
      </c>
    </row>
    <row r="146" spans="1:6" ht="24.75" thickBot="1">
      <c r="A146" s="1790" t="s">
        <v>1400</v>
      </c>
      <c r="B146" s="1775" t="s">
        <v>2101</v>
      </c>
      <c r="C146" s="1782"/>
      <c r="D146" s="1782"/>
      <c r="E146" s="1782"/>
      <c r="F146" s="1791">
        <v>0.05</v>
      </c>
    </row>
    <row r="147" spans="1:6" ht="24.75" thickBot="1">
      <c r="A147" s="1768" t="s">
        <v>1400</v>
      </c>
      <c r="B147" s="1772" t="s">
        <v>2102</v>
      </c>
      <c r="C147" s="1782"/>
      <c r="D147" s="1782"/>
      <c r="E147" s="1782"/>
      <c r="F147" s="1774">
        <v>0.05</v>
      </c>
    </row>
    <row r="148" spans="1:6" ht="24.75" thickBot="1">
      <c r="A148" s="1768" t="s">
        <v>1400</v>
      </c>
      <c r="B148" s="1772" t="s">
        <v>2103</v>
      </c>
      <c r="C148" s="1782"/>
      <c r="D148" s="1782"/>
      <c r="E148" s="1782"/>
      <c r="F148" s="1774">
        <v>0.05</v>
      </c>
    </row>
    <row r="149" spans="1:6" ht="24.75" thickBot="1">
      <c r="A149" s="1768" t="s">
        <v>1400</v>
      </c>
      <c r="B149" s="1772" t="s">
        <v>2104</v>
      </c>
      <c r="C149" s="1782"/>
      <c r="D149" s="1782"/>
      <c r="E149" s="1782"/>
      <c r="F149" s="1774">
        <v>0.05</v>
      </c>
    </row>
    <row r="150" spans="1:6" ht="24.75" thickBot="1">
      <c r="A150" s="1768" t="s">
        <v>1400</v>
      </c>
      <c r="B150" s="1772" t="s">
        <v>2105</v>
      </c>
      <c r="C150" s="1782"/>
      <c r="D150" s="1782"/>
      <c r="E150" s="1782"/>
      <c r="F150" s="1774">
        <v>0.05</v>
      </c>
    </row>
    <row r="151" spans="1:6" ht="24.75" thickBot="1">
      <c r="A151" s="1768" t="s">
        <v>1400</v>
      </c>
      <c r="B151" s="1772" t="s">
        <v>2106</v>
      </c>
      <c r="C151" s="1782"/>
      <c r="D151" s="1782"/>
      <c r="E151" s="1782"/>
      <c r="F151" s="1774">
        <v>0.05</v>
      </c>
    </row>
    <row r="152" spans="1:6" ht="24.75" thickBot="1">
      <c r="A152" s="1768" t="s">
        <v>1400</v>
      </c>
      <c r="B152" s="1772" t="s">
        <v>1382</v>
      </c>
      <c r="C152" s="1782"/>
      <c r="D152" s="1782"/>
      <c r="E152" s="1782"/>
      <c r="F152" s="1774">
        <v>0.05</v>
      </c>
    </row>
    <row r="153" spans="1:6" ht="14.25" thickBot="1">
      <c r="A153" s="1768" t="s">
        <v>1400</v>
      </c>
      <c r="B153" s="1772" t="s">
        <v>2107</v>
      </c>
      <c r="C153" s="1782"/>
      <c r="D153" s="1782"/>
      <c r="E153" s="1782"/>
      <c r="F153" s="1774">
        <v>0.05</v>
      </c>
    </row>
    <row r="154" spans="1:6" ht="14.25" thickBot="1">
      <c r="A154" s="1768" t="s">
        <v>1400</v>
      </c>
      <c r="B154" s="1772" t="s">
        <v>2108</v>
      </c>
      <c r="C154" s="1782"/>
      <c r="D154" s="1782"/>
      <c r="E154" s="1782"/>
      <c r="F154" s="1774">
        <v>0.05</v>
      </c>
    </row>
    <row r="155" spans="1:6" ht="24.75" thickBot="1">
      <c r="A155" s="1768" t="s">
        <v>1400</v>
      </c>
      <c r="B155" s="1772" t="s">
        <v>2109</v>
      </c>
      <c r="C155" s="1782"/>
      <c r="D155" s="1782"/>
      <c r="E155" s="1782"/>
      <c r="F155" s="1774">
        <v>0.05</v>
      </c>
    </row>
    <row r="156" spans="1:6" ht="24.75" thickBot="1">
      <c r="A156" s="1768" t="s">
        <v>1400</v>
      </c>
      <c r="B156" s="1772" t="s">
        <v>2110</v>
      </c>
      <c r="C156" s="1782"/>
      <c r="D156" s="1782"/>
      <c r="E156" s="1782"/>
      <c r="F156" s="1774">
        <v>0.05</v>
      </c>
    </row>
    <row r="157" spans="1:6" ht="14.25" thickBot="1">
      <c r="A157" s="1776" t="s">
        <v>1400</v>
      </c>
      <c r="B157" s="1783" t="s">
        <v>2111</v>
      </c>
      <c r="C157" s="1779"/>
      <c r="D157" s="1779"/>
      <c r="E157" s="1779"/>
      <c r="F157" s="1784">
        <v>0.05</v>
      </c>
    </row>
    <row r="158" spans="1:6" ht="14.25" thickBot="1">
      <c r="A158" s="1768" t="s">
        <v>1402</v>
      </c>
      <c r="B158" s="1769" t="s">
        <v>2112</v>
      </c>
      <c r="C158" s="1770">
        <v>0.13</v>
      </c>
      <c r="D158" s="1770">
        <v>0.13</v>
      </c>
      <c r="E158" s="1770">
        <v>0.13</v>
      </c>
      <c r="F158" s="1771">
        <v>0.13</v>
      </c>
    </row>
    <row r="159" spans="1:6" ht="14.25" thickBot="1">
      <c r="A159" s="1768" t="s">
        <v>1402</v>
      </c>
      <c r="B159" s="1772" t="s">
        <v>1067</v>
      </c>
      <c r="C159" s="1773">
        <v>0.13</v>
      </c>
      <c r="D159" s="1773">
        <v>0.13</v>
      </c>
      <c r="E159" s="1773">
        <v>0.13</v>
      </c>
      <c r="F159" s="1774">
        <v>0.13</v>
      </c>
    </row>
    <row r="160" spans="1:6" ht="14.25" thickBot="1">
      <c r="A160" s="1768" t="s">
        <v>1402</v>
      </c>
      <c r="B160" s="1772" t="s">
        <v>1081</v>
      </c>
      <c r="C160" s="1773">
        <v>0.13</v>
      </c>
      <c r="D160" s="1773">
        <v>0.13</v>
      </c>
      <c r="E160" s="1773">
        <v>0.129</v>
      </c>
      <c r="F160" s="1774">
        <v>0.13</v>
      </c>
    </row>
    <row r="161" spans="1:6" ht="14.25" thickBot="1">
      <c r="A161" s="1768" t="s">
        <v>1402</v>
      </c>
      <c r="B161" s="1772" t="s">
        <v>1094</v>
      </c>
      <c r="C161" s="1773">
        <v>0.128</v>
      </c>
      <c r="D161" s="1773">
        <v>0.128</v>
      </c>
      <c r="E161" s="1773">
        <v>0.125</v>
      </c>
      <c r="F161" s="1774">
        <v>0.13</v>
      </c>
    </row>
    <row r="162" spans="1:6" ht="14.25" thickBot="1">
      <c r="A162" s="1768" t="s">
        <v>1402</v>
      </c>
      <c r="B162" s="1772" t="s">
        <v>1108</v>
      </c>
      <c r="C162" s="1773">
        <v>0.122</v>
      </c>
      <c r="D162" s="1773">
        <v>0.122</v>
      </c>
      <c r="E162" s="1773">
        <v>0.126</v>
      </c>
      <c r="F162" s="1774">
        <v>0.122</v>
      </c>
    </row>
    <row r="163" spans="1:6" ht="14.25" thickBot="1">
      <c r="A163" s="1768" t="s">
        <v>1402</v>
      </c>
      <c r="B163" s="1772" t="s">
        <v>1119</v>
      </c>
      <c r="C163" s="1773">
        <v>0.13</v>
      </c>
      <c r="D163" s="1773">
        <v>0.13</v>
      </c>
      <c r="E163" s="1773">
        <v>0.125</v>
      </c>
      <c r="F163" s="1774">
        <v>0.13</v>
      </c>
    </row>
    <row r="164" spans="1:6" ht="14.25" thickBot="1">
      <c r="A164" s="1768" t="s">
        <v>1402</v>
      </c>
      <c r="B164" s="1772" t="s">
        <v>1130</v>
      </c>
      <c r="C164" s="1773">
        <v>0.13</v>
      </c>
      <c r="D164" s="1773">
        <v>0.13</v>
      </c>
      <c r="E164" s="1773">
        <v>0.13</v>
      </c>
      <c r="F164" s="1774">
        <v>0.13</v>
      </c>
    </row>
    <row r="165" spans="1:6" ht="14.25" thickBot="1">
      <c r="A165" s="1768" t="s">
        <v>1402</v>
      </c>
      <c r="B165" s="1772" t="s">
        <v>1141</v>
      </c>
      <c r="C165" s="1773">
        <v>0.13</v>
      </c>
      <c r="D165" s="1773">
        <v>0.13</v>
      </c>
      <c r="E165" s="1773">
        <v>0.124</v>
      </c>
      <c r="F165" s="1774">
        <v>0.13</v>
      </c>
    </row>
    <row r="166" spans="1:6" ht="14.25" thickBot="1">
      <c r="A166" s="1768" t="s">
        <v>1402</v>
      </c>
      <c r="B166" s="1772" t="s">
        <v>1153</v>
      </c>
      <c r="C166" s="1773">
        <v>0.13</v>
      </c>
      <c r="D166" s="1773">
        <v>0.13</v>
      </c>
      <c r="E166" s="1773">
        <v>0.13</v>
      </c>
      <c r="F166" s="1774">
        <v>0.13</v>
      </c>
    </row>
    <row r="167" spans="1:6" ht="14.25" thickBot="1">
      <c r="A167" s="1768" t="s">
        <v>1402</v>
      </c>
      <c r="B167" s="1772" t="s">
        <v>1163</v>
      </c>
      <c r="C167" s="1773">
        <v>0.125</v>
      </c>
      <c r="D167" s="1773">
        <v>0.125</v>
      </c>
      <c r="E167" s="1773">
        <v>0.121</v>
      </c>
      <c r="F167" s="1781"/>
    </row>
    <row r="168" spans="1:6" ht="14.25" thickBot="1">
      <c r="A168" s="1768" t="s">
        <v>1402</v>
      </c>
      <c r="B168" s="1772" t="s">
        <v>1173</v>
      </c>
      <c r="C168" s="1773">
        <v>0.13</v>
      </c>
      <c r="D168" s="1773">
        <v>0.13</v>
      </c>
      <c r="E168" s="1773">
        <v>0.126</v>
      </c>
      <c r="F168" s="1781"/>
    </row>
    <row r="169" spans="1:6" ht="14.25" thickBot="1">
      <c r="A169" s="1768" t="s">
        <v>1402</v>
      </c>
      <c r="B169" s="1772" t="s">
        <v>1183</v>
      </c>
      <c r="C169" s="1773">
        <v>0.128</v>
      </c>
      <c r="D169" s="1773">
        <v>0.129</v>
      </c>
      <c r="E169" s="1773">
        <v>0.13</v>
      </c>
      <c r="F169" s="1781"/>
    </row>
    <row r="170" spans="1:6" ht="14.25" thickBot="1">
      <c r="A170" s="1768" t="s">
        <v>1402</v>
      </c>
      <c r="B170" s="1772" t="s">
        <v>1193</v>
      </c>
      <c r="C170" s="1773">
        <v>0.14099999999999999</v>
      </c>
      <c r="D170" s="1773">
        <v>0.13</v>
      </c>
      <c r="E170" s="1773">
        <v>0.125</v>
      </c>
      <c r="F170" s="1781"/>
    </row>
    <row r="171" spans="1:6" ht="14.25" thickBot="1">
      <c r="A171" s="1768" t="s">
        <v>1402</v>
      </c>
      <c r="B171" s="1772" t="s">
        <v>2113</v>
      </c>
      <c r="C171" s="1773">
        <v>0.127</v>
      </c>
      <c r="D171" s="1773">
        <v>0.126</v>
      </c>
      <c r="E171" s="1773">
        <v>0.126</v>
      </c>
      <c r="F171" s="1774">
        <v>0.11799999999999999</v>
      </c>
    </row>
    <row r="172" spans="1:6" ht="14.25" thickBot="1">
      <c r="A172" s="1768" t="s">
        <v>1402</v>
      </c>
      <c r="B172" s="1772" t="s">
        <v>2114</v>
      </c>
      <c r="C172" s="1773">
        <v>0.13</v>
      </c>
      <c r="D172" s="1773">
        <v>0.13</v>
      </c>
      <c r="E172" s="1773">
        <v>0.13</v>
      </c>
      <c r="F172" s="1781"/>
    </row>
    <row r="173" spans="1:6" ht="14.25" thickBot="1">
      <c r="A173" s="1768" t="s">
        <v>1402</v>
      </c>
      <c r="B173" s="1772" t="s">
        <v>1223</v>
      </c>
      <c r="C173" s="1773">
        <v>0.13</v>
      </c>
      <c r="D173" s="1773">
        <v>0.13</v>
      </c>
      <c r="E173" s="1773">
        <v>0.13</v>
      </c>
      <c r="F173" s="1781"/>
    </row>
    <row r="174" spans="1:6" ht="14.25" thickBot="1">
      <c r="A174" s="1768" t="s">
        <v>1402</v>
      </c>
      <c r="B174" s="1772" t="s">
        <v>2115</v>
      </c>
      <c r="C174" s="1773">
        <v>0.13</v>
      </c>
      <c r="D174" s="1773">
        <v>0.13</v>
      </c>
      <c r="E174" s="1773">
        <v>0.13</v>
      </c>
      <c r="F174" s="1774">
        <v>0.13</v>
      </c>
    </row>
    <row r="175" spans="1:6" ht="14.25" thickBot="1">
      <c r="A175" s="1768" t="s">
        <v>1402</v>
      </c>
      <c r="B175" s="1772" t="s">
        <v>2116</v>
      </c>
      <c r="C175" s="1773">
        <v>0.13</v>
      </c>
      <c r="D175" s="1773">
        <v>0.13</v>
      </c>
      <c r="E175" s="1773">
        <v>0.13</v>
      </c>
      <c r="F175" s="1774">
        <v>0.13</v>
      </c>
    </row>
    <row r="176" spans="1:6" ht="14.25" thickBot="1">
      <c r="A176" s="1768" t="s">
        <v>1402</v>
      </c>
      <c r="B176" s="1772" t="s">
        <v>1253</v>
      </c>
      <c r="C176" s="1773">
        <v>0.13</v>
      </c>
      <c r="D176" s="1773">
        <v>0.13</v>
      </c>
      <c r="E176" s="1773">
        <v>0.13</v>
      </c>
      <c r="F176" s="1774">
        <v>0.13</v>
      </c>
    </row>
    <row r="177" spans="1:6" ht="14.25" thickBot="1">
      <c r="A177" s="1768" t="s">
        <v>1402</v>
      </c>
      <c r="B177" s="1772" t="s">
        <v>2117</v>
      </c>
      <c r="C177" s="1773">
        <v>0.13</v>
      </c>
      <c r="D177" s="1773">
        <v>0.13</v>
      </c>
      <c r="E177" s="1773">
        <v>0.13</v>
      </c>
      <c r="F177" s="1774">
        <v>0.13</v>
      </c>
    </row>
    <row r="178" spans="1:6" ht="14.25" thickBot="1">
      <c r="A178" s="1768" t="s">
        <v>1402</v>
      </c>
      <c r="B178" s="1772" t="s">
        <v>1271</v>
      </c>
      <c r="C178" s="1773">
        <v>0.13</v>
      </c>
      <c r="D178" s="1773">
        <v>0.13</v>
      </c>
      <c r="E178" s="1773">
        <v>0.13</v>
      </c>
      <c r="F178" s="1774">
        <v>0.127</v>
      </c>
    </row>
    <row r="179" spans="1:6" ht="14.25" thickBot="1">
      <c r="A179" s="1768" t="s">
        <v>1402</v>
      </c>
      <c r="B179" s="1772" t="s">
        <v>1279</v>
      </c>
      <c r="C179" s="1773">
        <v>0.13</v>
      </c>
      <c r="D179" s="1773">
        <v>0.13</v>
      </c>
      <c r="E179" s="1773">
        <v>0.13</v>
      </c>
      <c r="F179" s="1781"/>
    </row>
    <row r="180" spans="1:6" ht="14.25" thickBot="1">
      <c r="A180" s="1768" t="s">
        <v>1402</v>
      </c>
      <c r="B180" s="1772" t="s">
        <v>2118</v>
      </c>
      <c r="C180" s="1773">
        <v>0.13</v>
      </c>
      <c r="D180" s="1773">
        <v>0.13</v>
      </c>
      <c r="E180" s="1773">
        <v>0.125</v>
      </c>
      <c r="F180" s="1774">
        <v>0.13</v>
      </c>
    </row>
    <row r="181" spans="1:6" ht="14.25" thickBot="1">
      <c r="A181" s="1768" t="s">
        <v>1402</v>
      </c>
      <c r="B181" s="1772" t="s">
        <v>1293</v>
      </c>
      <c r="C181" s="1773">
        <v>0.122</v>
      </c>
      <c r="D181" s="1773">
        <v>0.123</v>
      </c>
      <c r="E181" s="1773">
        <v>0.126</v>
      </c>
      <c r="F181" s="1774">
        <v>0.121</v>
      </c>
    </row>
    <row r="182" spans="1:6" ht="14.25" thickBot="1">
      <c r="A182" s="1768" t="s">
        <v>1402</v>
      </c>
      <c r="B182" s="1772" t="s">
        <v>1300</v>
      </c>
      <c r="C182" s="1773">
        <v>0.125</v>
      </c>
      <c r="D182" s="1773">
        <v>0.125</v>
      </c>
      <c r="E182" s="1773">
        <v>0.11700000000000001</v>
      </c>
      <c r="F182" s="1774">
        <v>0.13</v>
      </c>
    </row>
    <row r="183" spans="1:6" ht="14.25" thickBot="1">
      <c r="A183" s="1768" t="s">
        <v>1402</v>
      </c>
      <c r="B183" s="1772" t="s">
        <v>1307</v>
      </c>
      <c r="C183" s="1773">
        <v>0.127</v>
      </c>
      <c r="D183" s="1773">
        <v>0.127</v>
      </c>
      <c r="E183" s="1773">
        <v>0.128</v>
      </c>
      <c r="F183" s="1781"/>
    </row>
    <row r="184" spans="1:6" ht="14.25" thickBot="1">
      <c r="A184" s="1768" t="s">
        <v>1402</v>
      </c>
      <c r="B184" s="1772" t="s">
        <v>1314</v>
      </c>
      <c r="C184" s="1773">
        <v>0.125</v>
      </c>
      <c r="D184" s="1773">
        <v>0.125</v>
      </c>
      <c r="E184" s="1773">
        <v>0.127</v>
      </c>
      <c r="F184" s="1781"/>
    </row>
    <row r="185" spans="1:6" ht="14.25" thickBot="1">
      <c r="A185" s="1768" t="s">
        <v>1402</v>
      </c>
      <c r="B185" s="1772" t="s">
        <v>2119</v>
      </c>
      <c r="C185" s="1773">
        <v>0.127</v>
      </c>
      <c r="D185" s="1773">
        <v>0.127</v>
      </c>
      <c r="E185" s="1773">
        <v>0.128</v>
      </c>
      <c r="F185" s="1774">
        <v>0.13</v>
      </c>
    </row>
    <row r="186" spans="1:6" ht="24.75" thickBot="1">
      <c r="A186" s="1768" t="s">
        <v>1402</v>
      </c>
      <c r="B186" s="1772" t="s">
        <v>2120</v>
      </c>
      <c r="C186" s="1782"/>
      <c r="D186" s="1782"/>
      <c r="E186" s="1782"/>
      <c r="F186" s="1774">
        <v>0.05</v>
      </c>
    </row>
    <row r="187" spans="1:6" ht="14.25" thickBot="1">
      <c r="A187" s="1768" t="s">
        <v>1402</v>
      </c>
      <c r="B187" s="1772" t="s">
        <v>2121</v>
      </c>
      <c r="C187" s="1782"/>
      <c r="D187" s="1782"/>
      <c r="E187" s="1782"/>
      <c r="F187" s="1774">
        <v>0.05</v>
      </c>
    </row>
    <row r="188" spans="1:6" ht="24.75" thickBot="1">
      <c r="A188" s="1768" t="s">
        <v>1402</v>
      </c>
      <c r="B188" s="1772" t="s">
        <v>2122</v>
      </c>
      <c r="C188" s="1782"/>
      <c r="D188" s="1782"/>
      <c r="E188" s="1782"/>
      <c r="F188" s="1774">
        <v>0.05</v>
      </c>
    </row>
    <row r="189" spans="1:6" ht="24.75" thickBot="1">
      <c r="A189" s="1768" t="s">
        <v>1402</v>
      </c>
      <c r="B189" s="1772" t="s">
        <v>2123</v>
      </c>
      <c r="C189" s="1782"/>
      <c r="D189" s="1782"/>
      <c r="E189" s="1782"/>
      <c r="F189" s="1774">
        <v>0.05</v>
      </c>
    </row>
    <row r="190" spans="1:6" ht="24.75" thickBot="1">
      <c r="A190" s="1768" t="s">
        <v>1402</v>
      </c>
      <c r="B190" s="1772" t="s">
        <v>2124</v>
      </c>
      <c r="C190" s="1782"/>
      <c r="D190" s="1782"/>
      <c r="E190" s="1782"/>
      <c r="F190" s="1774">
        <v>0.05</v>
      </c>
    </row>
    <row r="191" spans="1:6" ht="24.75" thickBot="1">
      <c r="A191" s="1768" t="s">
        <v>1402</v>
      </c>
      <c r="B191" s="1772" t="s">
        <v>2125</v>
      </c>
      <c r="C191" s="1782"/>
      <c r="D191" s="1782"/>
      <c r="E191" s="1782"/>
      <c r="F191" s="1774">
        <v>0.05</v>
      </c>
    </row>
    <row r="192" spans="1:6" ht="24.75" thickBot="1">
      <c r="A192" s="1768" t="s">
        <v>1402</v>
      </c>
      <c r="B192" s="1772" t="s">
        <v>2126</v>
      </c>
      <c r="C192" s="1782"/>
      <c r="D192" s="1782"/>
      <c r="E192" s="1782"/>
      <c r="F192" s="1774">
        <v>0.05</v>
      </c>
    </row>
    <row r="193" spans="1:6" ht="24.75" thickBot="1">
      <c r="A193" s="1768" t="s">
        <v>1402</v>
      </c>
      <c r="B193" s="1772" t="s">
        <v>2127</v>
      </c>
      <c r="C193" s="1782"/>
      <c r="D193" s="1782"/>
      <c r="E193" s="1782"/>
      <c r="F193" s="1774">
        <v>0.05</v>
      </c>
    </row>
    <row r="194" spans="1:6" ht="24.75" thickBot="1">
      <c r="A194" s="1768" t="s">
        <v>1402</v>
      </c>
      <c r="B194" s="1772" t="s">
        <v>2128</v>
      </c>
      <c r="C194" s="1782"/>
      <c r="D194" s="1782"/>
      <c r="E194" s="1782"/>
      <c r="F194" s="1774">
        <v>0.05</v>
      </c>
    </row>
    <row r="195" spans="1:6" ht="14.25" thickBot="1">
      <c r="A195" s="1768" t="s">
        <v>1402</v>
      </c>
      <c r="B195" s="1772" t="s">
        <v>2129</v>
      </c>
      <c r="C195" s="1782"/>
      <c r="D195" s="1782"/>
      <c r="E195" s="1782"/>
      <c r="F195" s="1774">
        <v>0.05</v>
      </c>
    </row>
    <row r="196" spans="1:6" ht="24.75" thickBot="1">
      <c r="A196" s="1768" t="s">
        <v>1402</v>
      </c>
      <c r="B196" s="1772" t="s">
        <v>2130</v>
      </c>
      <c r="C196" s="1782"/>
      <c r="D196" s="1782"/>
      <c r="E196" s="1782"/>
      <c r="F196" s="1774">
        <v>0.05</v>
      </c>
    </row>
    <row r="197" spans="1:6" ht="24.75" thickBot="1">
      <c r="A197" s="1768" t="s">
        <v>1402</v>
      </c>
      <c r="B197" s="1772" t="s">
        <v>2131</v>
      </c>
      <c r="C197" s="1782"/>
      <c r="D197" s="1782"/>
      <c r="E197" s="1782"/>
      <c r="F197" s="1774">
        <v>0.05</v>
      </c>
    </row>
    <row r="198" spans="1:6" ht="24.75" thickBot="1">
      <c r="A198" s="1768" t="s">
        <v>1402</v>
      </c>
      <c r="B198" s="1772" t="s">
        <v>2132</v>
      </c>
      <c r="C198" s="1782"/>
      <c r="D198" s="1782"/>
      <c r="E198" s="1782"/>
      <c r="F198" s="1774">
        <v>0.05</v>
      </c>
    </row>
    <row r="199" spans="1:6" ht="24.75" thickBot="1">
      <c r="A199" s="1768" t="s">
        <v>1402</v>
      </c>
      <c r="B199" s="1772" t="s">
        <v>2133</v>
      </c>
      <c r="C199" s="1782"/>
      <c r="D199" s="1782"/>
      <c r="E199" s="1782"/>
      <c r="F199" s="1774">
        <v>0.05</v>
      </c>
    </row>
    <row r="200" spans="1:6" ht="24.75" thickBot="1">
      <c r="A200" s="1768" t="s">
        <v>1402</v>
      </c>
      <c r="B200" s="1772" t="s">
        <v>2134</v>
      </c>
      <c r="C200" s="1782"/>
      <c r="D200" s="1782"/>
      <c r="E200" s="1782"/>
      <c r="F200" s="1774">
        <v>0.05</v>
      </c>
    </row>
    <row r="201" spans="1:6" ht="24.75" thickBot="1">
      <c r="A201" s="1768" t="s">
        <v>1402</v>
      </c>
      <c r="B201" s="1772" t="s">
        <v>2135</v>
      </c>
      <c r="C201" s="1782"/>
      <c r="D201" s="1782"/>
      <c r="E201" s="1782"/>
      <c r="F201" s="1774">
        <v>0.05</v>
      </c>
    </row>
    <row r="202" spans="1:6" ht="24.75" thickBot="1">
      <c r="A202" s="1768" t="s">
        <v>1402</v>
      </c>
      <c r="B202" s="1772" t="s">
        <v>2136</v>
      </c>
      <c r="C202" s="1782"/>
      <c r="D202" s="1782"/>
      <c r="E202" s="1782"/>
      <c r="F202" s="1774">
        <v>0.05</v>
      </c>
    </row>
    <row r="203" spans="1:6" ht="24.75" thickBot="1">
      <c r="A203" s="1768" t="s">
        <v>1402</v>
      </c>
      <c r="B203" s="1772" t="s">
        <v>2137</v>
      </c>
      <c r="C203" s="1782"/>
      <c r="D203" s="1782"/>
      <c r="E203" s="1782"/>
      <c r="F203" s="1774">
        <v>0.05</v>
      </c>
    </row>
    <row r="204" spans="1:6" ht="14.25" thickBot="1">
      <c r="A204" s="1768" t="s">
        <v>1402</v>
      </c>
      <c r="B204" s="1772" t="s">
        <v>2138</v>
      </c>
      <c r="C204" s="1782"/>
      <c r="D204" s="1782"/>
      <c r="E204" s="1782"/>
      <c r="F204" s="1774">
        <v>0.05</v>
      </c>
    </row>
    <row r="205" spans="1:6" ht="14.25" thickBot="1">
      <c r="A205" s="1776" t="s">
        <v>1402</v>
      </c>
      <c r="B205" s="1783" t="s">
        <v>2139</v>
      </c>
      <c r="C205" s="1779"/>
      <c r="D205" s="1779"/>
      <c r="E205" s="1779"/>
      <c r="F205" s="1784">
        <v>0.05</v>
      </c>
    </row>
    <row r="206" spans="1:6" ht="14.25" thickBot="1">
      <c r="A206" s="1768" t="s">
        <v>1404</v>
      </c>
      <c r="B206" s="1769" t="s">
        <v>2140</v>
      </c>
      <c r="C206" s="1770">
        <v>0.15</v>
      </c>
      <c r="D206" s="1770">
        <v>0.15</v>
      </c>
      <c r="E206" s="1770">
        <v>0.15</v>
      </c>
      <c r="F206" s="1771">
        <v>0.15</v>
      </c>
    </row>
    <row r="207" spans="1:6" ht="14.25" thickBot="1">
      <c r="A207" s="1768" t="s">
        <v>1404</v>
      </c>
      <c r="B207" s="1772" t="s">
        <v>1068</v>
      </c>
      <c r="C207" s="1773">
        <v>0.15</v>
      </c>
      <c r="D207" s="1773">
        <v>0.15</v>
      </c>
      <c r="E207" s="1773">
        <v>0.15</v>
      </c>
      <c r="F207" s="1774">
        <v>0.14399999999999999</v>
      </c>
    </row>
    <row r="208" spans="1:6" ht="14.25" thickBot="1">
      <c r="A208" s="1768" t="s">
        <v>1404</v>
      </c>
      <c r="B208" s="1772" t="s">
        <v>1082</v>
      </c>
      <c r="C208" s="1773">
        <v>0.15</v>
      </c>
      <c r="D208" s="1773">
        <v>0.15</v>
      </c>
      <c r="E208" s="1773">
        <v>0.15</v>
      </c>
      <c r="F208" s="1774">
        <v>0.15</v>
      </c>
    </row>
    <row r="209" spans="1:6" ht="14.25" thickBot="1">
      <c r="A209" s="1768" t="s">
        <v>1404</v>
      </c>
      <c r="B209" s="1772" t="s">
        <v>1095</v>
      </c>
      <c r="C209" s="1773">
        <v>0.13700000000000001</v>
      </c>
      <c r="D209" s="1773">
        <v>0.13700000000000001</v>
      </c>
      <c r="E209" s="1773">
        <v>0.14000000000000001</v>
      </c>
      <c r="F209" s="1774">
        <v>0.11700000000000001</v>
      </c>
    </row>
    <row r="210" spans="1:6" ht="14.25" thickBot="1">
      <c r="A210" s="1768" t="s">
        <v>1404</v>
      </c>
      <c r="B210" s="1772" t="s">
        <v>2141</v>
      </c>
      <c r="C210" s="1773">
        <v>0.15</v>
      </c>
      <c r="D210" s="1773">
        <v>0.15</v>
      </c>
      <c r="E210" s="1773">
        <v>0.15</v>
      </c>
      <c r="F210" s="1774">
        <v>0.13800000000000001</v>
      </c>
    </row>
    <row r="211" spans="1:6" ht="14.25" thickBot="1">
      <c r="A211" s="1768" t="s">
        <v>1404</v>
      </c>
      <c r="B211" s="1772" t="s">
        <v>2142</v>
      </c>
      <c r="C211" s="1773">
        <v>0.13700000000000001</v>
      </c>
      <c r="D211" s="1773">
        <v>0.13500000000000001</v>
      </c>
      <c r="E211" s="1773">
        <v>0.13600000000000001</v>
      </c>
      <c r="F211" s="1774">
        <v>0.1</v>
      </c>
    </row>
    <row r="212" spans="1:6" ht="14.25" thickBot="1">
      <c r="A212" s="1768" t="s">
        <v>1404</v>
      </c>
      <c r="B212" s="1772" t="s">
        <v>2143</v>
      </c>
      <c r="C212" s="1773">
        <v>0.15</v>
      </c>
      <c r="D212" s="1773">
        <v>0.15</v>
      </c>
      <c r="E212" s="1773">
        <v>0.14799999999999999</v>
      </c>
      <c r="F212" s="1774">
        <v>0.13600000000000001</v>
      </c>
    </row>
    <row r="213" spans="1:6" ht="14.25" thickBot="1">
      <c r="A213" s="1768" t="s">
        <v>1404</v>
      </c>
      <c r="B213" s="1772" t="s">
        <v>1142</v>
      </c>
      <c r="C213" s="1773">
        <v>0.15</v>
      </c>
      <c r="D213" s="1773">
        <v>0.15</v>
      </c>
      <c r="E213" s="1773">
        <v>0.15</v>
      </c>
      <c r="F213" s="1774">
        <v>0.13800000000000001</v>
      </c>
    </row>
    <row r="214" spans="1:6" ht="14.25" thickBot="1">
      <c r="A214" s="1768" t="s">
        <v>1404</v>
      </c>
      <c r="B214" s="1772" t="s">
        <v>1154</v>
      </c>
      <c r="C214" s="1773">
        <v>9.0999999999999998E-2</v>
      </c>
      <c r="D214" s="1773">
        <v>0.09</v>
      </c>
      <c r="E214" s="1773">
        <v>9.1999999999999998E-2</v>
      </c>
      <c r="F214" s="1781"/>
    </row>
    <row r="215" spans="1:6" ht="14.25" thickBot="1">
      <c r="A215" s="1768" t="s">
        <v>1404</v>
      </c>
      <c r="B215" s="1772" t="s">
        <v>2144</v>
      </c>
      <c r="C215" s="1773">
        <v>0.15</v>
      </c>
      <c r="D215" s="1773">
        <v>0.15</v>
      </c>
      <c r="E215" s="1773">
        <v>0.15</v>
      </c>
      <c r="F215" s="1774">
        <v>0.15</v>
      </c>
    </row>
    <row r="216" spans="1:6" ht="14.25" thickBot="1">
      <c r="A216" s="1768" t="s">
        <v>1404</v>
      </c>
      <c r="B216" s="1772" t="s">
        <v>1174</v>
      </c>
      <c r="C216" s="1773">
        <v>0.14699999999999999</v>
      </c>
      <c r="D216" s="1773">
        <v>0.14699999999999999</v>
      </c>
      <c r="E216" s="1773">
        <v>0.15</v>
      </c>
      <c r="F216" s="1774">
        <v>0.14000000000000001</v>
      </c>
    </row>
    <row r="217" spans="1:6" ht="14.25" thickBot="1">
      <c r="A217" s="1768" t="s">
        <v>1404</v>
      </c>
      <c r="B217" s="1772" t="s">
        <v>1184</v>
      </c>
      <c r="C217" s="1773">
        <v>0.15</v>
      </c>
      <c r="D217" s="1773">
        <v>0.15</v>
      </c>
      <c r="E217" s="1773">
        <v>0.15</v>
      </c>
      <c r="F217" s="1774">
        <v>0.15</v>
      </c>
    </row>
    <row r="218" spans="1:6" ht="14.25" thickBot="1">
      <c r="A218" s="1768" t="s">
        <v>1404</v>
      </c>
      <c r="B218" s="1772" t="s">
        <v>2145</v>
      </c>
      <c r="C218" s="1773">
        <v>0.15</v>
      </c>
      <c r="D218" s="1773">
        <v>0.15</v>
      </c>
      <c r="E218" s="1773">
        <v>0.15</v>
      </c>
      <c r="F218" s="1774">
        <v>0.15</v>
      </c>
    </row>
    <row r="219" spans="1:6" ht="14.25" thickBot="1">
      <c r="A219" s="1768" t="s">
        <v>1404</v>
      </c>
      <c r="B219" s="1772" t="s">
        <v>1204</v>
      </c>
      <c r="C219" s="1773">
        <v>0.15</v>
      </c>
      <c r="D219" s="1773">
        <v>0.15</v>
      </c>
      <c r="E219" s="1773">
        <v>0.15</v>
      </c>
      <c r="F219" s="1774">
        <v>0.14799999999999999</v>
      </c>
    </row>
    <row r="220" spans="1:6" ht="14.25" thickBot="1">
      <c r="A220" s="1768" t="s">
        <v>1404</v>
      </c>
      <c r="B220" s="1772" t="s">
        <v>2146</v>
      </c>
      <c r="C220" s="1773">
        <v>0.15</v>
      </c>
      <c r="D220" s="1773">
        <v>0.15</v>
      </c>
      <c r="E220" s="1773">
        <v>0.15</v>
      </c>
      <c r="F220" s="1774">
        <v>0.15</v>
      </c>
    </row>
    <row r="221" spans="1:6" ht="14.25" thickBot="1">
      <c r="A221" s="1768" t="s">
        <v>1404</v>
      </c>
      <c r="B221" s="1772" t="s">
        <v>1224</v>
      </c>
      <c r="C221" s="1773"/>
      <c r="D221" s="1782"/>
      <c r="E221" s="1782"/>
      <c r="F221" s="1774">
        <v>0.14799999999999999</v>
      </c>
    </row>
    <row r="222" spans="1:6" ht="14.25" thickBot="1">
      <c r="A222" s="1768" t="s">
        <v>1404</v>
      </c>
      <c r="B222" s="1772" t="s">
        <v>1234</v>
      </c>
      <c r="C222" s="1773"/>
      <c r="D222" s="1782"/>
      <c r="E222" s="1782"/>
      <c r="F222" s="1774">
        <v>0.1</v>
      </c>
    </row>
    <row r="223" spans="1:6" ht="14.25" thickBot="1">
      <c r="A223" s="1768" t="s">
        <v>1404</v>
      </c>
      <c r="B223" s="1772" t="s">
        <v>1244</v>
      </c>
      <c r="C223" s="1773"/>
      <c r="D223" s="1782"/>
      <c r="E223" s="1782"/>
      <c r="F223" s="1774">
        <v>0.15</v>
      </c>
    </row>
    <row r="224" spans="1:6" ht="14.25" thickBot="1">
      <c r="A224" s="1768" t="s">
        <v>1404</v>
      </c>
      <c r="B224" s="1772" t="s">
        <v>1254</v>
      </c>
      <c r="C224" s="1773"/>
      <c r="D224" s="1782"/>
      <c r="E224" s="1782"/>
      <c r="F224" s="1774">
        <v>0.15</v>
      </c>
    </row>
    <row r="225" spans="1:6" ht="14.25" thickBot="1">
      <c r="A225" s="1768" t="s">
        <v>1404</v>
      </c>
      <c r="B225" s="1772" t="s">
        <v>2147</v>
      </c>
      <c r="C225" s="1773">
        <v>0.15</v>
      </c>
      <c r="D225" s="1773">
        <v>0.15</v>
      </c>
      <c r="E225" s="1773">
        <v>0.15</v>
      </c>
      <c r="F225" s="1774">
        <v>0.15</v>
      </c>
    </row>
    <row r="226" spans="1:6" ht="14.25" thickBot="1">
      <c r="A226" s="1768" t="s">
        <v>1404</v>
      </c>
      <c r="B226" s="1772" t="s">
        <v>1272</v>
      </c>
      <c r="C226" s="1773">
        <v>0.15</v>
      </c>
      <c r="D226" s="1773">
        <v>0.15</v>
      </c>
      <c r="E226" s="1773">
        <v>0.15</v>
      </c>
      <c r="F226" s="1774">
        <v>0.14799999999999999</v>
      </c>
    </row>
    <row r="227" spans="1:6" ht="14.25" thickBot="1">
      <c r="A227" s="1768" t="s">
        <v>1404</v>
      </c>
      <c r="B227" s="1772" t="s">
        <v>2148</v>
      </c>
      <c r="C227" s="1773">
        <v>0.15</v>
      </c>
      <c r="D227" s="1773">
        <v>0.15</v>
      </c>
      <c r="E227" s="1773">
        <v>0.15</v>
      </c>
      <c r="F227" s="1774">
        <v>0.15</v>
      </c>
    </row>
    <row r="228" spans="1:6" ht="14.25" thickBot="1">
      <c r="A228" s="1768" t="s">
        <v>1404</v>
      </c>
      <c r="B228" s="1772" t="s">
        <v>1287</v>
      </c>
      <c r="C228" s="1773">
        <v>0.15</v>
      </c>
      <c r="D228" s="1773">
        <v>0.15</v>
      </c>
      <c r="E228" s="1773">
        <v>0.15</v>
      </c>
      <c r="F228" s="1774">
        <v>0.15</v>
      </c>
    </row>
    <row r="229" spans="1:6" ht="14.25" thickBot="1">
      <c r="A229" s="1768" t="s">
        <v>1404</v>
      </c>
      <c r="B229" s="1772" t="s">
        <v>1294</v>
      </c>
      <c r="C229" s="1773">
        <v>0.15</v>
      </c>
      <c r="D229" s="1773">
        <v>0.15</v>
      </c>
      <c r="E229" s="1773">
        <v>0.15</v>
      </c>
      <c r="F229" s="1781"/>
    </row>
    <row r="230" spans="1:6" ht="14.25" thickBot="1">
      <c r="A230" s="1768" t="s">
        <v>1404</v>
      </c>
      <c r="B230" s="1772" t="s">
        <v>1301</v>
      </c>
      <c r="C230" s="1773">
        <v>0.14499999999999999</v>
      </c>
      <c r="D230" s="1773">
        <v>0.14499999999999999</v>
      </c>
      <c r="E230" s="1773">
        <v>0.14399999999999999</v>
      </c>
      <c r="F230" s="1781"/>
    </row>
    <row r="231" spans="1:6" ht="14.25" thickBot="1">
      <c r="A231" s="1768" t="s">
        <v>1404</v>
      </c>
      <c r="B231" s="1772" t="s">
        <v>2149</v>
      </c>
      <c r="C231" s="1773">
        <v>0.128</v>
      </c>
      <c r="D231" s="1773">
        <v>0.125</v>
      </c>
      <c r="E231" s="1773">
        <v>0.13200000000000001</v>
      </c>
      <c r="F231" s="1781"/>
    </row>
    <row r="232" spans="1:6" ht="14.25" thickBot="1">
      <c r="A232" s="1768" t="s">
        <v>1404</v>
      </c>
      <c r="B232" s="1772" t="s">
        <v>2150</v>
      </c>
      <c r="C232" s="1773">
        <v>0.14499999999999999</v>
      </c>
      <c r="D232" s="1773">
        <v>0.14399999999999999</v>
      </c>
      <c r="E232" s="1773">
        <v>0.14599999999999999</v>
      </c>
      <c r="F232" s="1774">
        <v>0.13800000000000001</v>
      </c>
    </row>
    <row r="233" spans="1:6" ht="14.25" thickBot="1">
      <c r="A233" s="1768" t="s">
        <v>1404</v>
      </c>
      <c r="B233" s="1772" t="s">
        <v>2151</v>
      </c>
      <c r="C233" s="1773">
        <v>0.14499999999999999</v>
      </c>
      <c r="D233" s="1773">
        <v>0.14299999999999999</v>
      </c>
      <c r="E233" s="1773">
        <v>0.14199999999999999</v>
      </c>
      <c r="F233" s="1781"/>
    </row>
    <row r="234" spans="1:6" ht="14.25" thickBot="1">
      <c r="A234" s="1768" t="s">
        <v>1404</v>
      </c>
      <c r="B234" s="1772" t="s">
        <v>2152</v>
      </c>
      <c r="C234" s="1773">
        <v>0.14000000000000001</v>
      </c>
      <c r="D234" s="1773">
        <v>0.14000000000000001</v>
      </c>
      <c r="E234" s="1773">
        <v>0.14399999999999999</v>
      </c>
      <c r="F234" s="1781"/>
    </row>
    <row r="235" spans="1:6" ht="14.25" thickBot="1">
      <c r="A235" s="1768" t="s">
        <v>1404</v>
      </c>
      <c r="B235" s="1772" t="s">
        <v>2153</v>
      </c>
      <c r="C235" s="1773">
        <v>0.14099999999999999</v>
      </c>
      <c r="D235" s="1773">
        <v>0.14199999999999999</v>
      </c>
      <c r="E235" s="1773">
        <v>0.14499999999999999</v>
      </c>
      <c r="F235" s="1774">
        <v>0.15</v>
      </c>
    </row>
    <row r="236" spans="1:6" ht="14.25" thickBot="1">
      <c r="A236" s="1768" t="s">
        <v>1404</v>
      </c>
      <c r="B236" s="1772" t="s">
        <v>1336</v>
      </c>
      <c r="C236" s="1782"/>
      <c r="D236" s="1782"/>
      <c r="E236" s="1782"/>
      <c r="F236" s="1774">
        <v>0.14299999999999999</v>
      </c>
    </row>
    <row r="237" spans="1:6" ht="24.75" thickBot="1">
      <c r="A237" s="1768" t="s">
        <v>1404</v>
      </c>
      <c r="B237" s="1772" t="s">
        <v>2154</v>
      </c>
      <c r="C237" s="1782"/>
      <c r="D237" s="1782"/>
      <c r="E237" s="1782"/>
      <c r="F237" s="1774">
        <v>0.05</v>
      </c>
    </row>
    <row r="238" spans="1:6" ht="24.75" thickBot="1">
      <c r="A238" s="1768" t="s">
        <v>1404</v>
      </c>
      <c r="B238" s="1772" t="s">
        <v>2155</v>
      </c>
      <c r="C238" s="1782"/>
      <c r="D238" s="1782"/>
      <c r="E238" s="1782"/>
      <c r="F238" s="1774">
        <v>0.05</v>
      </c>
    </row>
    <row r="239" spans="1:6" ht="24.75" thickBot="1">
      <c r="A239" s="1768" t="s">
        <v>1404</v>
      </c>
      <c r="B239" s="1772" t="s">
        <v>2156</v>
      </c>
      <c r="C239" s="1782"/>
      <c r="D239" s="1782"/>
      <c r="E239" s="1782"/>
      <c r="F239" s="1774">
        <v>0.05</v>
      </c>
    </row>
    <row r="240" spans="1:6" ht="24.75" thickBot="1">
      <c r="A240" s="1768" t="s">
        <v>1404</v>
      </c>
      <c r="B240" s="1772" t="s">
        <v>2157</v>
      </c>
      <c r="C240" s="1782"/>
      <c r="D240" s="1782"/>
      <c r="E240" s="1782"/>
      <c r="F240" s="1774">
        <v>0.05</v>
      </c>
    </row>
    <row r="241" spans="1:6" ht="24.75" thickBot="1">
      <c r="A241" s="1768" t="s">
        <v>1404</v>
      </c>
      <c r="B241" s="1772" t="s">
        <v>2158</v>
      </c>
      <c r="C241" s="1782"/>
      <c r="D241" s="1782"/>
      <c r="E241" s="1782"/>
      <c r="F241" s="1774">
        <v>0.05</v>
      </c>
    </row>
    <row r="242" spans="1:6" ht="24.75" thickBot="1">
      <c r="A242" s="1768" t="s">
        <v>1404</v>
      </c>
      <c r="B242" s="1772" t="s">
        <v>2159</v>
      </c>
      <c r="C242" s="1782"/>
      <c r="D242" s="1782"/>
      <c r="E242" s="1782"/>
      <c r="F242" s="1774">
        <v>0.05</v>
      </c>
    </row>
    <row r="243" spans="1:6" ht="24.75" thickBot="1">
      <c r="A243" s="1768" t="s">
        <v>1404</v>
      </c>
      <c r="B243" s="1772" t="s">
        <v>2160</v>
      </c>
      <c r="C243" s="1782"/>
      <c r="D243" s="1782"/>
      <c r="E243" s="1782"/>
      <c r="F243" s="1774">
        <v>0.05</v>
      </c>
    </row>
    <row r="244" spans="1:6" ht="24.75" thickBot="1">
      <c r="A244" s="1776" t="s">
        <v>1404</v>
      </c>
      <c r="B244" s="1783" t="s">
        <v>2161</v>
      </c>
      <c r="C244" s="1779"/>
      <c r="D244" s="1779"/>
      <c r="E244" s="1779"/>
      <c r="F244" s="1784">
        <v>0.05</v>
      </c>
    </row>
    <row r="245" spans="1:6" ht="14.25" thickBot="1">
      <c r="A245" s="1768" t="s">
        <v>1406</v>
      </c>
      <c r="B245" s="1769" t="s">
        <v>2162</v>
      </c>
      <c r="C245" s="1770">
        <v>0.15</v>
      </c>
      <c r="D245" s="1770">
        <v>0.15</v>
      </c>
      <c r="E245" s="1770">
        <v>0.15</v>
      </c>
      <c r="F245" s="1771">
        <v>0.14299999999999999</v>
      </c>
    </row>
    <row r="246" spans="1:6" ht="14.25" thickBot="1">
      <c r="A246" s="1768" t="s">
        <v>1406</v>
      </c>
      <c r="B246" s="1772" t="s">
        <v>1069</v>
      </c>
      <c r="C246" s="1773">
        <v>0.15</v>
      </c>
      <c r="D246" s="1773">
        <v>0.15</v>
      </c>
      <c r="E246" s="1773">
        <v>0.15</v>
      </c>
      <c r="F246" s="1774">
        <v>0.114</v>
      </c>
    </row>
    <row r="247" spans="1:6" ht="14.25" thickBot="1">
      <c r="A247" s="1768" t="s">
        <v>1406</v>
      </c>
      <c r="B247" s="1772" t="s">
        <v>2163</v>
      </c>
      <c r="C247" s="1773">
        <v>0.15</v>
      </c>
      <c r="D247" s="1773">
        <v>0.15</v>
      </c>
      <c r="E247" s="1773">
        <v>0.15</v>
      </c>
      <c r="F247" s="1774">
        <v>0.15</v>
      </c>
    </row>
    <row r="248" spans="1:6" ht="14.25" thickBot="1">
      <c r="A248" s="1768" t="s">
        <v>1406</v>
      </c>
      <c r="B248" s="1772" t="s">
        <v>2164</v>
      </c>
      <c r="C248" s="1773">
        <v>0.15</v>
      </c>
      <c r="D248" s="1773">
        <v>0.15</v>
      </c>
      <c r="E248" s="1773">
        <v>0.15</v>
      </c>
      <c r="F248" s="1774">
        <v>0.14000000000000001</v>
      </c>
    </row>
    <row r="249" spans="1:6" ht="14.25" thickBot="1">
      <c r="A249" s="1768" t="s">
        <v>1406</v>
      </c>
      <c r="B249" s="1772" t="s">
        <v>2165</v>
      </c>
      <c r="C249" s="1773">
        <v>0.15</v>
      </c>
      <c r="D249" s="1773">
        <v>0.14899999999999999</v>
      </c>
      <c r="E249" s="1773">
        <v>0.15</v>
      </c>
      <c r="F249" s="1774">
        <v>0.1</v>
      </c>
    </row>
    <row r="250" spans="1:6" ht="14.25" thickBot="1">
      <c r="A250" s="1768" t="s">
        <v>1406</v>
      </c>
      <c r="B250" s="1772" t="s">
        <v>2166</v>
      </c>
      <c r="C250" s="1773">
        <v>0.15</v>
      </c>
      <c r="D250" s="1773">
        <v>0.15</v>
      </c>
      <c r="E250" s="1773">
        <v>0.15</v>
      </c>
      <c r="F250" s="1774">
        <v>0.14399999999999999</v>
      </c>
    </row>
    <row r="251" spans="1:6" ht="14.25" thickBot="1">
      <c r="A251" s="1768" t="s">
        <v>1406</v>
      </c>
      <c r="B251" s="1772" t="s">
        <v>1132</v>
      </c>
      <c r="C251" s="1773">
        <v>0.15</v>
      </c>
      <c r="D251" s="1773">
        <v>0.15</v>
      </c>
      <c r="E251" s="1773">
        <v>0.15</v>
      </c>
      <c r="F251" s="1774">
        <v>0.14299999999999999</v>
      </c>
    </row>
    <row r="252" spans="1:6" ht="14.25" thickBot="1">
      <c r="A252" s="1768" t="s">
        <v>1406</v>
      </c>
      <c r="B252" s="1772" t="s">
        <v>1143</v>
      </c>
      <c r="C252" s="1773">
        <v>0.15</v>
      </c>
      <c r="D252" s="1773">
        <v>0.15</v>
      </c>
      <c r="E252" s="1773">
        <v>0.15</v>
      </c>
      <c r="F252" s="1774">
        <v>0.1</v>
      </c>
    </row>
    <row r="253" spans="1:6" ht="14.25" thickBot="1">
      <c r="A253" s="1768" t="s">
        <v>1406</v>
      </c>
      <c r="B253" s="1772" t="s">
        <v>1155</v>
      </c>
      <c r="C253" s="1773">
        <v>0.15</v>
      </c>
      <c r="D253" s="1773">
        <v>0.15</v>
      </c>
      <c r="E253" s="1773">
        <v>0.15</v>
      </c>
      <c r="F253" s="1774">
        <v>0.1</v>
      </c>
    </row>
    <row r="254" spans="1:6" ht="14.25" thickBot="1">
      <c r="A254" s="1768" t="s">
        <v>1406</v>
      </c>
      <c r="B254" s="1772" t="s">
        <v>1165</v>
      </c>
      <c r="C254" s="1782"/>
      <c r="D254" s="1782"/>
      <c r="E254" s="1782"/>
      <c r="F254" s="1774">
        <v>0.15</v>
      </c>
    </row>
    <row r="255" spans="1:6" ht="14.25" thickBot="1">
      <c r="A255" s="1768" t="s">
        <v>1406</v>
      </c>
      <c r="B255" s="1772" t="s">
        <v>1175</v>
      </c>
      <c r="C255" s="1782"/>
      <c r="D255" s="1782"/>
      <c r="E255" s="1782"/>
      <c r="F255" s="1774">
        <v>0.14299999999999999</v>
      </c>
    </row>
    <row r="256" spans="1:6" ht="14.25" thickBot="1">
      <c r="A256" s="1768" t="s">
        <v>1406</v>
      </c>
      <c r="B256" s="1772" t="s">
        <v>2167</v>
      </c>
      <c r="C256" s="1773">
        <v>0.14599999999999999</v>
      </c>
      <c r="D256" s="1773">
        <v>0.14699999999999999</v>
      </c>
      <c r="E256" s="1773">
        <v>0.15</v>
      </c>
      <c r="F256" s="1774">
        <v>0.13200000000000001</v>
      </c>
    </row>
    <row r="257" spans="1:6" ht="14.25" thickBot="1">
      <c r="A257" s="1768" t="s">
        <v>1406</v>
      </c>
      <c r="B257" s="1772" t="s">
        <v>1195</v>
      </c>
      <c r="C257" s="1773">
        <v>0.15</v>
      </c>
      <c r="D257" s="1773">
        <v>0.15</v>
      </c>
      <c r="E257" s="1773">
        <v>0.15</v>
      </c>
      <c r="F257" s="1774">
        <v>0.13900000000000001</v>
      </c>
    </row>
    <row r="258" spans="1:6" ht="14.25" thickBot="1">
      <c r="A258" s="1768" t="s">
        <v>1406</v>
      </c>
      <c r="B258" s="1772" t="s">
        <v>1205</v>
      </c>
      <c r="C258" s="1773">
        <v>0.15</v>
      </c>
      <c r="D258" s="1773">
        <v>0.15</v>
      </c>
      <c r="E258" s="1773">
        <v>0.15</v>
      </c>
      <c r="F258" s="1774">
        <v>0.13</v>
      </c>
    </row>
    <row r="259" spans="1:6" ht="14.25" thickBot="1">
      <c r="A259" s="1768" t="s">
        <v>1406</v>
      </c>
      <c r="B259" s="1772" t="s">
        <v>2168</v>
      </c>
      <c r="C259" s="1773">
        <v>0.14799999999999999</v>
      </c>
      <c r="D259" s="1773">
        <v>0.14899999999999999</v>
      </c>
      <c r="E259" s="1773">
        <v>0.15</v>
      </c>
      <c r="F259" s="1774">
        <v>0.13700000000000001</v>
      </c>
    </row>
    <row r="260" spans="1:6" ht="14.25" thickBot="1">
      <c r="A260" s="1768" t="s">
        <v>1406</v>
      </c>
      <c r="B260" s="1772" t="s">
        <v>1225</v>
      </c>
      <c r="C260" s="1773">
        <v>0.15</v>
      </c>
      <c r="D260" s="1773">
        <v>0.15</v>
      </c>
      <c r="E260" s="1773">
        <v>0.15</v>
      </c>
      <c r="F260" s="1774">
        <v>0.14199999999999999</v>
      </c>
    </row>
    <row r="261" spans="1:6" ht="14.25" thickBot="1">
      <c r="A261" s="1768" t="s">
        <v>1406</v>
      </c>
      <c r="B261" s="1772" t="s">
        <v>1235</v>
      </c>
      <c r="C261" s="1773">
        <v>0.15</v>
      </c>
      <c r="D261" s="1773">
        <v>0.15</v>
      </c>
      <c r="E261" s="1773">
        <v>0.14899999999999999</v>
      </c>
      <c r="F261" s="1774">
        <v>0.14799999999999999</v>
      </c>
    </row>
    <row r="262" spans="1:6" ht="14.25" thickBot="1">
      <c r="A262" s="1768" t="s">
        <v>1406</v>
      </c>
      <c r="B262" s="1772" t="s">
        <v>1245</v>
      </c>
      <c r="C262" s="1773">
        <v>0.15</v>
      </c>
      <c r="D262" s="1773">
        <v>0.15</v>
      </c>
      <c r="E262" s="1773">
        <v>0.15</v>
      </c>
      <c r="F262" s="1781"/>
    </row>
    <row r="263" spans="1:6" ht="14.25" thickBot="1">
      <c r="A263" s="1768" t="s">
        <v>1406</v>
      </c>
      <c r="B263" s="1772" t="s">
        <v>2169</v>
      </c>
      <c r="C263" s="1773">
        <v>0.14899999999999999</v>
      </c>
      <c r="D263" s="1773">
        <v>0.14899999999999999</v>
      </c>
      <c r="E263" s="1773">
        <v>0.15</v>
      </c>
      <c r="F263" s="1774">
        <v>0.13</v>
      </c>
    </row>
    <row r="264" spans="1:6" ht="14.25" thickBot="1">
      <c r="A264" s="1768" t="s">
        <v>1406</v>
      </c>
      <c r="B264" s="1772" t="s">
        <v>1264</v>
      </c>
      <c r="C264" s="1773">
        <v>0.14799999999999999</v>
      </c>
      <c r="D264" s="1773">
        <v>0.14699999999999999</v>
      </c>
      <c r="E264" s="1773">
        <v>0.15</v>
      </c>
      <c r="F264" s="1774">
        <v>7.8E-2</v>
      </c>
    </row>
    <row r="265" spans="1:6" ht="14.25" thickBot="1">
      <c r="A265" s="1768" t="s">
        <v>1406</v>
      </c>
      <c r="B265" s="1772" t="s">
        <v>1273</v>
      </c>
      <c r="C265" s="1773">
        <v>0.15</v>
      </c>
      <c r="D265" s="1773">
        <v>0.15</v>
      </c>
      <c r="E265" s="1773">
        <v>0.15</v>
      </c>
      <c r="F265" s="1774">
        <v>7.3999999999999996E-2</v>
      </c>
    </row>
    <row r="266" spans="1:6" ht="14.25" thickBot="1">
      <c r="A266" s="1768" t="s">
        <v>1406</v>
      </c>
      <c r="B266" s="1772" t="s">
        <v>1281</v>
      </c>
      <c r="C266" s="1773">
        <v>0.14699999999999999</v>
      </c>
      <c r="D266" s="1773">
        <v>0.14699999999999999</v>
      </c>
      <c r="E266" s="1773">
        <v>0.15</v>
      </c>
      <c r="F266" s="1774">
        <v>0.14299999999999999</v>
      </c>
    </row>
    <row r="267" spans="1:6" ht="14.25" thickBot="1">
      <c r="A267" s="1768" t="s">
        <v>1406</v>
      </c>
      <c r="B267" s="1772" t="s">
        <v>1288</v>
      </c>
      <c r="C267" s="1773">
        <v>0.14199999999999999</v>
      </c>
      <c r="D267" s="1773">
        <v>0.14299999999999999</v>
      </c>
      <c r="E267" s="1773">
        <v>0.15</v>
      </c>
      <c r="F267" s="1781"/>
    </row>
    <row r="268" spans="1:6" ht="14.25" thickBot="1">
      <c r="A268" s="1768" t="s">
        <v>1406</v>
      </c>
      <c r="B268" s="1772" t="s">
        <v>2170</v>
      </c>
      <c r="C268" s="1773">
        <v>0.15</v>
      </c>
      <c r="D268" s="1773">
        <v>0.15</v>
      </c>
      <c r="E268" s="1773">
        <v>0.15</v>
      </c>
      <c r="F268" s="1774">
        <v>0.13</v>
      </c>
    </row>
    <row r="269" spans="1:6" ht="14.25" thickBot="1">
      <c r="A269" s="1768" t="s">
        <v>1406</v>
      </c>
      <c r="B269" s="1772" t="s">
        <v>1302</v>
      </c>
      <c r="C269" s="1773">
        <v>0.15</v>
      </c>
      <c r="D269" s="1773">
        <v>0.15</v>
      </c>
      <c r="E269" s="1773">
        <v>0.15</v>
      </c>
      <c r="F269" s="1774">
        <v>0.14299999999999999</v>
      </c>
    </row>
    <row r="270" spans="1:6" ht="14.25" thickBot="1">
      <c r="A270" s="1768" t="s">
        <v>1406</v>
      </c>
      <c r="B270" s="1772" t="s">
        <v>1309</v>
      </c>
      <c r="C270" s="1773">
        <v>0.14499999999999999</v>
      </c>
      <c r="D270" s="1773">
        <v>0.14499999999999999</v>
      </c>
      <c r="E270" s="1773">
        <v>0.15</v>
      </c>
      <c r="F270" s="1774">
        <v>0.14699999999999999</v>
      </c>
    </row>
    <row r="271" spans="1:6" ht="14.25" thickBot="1">
      <c r="A271" s="1768" t="s">
        <v>1406</v>
      </c>
      <c r="B271" s="1772" t="s">
        <v>1316</v>
      </c>
      <c r="C271" s="1773">
        <v>0.15</v>
      </c>
      <c r="D271" s="1773">
        <v>0.15</v>
      </c>
      <c r="E271" s="1773">
        <v>0.15</v>
      </c>
      <c r="F271" s="1774">
        <v>0.13800000000000001</v>
      </c>
    </row>
    <row r="272" spans="1:6" ht="14.25" thickBot="1">
      <c r="A272" s="1768" t="s">
        <v>1406</v>
      </c>
      <c r="B272" s="1772" t="s">
        <v>1323</v>
      </c>
      <c r="C272" s="1782"/>
      <c r="D272" s="1782"/>
      <c r="E272" s="1782"/>
      <c r="F272" s="1774">
        <v>0.14000000000000001</v>
      </c>
    </row>
    <row r="273" spans="1:6" ht="14.25" thickBot="1">
      <c r="A273" s="1768" t="s">
        <v>1406</v>
      </c>
      <c r="B273" s="1772" t="s">
        <v>2171</v>
      </c>
      <c r="C273" s="1773">
        <v>0.14199999999999999</v>
      </c>
      <c r="D273" s="1773">
        <v>0.14299999999999999</v>
      </c>
      <c r="E273" s="1773">
        <v>0.15</v>
      </c>
      <c r="F273" s="1774">
        <v>0.1</v>
      </c>
    </row>
    <row r="274" spans="1:6" ht="14.25" thickBot="1">
      <c r="A274" s="1768" t="s">
        <v>1406</v>
      </c>
      <c r="B274" s="1772" t="s">
        <v>2172</v>
      </c>
      <c r="C274" s="1773">
        <v>0.14799999999999999</v>
      </c>
      <c r="D274" s="1773">
        <v>0.14799999999999999</v>
      </c>
      <c r="E274" s="1773">
        <v>0.15</v>
      </c>
      <c r="F274" s="1774">
        <v>6.7000000000000004E-2</v>
      </c>
    </row>
    <row r="275" spans="1:6" ht="14.25" thickBot="1">
      <c r="A275" s="1768" t="s">
        <v>1406</v>
      </c>
      <c r="B275" s="1772" t="s">
        <v>2173</v>
      </c>
      <c r="C275" s="1773">
        <v>0.15</v>
      </c>
      <c r="D275" s="1773">
        <v>0.15</v>
      </c>
      <c r="E275" s="1773">
        <v>0.15</v>
      </c>
      <c r="F275" s="1774">
        <v>0.15</v>
      </c>
    </row>
    <row r="276" spans="1:6" ht="14.25" thickBot="1">
      <c r="A276" s="1768" t="s">
        <v>1406</v>
      </c>
      <c r="B276" s="1772" t="s">
        <v>2174</v>
      </c>
      <c r="C276" s="1773">
        <v>0.14499999999999999</v>
      </c>
      <c r="D276" s="1773">
        <v>0.14299999999999999</v>
      </c>
      <c r="E276" s="1773">
        <v>0.15</v>
      </c>
      <c r="F276" s="1774">
        <v>5.8999999999999997E-2</v>
      </c>
    </row>
    <row r="277" spans="1:6" ht="14.25" thickBot="1">
      <c r="A277" s="1768" t="s">
        <v>1406</v>
      </c>
      <c r="B277" s="1772" t="s">
        <v>2175</v>
      </c>
      <c r="C277" s="1773">
        <v>0.15</v>
      </c>
      <c r="D277" s="1773">
        <v>0.15</v>
      </c>
      <c r="E277" s="1773">
        <v>0.15</v>
      </c>
      <c r="F277" s="1774">
        <v>0.121</v>
      </c>
    </row>
    <row r="278" spans="1:6" ht="14.25" thickBot="1">
      <c r="A278" s="1768" t="s">
        <v>1406</v>
      </c>
      <c r="B278" s="1772" t="s">
        <v>2176</v>
      </c>
      <c r="C278" s="1773">
        <v>0.15</v>
      </c>
      <c r="D278" s="1773">
        <v>0.15</v>
      </c>
      <c r="E278" s="1773">
        <v>0.15</v>
      </c>
      <c r="F278" s="1774">
        <v>0.13800000000000001</v>
      </c>
    </row>
    <row r="279" spans="1:6" ht="24.75" thickBot="1">
      <c r="A279" s="1768" t="s">
        <v>1406</v>
      </c>
      <c r="B279" s="1772" t="s">
        <v>2177</v>
      </c>
      <c r="C279" s="1782"/>
      <c r="D279" s="1782"/>
      <c r="E279" s="1782"/>
      <c r="F279" s="1774">
        <v>0.05</v>
      </c>
    </row>
    <row r="280" spans="1:6" ht="24.75" thickBot="1">
      <c r="A280" s="1768" t="s">
        <v>1406</v>
      </c>
      <c r="B280" s="1772" t="s">
        <v>2178</v>
      </c>
      <c r="C280" s="1782"/>
      <c r="D280" s="1782"/>
      <c r="E280" s="1782"/>
      <c r="F280" s="1774">
        <v>0.05</v>
      </c>
    </row>
    <row r="281" spans="1:6" ht="24.75" thickBot="1">
      <c r="A281" s="1768" t="s">
        <v>1406</v>
      </c>
      <c r="B281" s="1772" t="s">
        <v>2179</v>
      </c>
      <c r="C281" s="1782"/>
      <c r="D281" s="1782"/>
      <c r="E281" s="1782"/>
      <c r="F281" s="1774">
        <v>0.05</v>
      </c>
    </row>
    <row r="282" spans="1:6" ht="24.75" thickBot="1">
      <c r="A282" s="1768" t="s">
        <v>1406</v>
      </c>
      <c r="B282" s="1772" t="s">
        <v>2180</v>
      </c>
      <c r="C282" s="1782"/>
      <c r="D282" s="1782"/>
      <c r="E282" s="1782"/>
      <c r="F282" s="1774">
        <v>0.05</v>
      </c>
    </row>
    <row r="283" spans="1:6" ht="24.75" thickBot="1">
      <c r="A283" s="1768" t="s">
        <v>1406</v>
      </c>
      <c r="B283" s="1772" t="s">
        <v>2181</v>
      </c>
      <c r="C283" s="1782"/>
      <c r="D283" s="1782"/>
      <c r="E283" s="1782"/>
      <c r="F283" s="1774">
        <v>0.05</v>
      </c>
    </row>
    <row r="284" spans="1:6" ht="24.75" thickBot="1">
      <c r="A284" s="1768" t="s">
        <v>1406</v>
      </c>
      <c r="B284" s="1772" t="s">
        <v>2182</v>
      </c>
      <c r="C284" s="1782"/>
      <c r="D284" s="1782"/>
      <c r="E284" s="1782"/>
      <c r="F284" s="1774">
        <v>0.05</v>
      </c>
    </row>
    <row r="285" spans="1:6" ht="24.75" thickBot="1">
      <c r="A285" s="1768" t="s">
        <v>1406</v>
      </c>
      <c r="B285" s="1772" t="s">
        <v>2183</v>
      </c>
      <c r="C285" s="1782"/>
      <c r="D285" s="1782"/>
      <c r="E285" s="1782"/>
      <c r="F285" s="1774">
        <v>0.05</v>
      </c>
    </row>
    <row r="286" spans="1:6" ht="24.75" thickBot="1">
      <c r="A286" s="1768" t="s">
        <v>1406</v>
      </c>
      <c r="B286" s="1772" t="s">
        <v>2184</v>
      </c>
      <c r="C286" s="1782"/>
      <c r="D286" s="1782"/>
      <c r="E286" s="1782"/>
      <c r="F286" s="1774">
        <v>0.05</v>
      </c>
    </row>
    <row r="287" spans="1:6" ht="24.75" thickBot="1">
      <c r="A287" s="1768" t="s">
        <v>1406</v>
      </c>
      <c r="B287" s="1772" t="s">
        <v>2185</v>
      </c>
      <c r="C287" s="1782"/>
      <c r="D287" s="1782"/>
      <c r="E287" s="1782"/>
      <c r="F287" s="1774">
        <v>0.05</v>
      </c>
    </row>
    <row r="288" spans="1:6" ht="24.75" thickBot="1">
      <c r="A288" s="1768" t="s">
        <v>1406</v>
      </c>
      <c r="B288" s="1772" t="s">
        <v>2186</v>
      </c>
      <c r="C288" s="1782"/>
      <c r="D288" s="1782"/>
      <c r="E288" s="1782"/>
      <c r="F288" s="1774">
        <v>0.05</v>
      </c>
    </row>
    <row r="289" spans="1:6" ht="24.75" thickBot="1">
      <c r="A289" s="1776" t="s">
        <v>1406</v>
      </c>
      <c r="B289" s="1783" t="s">
        <v>2187</v>
      </c>
      <c r="C289" s="1779"/>
      <c r="D289" s="1779"/>
      <c r="E289" s="1779"/>
      <c r="F289" s="1784">
        <v>0.05</v>
      </c>
    </row>
    <row r="290" spans="1:6" ht="14.25" thickBot="1">
      <c r="A290" s="1768" t="s">
        <v>1410</v>
      </c>
      <c r="B290" s="1769" t="s">
        <v>2188</v>
      </c>
      <c r="C290" s="1770">
        <v>0.15</v>
      </c>
      <c r="D290" s="1770">
        <v>0.15</v>
      </c>
      <c r="E290" s="1770">
        <v>0.15</v>
      </c>
      <c r="F290" s="1792"/>
    </row>
    <row r="291" spans="1:6" ht="14.25" thickBot="1">
      <c r="A291" s="1768" t="s">
        <v>1410</v>
      </c>
      <c r="B291" s="1772" t="s">
        <v>1070</v>
      </c>
      <c r="C291" s="1773">
        <v>0.15</v>
      </c>
      <c r="D291" s="1773">
        <v>0.15</v>
      </c>
      <c r="E291" s="1773">
        <v>0.15</v>
      </c>
      <c r="F291" s="1781"/>
    </row>
    <row r="292" spans="1:6" ht="14.25" thickBot="1">
      <c r="A292" s="1768" t="s">
        <v>1410</v>
      </c>
      <c r="B292" s="1772" t="s">
        <v>2189</v>
      </c>
      <c r="C292" s="1773">
        <v>0.15</v>
      </c>
      <c r="D292" s="1773">
        <v>0.15</v>
      </c>
      <c r="E292" s="1773">
        <v>0.15</v>
      </c>
      <c r="F292" s="1774">
        <v>0.14699999999999999</v>
      </c>
    </row>
    <row r="293" spans="1:6" ht="14.25" thickBot="1">
      <c r="A293" s="1768" t="s">
        <v>1410</v>
      </c>
      <c r="B293" s="1772" t="s">
        <v>2190</v>
      </c>
      <c r="C293" s="1782"/>
      <c r="D293" s="1782"/>
      <c r="E293" s="1782"/>
      <c r="F293" s="1774">
        <v>0.1</v>
      </c>
    </row>
    <row r="294" spans="1:6" ht="14.25" thickBot="1">
      <c r="A294" s="1768" t="s">
        <v>1410</v>
      </c>
      <c r="B294" s="1772" t="s">
        <v>2191</v>
      </c>
      <c r="C294" s="1773">
        <v>0.15</v>
      </c>
      <c r="D294" s="1773">
        <v>0.15</v>
      </c>
      <c r="E294" s="1773">
        <v>0.15</v>
      </c>
      <c r="F294" s="1774">
        <v>0.15</v>
      </c>
    </row>
    <row r="295" spans="1:6" ht="14.25" thickBot="1">
      <c r="A295" s="1768" t="s">
        <v>1410</v>
      </c>
      <c r="B295" s="1772" t="s">
        <v>1111</v>
      </c>
      <c r="C295" s="1773">
        <v>0.15</v>
      </c>
      <c r="D295" s="1773">
        <v>0.15</v>
      </c>
      <c r="E295" s="1773">
        <v>0.15</v>
      </c>
      <c r="F295" s="1774">
        <v>0.15</v>
      </c>
    </row>
    <row r="296" spans="1:6" ht="14.25" thickBot="1">
      <c r="A296" s="1768" t="s">
        <v>1410</v>
      </c>
      <c r="B296" s="1772" t="s">
        <v>2192</v>
      </c>
      <c r="C296" s="1773">
        <v>0.15</v>
      </c>
      <c r="D296" s="1773">
        <v>0.15</v>
      </c>
      <c r="E296" s="1773">
        <v>0.15</v>
      </c>
      <c r="F296" s="1774">
        <v>0.15</v>
      </c>
    </row>
    <row r="297" spans="1:6" ht="14.25" thickBot="1">
      <c r="A297" s="1768" t="s">
        <v>1410</v>
      </c>
      <c r="B297" s="1772" t="s">
        <v>2193</v>
      </c>
      <c r="C297" s="1773">
        <v>0.14799999999999999</v>
      </c>
      <c r="D297" s="1773">
        <v>0.14899999999999999</v>
      </c>
      <c r="E297" s="1773">
        <v>0.15</v>
      </c>
      <c r="F297" s="1774">
        <v>0.13700000000000001</v>
      </c>
    </row>
    <row r="298" spans="1:6" ht="14.25" thickBot="1">
      <c r="A298" s="1768" t="s">
        <v>1410</v>
      </c>
      <c r="B298" s="1772" t="s">
        <v>1144</v>
      </c>
      <c r="C298" s="1773">
        <v>0.13400000000000001</v>
      </c>
      <c r="D298" s="1773">
        <v>0.13400000000000001</v>
      </c>
      <c r="E298" s="1773">
        <v>0.14499999999999999</v>
      </c>
      <c r="F298" s="1774">
        <v>0.14799999999999999</v>
      </c>
    </row>
    <row r="299" spans="1:6" ht="14.25" thickBot="1">
      <c r="A299" s="1768" t="s">
        <v>1410</v>
      </c>
      <c r="B299" s="1772" t="s">
        <v>1156</v>
      </c>
      <c r="C299" s="1773">
        <v>0.15</v>
      </c>
      <c r="D299" s="1773">
        <v>0.15</v>
      </c>
      <c r="E299" s="1773">
        <v>0.15</v>
      </c>
      <c r="F299" s="1781"/>
    </row>
    <row r="300" spans="1:6" ht="14.25" thickBot="1">
      <c r="A300" s="1768" t="s">
        <v>1410</v>
      </c>
      <c r="B300" s="1772" t="s">
        <v>2194</v>
      </c>
      <c r="C300" s="1773">
        <v>0.15</v>
      </c>
      <c r="D300" s="1773">
        <v>0.15</v>
      </c>
      <c r="E300" s="1773">
        <v>0.15</v>
      </c>
      <c r="F300" s="1774">
        <v>0.15</v>
      </c>
    </row>
    <row r="301" spans="1:6" ht="14.25" thickBot="1">
      <c r="A301" s="1768" t="s">
        <v>1410</v>
      </c>
      <c r="B301" s="1772" t="s">
        <v>1176</v>
      </c>
      <c r="C301" s="1773">
        <v>0.15</v>
      </c>
      <c r="D301" s="1773">
        <v>0.15</v>
      </c>
      <c r="E301" s="1773">
        <v>0.15</v>
      </c>
      <c r="F301" s="1781"/>
    </row>
    <row r="302" spans="1:6" ht="14.25" thickBot="1">
      <c r="A302" s="1768" t="s">
        <v>1410</v>
      </c>
      <c r="B302" s="1772" t="s">
        <v>2195</v>
      </c>
      <c r="C302" s="1773">
        <v>0.15</v>
      </c>
      <c r="D302" s="1773">
        <v>0.15</v>
      </c>
      <c r="E302" s="1773">
        <v>0.15</v>
      </c>
      <c r="F302" s="1774">
        <v>0.15</v>
      </c>
    </row>
    <row r="303" spans="1:6" ht="14.25" thickBot="1">
      <c r="A303" s="1768" t="s">
        <v>1410</v>
      </c>
      <c r="B303" s="1772" t="s">
        <v>1196</v>
      </c>
      <c r="C303" s="1773">
        <v>0.15</v>
      </c>
      <c r="D303" s="1773">
        <v>0.15</v>
      </c>
      <c r="E303" s="1773">
        <v>0.15</v>
      </c>
      <c r="F303" s="1774">
        <v>0.15</v>
      </c>
    </row>
    <row r="304" spans="1:6" ht="14.25" thickBot="1">
      <c r="A304" s="1768" t="s">
        <v>1410</v>
      </c>
      <c r="B304" s="1772" t="s">
        <v>1206</v>
      </c>
      <c r="C304" s="1773">
        <v>0.15</v>
      </c>
      <c r="D304" s="1773">
        <v>0.15</v>
      </c>
      <c r="E304" s="1773">
        <v>0.15</v>
      </c>
      <c r="F304" s="1781"/>
    </row>
    <row r="305" spans="1:6" ht="14.25" thickBot="1">
      <c r="A305" s="1768" t="s">
        <v>1410</v>
      </c>
      <c r="B305" s="1772" t="s">
        <v>2196</v>
      </c>
      <c r="C305" s="1773">
        <v>0.15</v>
      </c>
      <c r="D305" s="1773">
        <v>0.15</v>
      </c>
      <c r="E305" s="1773">
        <v>0.15</v>
      </c>
      <c r="F305" s="1774">
        <v>0.14000000000000001</v>
      </c>
    </row>
    <row r="306" spans="1:6" ht="14.25" thickBot="1">
      <c r="A306" s="1768" t="s">
        <v>1410</v>
      </c>
      <c r="B306" s="1772" t="s">
        <v>1226</v>
      </c>
      <c r="C306" s="1773">
        <v>0.15</v>
      </c>
      <c r="D306" s="1773">
        <v>0.15</v>
      </c>
      <c r="E306" s="1773">
        <v>0.15</v>
      </c>
      <c r="F306" s="1781"/>
    </row>
    <row r="307" spans="1:6" ht="14.25" thickBot="1">
      <c r="A307" s="1768" t="s">
        <v>1410</v>
      </c>
      <c r="B307" s="1772" t="s">
        <v>2197</v>
      </c>
      <c r="C307" s="1773">
        <v>0.15</v>
      </c>
      <c r="D307" s="1773">
        <v>0.15</v>
      </c>
      <c r="E307" s="1773">
        <v>0.15</v>
      </c>
      <c r="F307" s="1774">
        <v>0.14299999999999999</v>
      </c>
    </row>
    <row r="308" spans="1:6" ht="14.25" thickBot="1">
      <c r="A308" s="1768" t="s">
        <v>1410</v>
      </c>
      <c r="B308" s="1772" t="s">
        <v>1246</v>
      </c>
      <c r="C308" s="1773">
        <v>0.15</v>
      </c>
      <c r="D308" s="1773">
        <v>0.15</v>
      </c>
      <c r="E308" s="1773">
        <v>0.15</v>
      </c>
      <c r="F308" s="1774">
        <v>0.15</v>
      </c>
    </row>
    <row r="309" spans="1:6" ht="14.25" thickBot="1">
      <c r="A309" s="1768" t="s">
        <v>1410</v>
      </c>
      <c r="B309" s="1772" t="s">
        <v>1256</v>
      </c>
      <c r="C309" s="1773">
        <v>0.15</v>
      </c>
      <c r="D309" s="1773">
        <v>0.15</v>
      </c>
      <c r="E309" s="1773">
        <v>0.15</v>
      </c>
      <c r="F309" s="1781"/>
    </row>
    <row r="310" spans="1:6" ht="14.25" thickBot="1">
      <c r="A310" s="1768" t="s">
        <v>1410</v>
      </c>
      <c r="B310" s="1772" t="s">
        <v>2198</v>
      </c>
      <c r="C310" s="1773">
        <v>0.15</v>
      </c>
      <c r="D310" s="1773">
        <v>0.15</v>
      </c>
      <c r="E310" s="1773">
        <v>0.15</v>
      </c>
      <c r="F310" s="1774">
        <v>0.13700000000000001</v>
      </c>
    </row>
    <row r="311" spans="1:6" ht="14.25" thickBot="1">
      <c r="A311" s="1768" t="s">
        <v>1410</v>
      </c>
      <c r="B311" s="1772" t="s">
        <v>2199</v>
      </c>
      <c r="C311" s="1773">
        <v>0.15</v>
      </c>
      <c r="D311" s="1773">
        <v>0.15</v>
      </c>
      <c r="E311" s="1773">
        <v>0.15</v>
      </c>
      <c r="F311" s="1774">
        <v>0.15</v>
      </c>
    </row>
    <row r="312" spans="1:6" ht="14.25" thickBot="1">
      <c r="A312" s="1768" t="s">
        <v>1410</v>
      </c>
      <c r="B312" s="1772" t="s">
        <v>1282</v>
      </c>
      <c r="C312" s="1773">
        <v>0.15</v>
      </c>
      <c r="D312" s="1773">
        <v>0.15</v>
      </c>
      <c r="E312" s="1773">
        <v>0.15</v>
      </c>
      <c r="F312" s="1774">
        <v>0.1</v>
      </c>
    </row>
    <row r="313" spans="1:6" ht="14.25" thickBot="1">
      <c r="A313" s="1768" t="s">
        <v>1410</v>
      </c>
      <c r="B313" s="1772" t="s">
        <v>2200</v>
      </c>
      <c r="C313" s="1773">
        <v>0.15</v>
      </c>
      <c r="D313" s="1773">
        <v>0.15</v>
      </c>
      <c r="E313" s="1773">
        <v>0.15</v>
      </c>
      <c r="F313" s="1774">
        <v>0.15</v>
      </c>
    </row>
    <row r="314" spans="1:6" ht="24.75" thickBot="1">
      <c r="A314" s="1768" t="s">
        <v>1410</v>
      </c>
      <c r="B314" s="1772" t="s">
        <v>2201</v>
      </c>
      <c r="C314" s="1782"/>
      <c r="D314" s="1782"/>
      <c r="E314" s="1782"/>
      <c r="F314" s="1774">
        <v>0.05</v>
      </c>
    </row>
    <row r="315" spans="1:6" ht="24.75" thickBot="1">
      <c r="A315" s="1768" t="s">
        <v>1410</v>
      </c>
      <c r="B315" s="1772" t="s">
        <v>2202</v>
      </c>
      <c r="C315" s="1782"/>
      <c r="D315" s="1782"/>
      <c r="E315" s="1782"/>
      <c r="F315" s="1774">
        <v>0.05</v>
      </c>
    </row>
    <row r="316" spans="1:6" ht="24.75" thickBot="1">
      <c r="A316" s="1776" t="s">
        <v>1410</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1098</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1167</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1187</v>
      </c>
      <c r="C328" s="1773">
        <v>0.15</v>
      </c>
      <c r="D328" s="1773">
        <v>0.15</v>
      </c>
      <c r="E328" s="1773">
        <v>0.15</v>
      </c>
      <c r="F328" s="1774">
        <v>0.14099999999999999</v>
      </c>
    </row>
    <row r="329" spans="1:6" ht="14.25" thickBot="1">
      <c r="A329" s="1768" t="s">
        <v>2204</v>
      </c>
      <c r="B329" s="1772" t="s">
        <v>1197</v>
      </c>
      <c r="C329" s="1773">
        <v>0.15</v>
      </c>
      <c r="D329" s="1773">
        <v>0.15</v>
      </c>
      <c r="E329" s="1773">
        <v>0.15</v>
      </c>
      <c r="F329" s="1774">
        <v>0.15</v>
      </c>
    </row>
    <row r="330" spans="1:6" ht="14.25" thickBot="1">
      <c r="A330" s="1768" t="s">
        <v>2204</v>
      </c>
      <c r="B330" s="1772" t="s">
        <v>1207</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1227</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1247</v>
      </c>
      <c r="C334" s="1773">
        <v>0.15</v>
      </c>
      <c r="D334" s="1773">
        <v>0.15</v>
      </c>
      <c r="E334" s="1773">
        <v>0.15</v>
      </c>
      <c r="F334" s="1774">
        <v>0.15</v>
      </c>
    </row>
    <row r="335" spans="1:6" ht="14.25" thickBot="1">
      <c r="A335" s="1768" t="s">
        <v>2204</v>
      </c>
      <c r="B335" s="1772" t="s">
        <v>1257</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1275</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3" sqref="I3"/>
    </sheetView>
  </sheetViews>
  <sheetFormatPr defaultColWidth="9" defaultRowHeight="12.75"/>
  <cols>
    <col min="1" max="1" width="9" style="2885"/>
    <col min="2" max="6" width="9" style="2885" customWidth="1"/>
    <col min="7" max="7" width="9" style="2923" customWidth="1"/>
    <col min="8" max="12" width="9" style="2885" customWidth="1"/>
    <col min="13" max="13" width="2.1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33" t="s">
        <v>2556</v>
      </c>
      <c r="C1" s="3533"/>
      <c r="D1" s="3533"/>
      <c r="E1" s="3533"/>
      <c r="F1" s="3533"/>
      <c r="G1" s="3532" t="s">
        <v>2557</v>
      </c>
      <c r="H1" s="3532"/>
      <c r="I1" s="3532"/>
      <c r="J1" s="3532"/>
      <c r="K1" s="3532"/>
      <c r="L1" s="3532"/>
      <c r="N1" s="3532" t="s">
        <v>2558</v>
      </c>
      <c r="O1" s="3532"/>
      <c r="P1" s="3532"/>
      <c r="Q1" s="3532"/>
      <c r="S1" s="3532" t="s">
        <v>2559</v>
      </c>
      <c r="T1" s="3532"/>
      <c r="U1" s="3532"/>
      <c r="V1" s="3532"/>
      <c r="X1" s="3531" t="s">
        <v>2619</v>
      </c>
      <c r="Y1" s="3532"/>
      <c r="Z1" s="3532"/>
      <c r="AA1" s="3532"/>
      <c r="AB1" s="3532"/>
      <c r="AD1" s="3531" t="s">
        <v>2623</v>
      </c>
      <c r="AE1" s="3532"/>
      <c r="AF1" s="3532"/>
      <c r="AG1" s="3532"/>
      <c r="AH1" s="3532"/>
    </row>
    <row r="2" spans="1:34" s="2864" customFormat="1" ht="14.25" thickBot="1">
      <c r="B2" s="2865" t="s">
        <v>2560</v>
      </c>
      <c r="C2" s="2865" t="s">
        <v>2621</v>
      </c>
      <c r="D2" s="2866" t="s">
        <v>1635</v>
      </c>
      <c r="E2" s="2866" t="s">
        <v>1937</v>
      </c>
      <c r="F2" s="2865" t="s">
        <v>2622</v>
      </c>
      <c r="G2" s="2867"/>
      <c r="I2" s="2865" t="s">
        <v>2918</v>
      </c>
      <c r="J2" s="2866" t="s">
        <v>2920</v>
      </c>
      <c r="K2" s="2866" t="s">
        <v>2921</v>
      </c>
      <c r="L2" s="2865" t="s">
        <v>2922</v>
      </c>
      <c r="N2" s="2865" t="s">
        <v>2560</v>
      </c>
      <c r="O2" s="2866" t="s">
        <v>2919</v>
      </c>
      <c r="P2" s="2866" t="s">
        <v>1937</v>
      </c>
      <c r="Q2" s="2865" t="s">
        <v>2622</v>
      </c>
      <c r="S2" s="2865" t="s">
        <v>2560</v>
      </c>
      <c r="T2" s="2866" t="s">
        <v>2919</v>
      </c>
      <c r="U2" s="2866" t="s">
        <v>1937</v>
      </c>
      <c r="V2" s="2865" t="s">
        <v>2622</v>
      </c>
      <c r="X2" s="2865" t="s">
        <v>2560</v>
      </c>
      <c r="Y2" s="2865" t="s">
        <v>2621</v>
      </c>
      <c r="Z2" s="2866" t="s">
        <v>1635</v>
      </c>
      <c r="AA2" s="2866" t="s">
        <v>1937</v>
      </c>
      <c r="AB2" s="2865" t="s">
        <v>2622</v>
      </c>
      <c r="AD2" s="2865" t="s">
        <v>2560</v>
      </c>
      <c r="AE2" s="2865" t="s">
        <v>2621</v>
      </c>
      <c r="AF2" s="2866" t="s">
        <v>1635</v>
      </c>
      <c r="AG2" s="2866" t="s">
        <v>1937</v>
      </c>
      <c r="AH2" s="2865" t="s">
        <v>2622</v>
      </c>
    </row>
    <row r="3" spans="1:34" s="2874" customFormat="1" ht="14.25">
      <c r="A3" s="2868" t="s">
        <v>2929</v>
      </c>
      <c r="B3" s="2869"/>
      <c r="C3" s="2869"/>
      <c r="D3" s="2870"/>
      <c r="E3" s="2870"/>
      <c r="F3" s="2869"/>
      <c r="G3" s="2871"/>
      <c r="H3" s="2872"/>
      <c r="I3" s="2873">
        <f>ROUND(AVERAGE($I4:$I32),2)</f>
        <v>1.73</v>
      </c>
      <c r="J3" s="2873">
        <f>ROUND(AVERAGE($J4:$J32),2)</f>
        <v>1.1599999999999999</v>
      </c>
      <c r="K3" s="2873">
        <f>ROUND(AVERAGE($K4:$K32),2)</f>
        <v>1.9</v>
      </c>
      <c r="L3" s="2873">
        <f>ROUND(AVERAGE($L4:$L32),2)</f>
        <v>1.23</v>
      </c>
      <c r="N3" s="2871"/>
      <c r="S3" s="2871"/>
      <c r="W3" s="2875"/>
      <c r="X3" s="2876">
        <f>ROUND(SUMPRODUCT(PRODUCT(1+N3:N$31)),4)</f>
        <v>1.5652999999999999</v>
      </c>
      <c r="Y3" s="2876">
        <f>ROUND(SUMPRODUCT(PRODUCT(1+O3:O$31)),4)</f>
        <v>1.3472</v>
      </c>
      <c r="Z3" s="2876">
        <f t="shared" ref="Z3" si="0">Y3</f>
        <v>1.3472</v>
      </c>
      <c r="AA3" s="2876">
        <f>ROUND(SUMPRODUCT(PRODUCT(1+P3:P$31)),4)</f>
        <v>1.6335999999999999</v>
      </c>
      <c r="AB3" s="2876">
        <f>ROUND(SUMPRODUCT(PRODUCT(1+Q3:Q$31)),4)</f>
        <v>1.3880999999999999</v>
      </c>
      <c r="AD3" s="2877">
        <f>ROUND(AVERAGE(I3:I$32)/100,4)</f>
        <v>1.7299999999999999E-2</v>
      </c>
      <c r="AE3" s="2877">
        <f>ROUND(AVERAGE(J3:J$32)/100,4)</f>
        <v>1.1599999999999999E-2</v>
      </c>
      <c r="AF3" s="2877">
        <f t="shared" ref="AF3:AF30" si="1">AE3</f>
        <v>1.1599999999999999E-2</v>
      </c>
      <c r="AG3" s="2877">
        <f>ROUND(AVERAGE(K3:K$32)/100,4)</f>
        <v>1.9E-2</v>
      </c>
      <c r="AH3" s="2877">
        <f>ROUND(AVERAGE(L3:L$32)/100,4)</f>
        <v>1.23E-2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2994</v>
      </c>
      <c r="B5" s="2888">
        <f t="shared" ref="B5" si="2">B6*(1+N5)</f>
        <v>481.4103506697644</v>
      </c>
      <c r="C5" s="2888">
        <f t="shared" ref="C5" si="3">C6*(1+O5)</f>
        <v>347.29066026648707</v>
      </c>
      <c r="D5" s="2888">
        <f t="shared" ref="D5" si="4">C5</f>
        <v>347.29066026648707</v>
      </c>
      <c r="E5" s="2888">
        <f t="shared" ref="E5" si="5">E6*(1+P5)</f>
        <v>690.85977273901995</v>
      </c>
      <c r="F5" s="2888">
        <f t="shared" ref="F5" si="6">F6*(1+Q5)</f>
        <v>319.13136737000184</v>
      </c>
      <c r="G5" s="2881">
        <v>2020</v>
      </c>
      <c r="H5" s="2889">
        <v>4</v>
      </c>
      <c r="I5" s="2890">
        <v>0</v>
      </c>
      <c r="J5" s="2890">
        <v>0</v>
      </c>
      <c r="K5" s="2890">
        <v>0</v>
      </c>
      <c r="L5" s="2890">
        <v>0</v>
      </c>
      <c r="N5" s="2892">
        <f t="shared" ref="N5" si="7">I5/100</f>
        <v>0</v>
      </c>
      <c r="O5" s="2892">
        <f t="shared" ref="O5" si="8">J5/100</f>
        <v>0</v>
      </c>
      <c r="P5" s="2892">
        <f t="shared" ref="P5" si="9">K5/100</f>
        <v>0</v>
      </c>
      <c r="Q5" s="2892">
        <f t="shared" ref="Q5" si="10">L5/100</f>
        <v>0</v>
      </c>
      <c r="S5" s="2893"/>
      <c r="W5" s="2894" t="s">
        <v>2930</v>
      </c>
      <c r="X5" s="2895">
        <f>ROUND(SUMPRODUCT(PRODUCT(1+N5:N$32)),4)</f>
        <v>1.6117999999999999</v>
      </c>
      <c r="Y5" s="2895">
        <f>ROUND(SUMPRODUCT(PRODUCT(1+O5:O$32)),4)</f>
        <v>1.3788</v>
      </c>
      <c r="Z5" s="2895">
        <f t="shared" ref="Z5" si="11">Y5</f>
        <v>1.3788</v>
      </c>
      <c r="AA5" s="2895">
        <f>ROUND(SUMPRODUCT(PRODUCT(1+P5:P$32)),4)</f>
        <v>1.6872</v>
      </c>
      <c r="AB5" s="2895">
        <f>ROUND(SUMPRODUCT(PRODUCT(1+Q5:Q$32)),4)</f>
        <v>1.4069</v>
      </c>
      <c r="AD5" s="2896">
        <f>ROUND(AVERAGE(I5:I$32)/100,4)</f>
        <v>1.7299999999999999E-2</v>
      </c>
      <c r="AE5" s="2896">
        <f>ROUND(AVERAGE(J5:J$32)/100,4)</f>
        <v>1.1599999999999999E-2</v>
      </c>
      <c r="AF5" s="2896">
        <f t="shared" ref="AF5" si="12">AE5</f>
        <v>1.1599999999999999E-2</v>
      </c>
      <c r="AG5" s="2896">
        <f>ROUND(AVERAGE(K5:K$32)/100,4)</f>
        <v>1.9E-2</v>
      </c>
      <c r="AH5" s="2896">
        <f>ROUND(AVERAGE(L5:L$32)/100,4)</f>
        <v>1.23E-2</v>
      </c>
    </row>
    <row r="6" spans="1:34" s="2904" customFormat="1">
      <c r="A6" s="2897" t="s">
        <v>2993</v>
      </c>
      <c r="B6" s="2898">
        <f t="shared" ref="B6" si="13">B7*(1+N6)</f>
        <v>481.4103506697644</v>
      </c>
      <c r="C6" s="2898">
        <f t="shared" ref="C6" si="14">C7*(1+O6)</f>
        <v>347.29066026648707</v>
      </c>
      <c r="D6" s="2898">
        <f t="shared" ref="D6" si="15">C6</f>
        <v>347.29066026648707</v>
      </c>
      <c r="E6" s="2898">
        <f t="shared" ref="E6" si="16">E7*(1+P6)</f>
        <v>690.85977273901995</v>
      </c>
      <c r="F6" s="2898">
        <f t="shared" ref="F6" si="17">F7*(1+Q6)</f>
        <v>319.13136737000184</v>
      </c>
      <c r="G6" s="2881">
        <v>2020</v>
      </c>
      <c r="H6" s="2899">
        <v>3</v>
      </c>
      <c r="I6" s="2861">
        <v>0</v>
      </c>
      <c r="J6" s="2861">
        <v>0</v>
      </c>
      <c r="K6" s="2861">
        <v>0</v>
      </c>
      <c r="L6" s="2862">
        <v>0</v>
      </c>
      <c r="M6" s="2885"/>
      <c r="N6" s="2900">
        <f t="shared" ref="N6" si="18">I6/100</f>
        <v>0</v>
      </c>
      <c r="O6" s="2886">
        <f t="shared" ref="O6" si="19">J6/100</f>
        <v>0</v>
      </c>
      <c r="P6" s="2886">
        <f t="shared" ref="P6" si="20">K6/100</f>
        <v>0</v>
      </c>
      <c r="Q6" s="2886">
        <f t="shared" ref="Q6" si="21">L6/100</f>
        <v>0</v>
      </c>
      <c r="R6" s="2901"/>
      <c r="S6" s="2902"/>
      <c r="T6" s="2903"/>
      <c r="U6" s="2903"/>
      <c r="V6" s="2903"/>
      <c r="W6" s="2885"/>
      <c r="X6" s="2885">
        <f>ROUND(SUMPRODUCT(PRODUCT(1+N6:N$32)),4)</f>
        <v>1.6117999999999999</v>
      </c>
      <c r="Y6" s="2885">
        <f>ROUND(SUMPRODUCT(PRODUCT(1+O6:O$32)),4)</f>
        <v>1.3788</v>
      </c>
      <c r="Z6" s="2885">
        <f t="shared" ref="Z6" si="22">Y6</f>
        <v>1.3788</v>
      </c>
      <c r="AA6" s="2885">
        <f>ROUND(SUMPRODUCT(PRODUCT(1+P6:P$32)),4)</f>
        <v>1.6872</v>
      </c>
      <c r="AB6" s="2885">
        <f>ROUND(SUMPRODUCT(PRODUCT(1+Q6:Q$32)),4)</f>
        <v>1.4069</v>
      </c>
      <c r="AC6" s="2885"/>
      <c r="AD6" s="2886">
        <f>ROUND(AVERAGE(I6:I$32)/100,4)</f>
        <v>1.7899999999999999E-2</v>
      </c>
      <c r="AE6" s="2886">
        <f>ROUND(AVERAGE(J6:J$32)/100,4)</f>
        <v>1.2E-2</v>
      </c>
      <c r="AF6" s="2886">
        <f t="shared" ref="AF6" si="23">AE6</f>
        <v>1.2E-2</v>
      </c>
      <c r="AG6" s="2886">
        <f>ROUND(AVERAGE(K6:K$32)/100,4)</f>
        <v>1.9699999999999999E-2</v>
      </c>
      <c r="AH6" s="2886">
        <f>ROUND(AVERAGE(L6:L$32)/100,4)</f>
        <v>1.2699999999999999E-2</v>
      </c>
    </row>
    <row r="7" spans="1:34" s="2904" customFormat="1">
      <c r="A7" s="2897" t="s">
        <v>2956</v>
      </c>
      <c r="B7" s="2898">
        <f t="shared" ref="B7" si="24">B8*(1+N7)</f>
        <v>481.4103506697644</v>
      </c>
      <c r="C7" s="2898">
        <f t="shared" ref="C7" si="25">C8*(1+O7)</f>
        <v>347.29066026648707</v>
      </c>
      <c r="D7" s="2898">
        <f t="shared" ref="D7" si="26">C7</f>
        <v>347.29066026648707</v>
      </c>
      <c r="E7" s="2898">
        <f t="shared" ref="E7" si="27">E8*(1+P7)</f>
        <v>690.85977273901995</v>
      </c>
      <c r="F7" s="2898">
        <f t="shared" ref="F7" si="28">F8*(1+Q7)</f>
        <v>319.13136737000184</v>
      </c>
      <c r="G7" s="2881">
        <v>2020</v>
      </c>
      <c r="H7" s="2899">
        <v>2</v>
      </c>
      <c r="I7" s="2861">
        <v>0.31</v>
      </c>
      <c r="J7" s="2861">
        <v>-0.78</v>
      </c>
      <c r="K7" s="2861">
        <v>0.5</v>
      </c>
      <c r="L7" s="2862">
        <v>0.47</v>
      </c>
      <c r="M7" s="2885"/>
      <c r="N7" s="2900">
        <f t="shared" ref="N7" si="29">I7/100</f>
        <v>3.0999999999999999E-3</v>
      </c>
      <c r="O7" s="2886">
        <f t="shared" ref="O7" si="30">J7/100</f>
        <v>-7.8000000000000005E-3</v>
      </c>
      <c r="P7" s="2886">
        <f t="shared" ref="P7" si="31">K7/100</f>
        <v>5.0000000000000001E-3</v>
      </c>
      <c r="Q7" s="2886">
        <f t="shared" ref="Q7" si="32">L7/100</f>
        <v>4.6999999999999993E-3</v>
      </c>
      <c r="R7" s="2901"/>
      <c r="S7" s="2902"/>
      <c r="T7" s="2903"/>
      <c r="U7" s="2903"/>
      <c r="V7" s="2903"/>
      <c r="W7" s="2885"/>
      <c r="X7" s="2885">
        <f>ROUND(SUMPRODUCT(PRODUCT(1+N7:N$32)),4)</f>
        <v>1.6117999999999999</v>
      </c>
      <c r="Y7" s="2885">
        <f>ROUND(SUMPRODUCT(PRODUCT(1+O7:O$32)),4)</f>
        <v>1.3788</v>
      </c>
      <c r="Z7" s="2885">
        <f t="shared" ref="Z7" si="33">Y7</f>
        <v>1.3788</v>
      </c>
      <c r="AA7" s="2885">
        <f>ROUND(SUMPRODUCT(PRODUCT(1+P7:P$32)),4)</f>
        <v>1.6872</v>
      </c>
      <c r="AB7" s="2885">
        <f>ROUND(SUMPRODUCT(PRODUCT(1+Q7:Q$32)),4)</f>
        <v>1.4069</v>
      </c>
      <c r="AC7" s="2885"/>
      <c r="AD7" s="2886">
        <f>ROUND(AVERAGE(I7:I$32)/100,4)</f>
        <v>1.8599999999999998E-2</v>
      </c>
      <c r="AE7" s="2886">
        <f>ROUND(AVERAGE(J7:J$32)/100,4)</f>
        <v>1.2500000000000001E-2</v>
      </c>
      <c r="AF7" s="2886">
        <f t="shared" ref="AF7" si="34">AE7</f>
        <v>1.2500000000000001E-2</v>
      </c>
      <c r="AG7" s="2886">
        <f>ROUND(AVERAGE(K7:K$32)/100,4)</f>
        <v>2.0400000000000001E-2</v>
      </c>
      <c r="AH7" s="2886">
        <f>ROUND(AVERAGE(L7:L$32)/100,4)</f>
        <v>1.32E-2</v>
      </c>
    </row>
    <row r="8" spans="1:34" s="2904" customFormat="1">
      <c r="A8" s="2897" t="s">
        <v>2954</v>
      </c>
      <c r="B8" s="2898">
        <f t="shared" ref="B8" si="35">B9*(1+N8)</f>
        <v>479.92259063878413</v>
      </c>
      <c r="C8" s="2898">
        <f t="shared" ref="C8" si="36">C9*(1+O8)</f>
        <v>350.02082268341775</v>
      </c>
      <c r="D8" s="2898">
        <f t="shared" ref="D8" si="37">C8</f>
        <v>350.02082268341775</v>
      </c>
      <c r="E8" s="2898">
        <f t="shared" ref="E8" si="38">E9*(1+P8)</f>
        <v>687.42265944181099</v>
      </c>
      <c r="F8" s="2898">
        <f t="shared" ref="F8" si="39">F9*(1+Q8)</f>
        <v>317.63846657708956</v>
      </c>
      <c r="G8" s="2881">
        <v>2020</v>
      </c>
      <c r="H8" s="2899">
        <v>1</v>
      </c>
      <c r="I8" s="2861">
        <v>0.12</v>
      </c>
      <c r="J8" s="2861">
        <v>-0.4</v>
      </c>
      <c r="K8" s="2861">
        <v>0.21</v>
      </c>
      <c r="L8" s="2862">
        <v>0.27</v>
      </c>
      <c r="M8" s="2885"/>
      <c r="N8" s="2900">
        <f t="shared" ref="N8" si="40">I8/100</f>
        <v>1.1999999999999999E-3</v>
      </c>
      <c r="O8" s="2886">
        <f t="shared" ref="O8" si="41">J8/100</f>
        <v>-4.0000000000000001E-3</v>
      </c>
      <c r="P8" s="2886">
        <f t="shared" ref="P8" si="42">K8/100</f>
        <v>2.0999999999999999E-3</v>
      </c>
      <c r="Q8" s="2886">
        <f t="shared" ref="Q8" si="43">L8/100</f>
        <v>2.7000000000000001E-3</v>
      </c>
      <c r="R8" s="2901"/>
      <c r="S8" s="2902">
        <f>B8/B9-1</f>
        <v>1.2000000000000899E-3</v>
      </c>
      <c r="T8" s="2903">
        <f>C8/C9-1</f>
        <v>-4.0000000000000036E-3</v>
      </c>
      <c r="U8" s="2903">
        <f>E8/E9-1</f>
        <v>2.0999999999999908E-3</v>
      </c>
      <c r="V8" s="2903">
        <f>F8/F9-1</f>
        <v>2.6999999999999247E-3</v>
      </c>
      <c r="W8" s="2885"/>
      <c r="X8" s="2885">
        <f>ROUND(SUMPRODUCT(PRODUCT(1+N8:N$32)),4)</f>
        <v>1.6068</v>
      </c>
      <c r="Y8" s="2885">
        <f>ROUND(SUMPRODUCT(PRODUCT(1+O8:O$32)),4)</f>
        <v>1.3895999999999999</v>
      </c>
      <c r="Z8" s="2885">
        <f t="shared" ref="Z8:Z31" si="44">Y8</f>
        <v>1.3895999999999999</v>
      </c>
      <c r="AA8" s="2885">
        <f>ROUND(SUMPRODUCT(PRODUCT(1+P8:P$32)),4)</f>
        <v>1.6788000000000001</v>
      </c>
      <c r="AB8" s="2885">
        <f>ROUND(SUMPRODUCT(PRODUCT(1+Q8:Q$32)),4)</f>
        <v>1.4004000000000001</v>
      </c>
      <c r="AC8" s="2885"/>
      <c r="AD8" s="2886">
        <f>ROUND(AVERAGE(I8:I$32)/100,4)</f>
        <v>1.9199999999999998E-2</v>
      </c>
      <c r="AE8" s="2886">
        <f>ROUND(AVERAGE(J8:J$32)/100,4)</f>
        <v>1.3299999999999999E-2</v>
      </c>
      <c r="AF8" s="2886">
        <f t="shared" ref="AF8" si="45">AE8</f>
        <v>1.3299999999999999E-2</v>
      </c>
      <c r="AG8" s="2886">
        <f>ROUND(AVERAGE(K8:K$32)/100,4)</f>
        <v>2.1100000000000001E-2</v>
      </c>
      <c r="AH8" s="2886">
        <f>ROUND(AVERAGE(L8:L$32)/100,4)</f>
        <v>1.3599999999999999E-2</v>
      </c>
    </row>
    <row r="9" spans="1:34" s="2904" customFormat="1">
      <c r="A9" s="2897" t="s">
        <v>2951</v>
      </c>
      <c r="B9" s="2898">
        <f t="shared" ref="B9" si="46">B10*(1+N9)</f>
        <v>479.34737379023579</v>
      </c>
      <c r="C9" s="2898">
        <f t="shared" ref="C9" si="47">C10*(1+O9)</f>
        <v>351.4265287986122</v>
      </c>
      <c r="D9" s="2898">
        <f t="shared" ref="D9" si="48">C9</f>
        <v>351.4265287986122</v>
      </c>
      <c r="E9" s="2898">
        <f t="shared" ref="E9" si="49">E10*(1+P9)</f>
        <v>685.98209703803116</v>
      </c>
      <c r="F9" s="2898">
        <f t="shared" ref="F9" si="50">F10*(1+Q9)</f>
        <v>316.78315206651001</v>
      </c>
      <c r="G9" s="2881">
        <v>2019</v>
      </c>
      <c r="H9" s="2899">
        <v>4</v>
      </c>
      <c r="I9" s="2899">
        <v>0.45</v>
      </c>
      <c r="J9" s="2899">
        <v>-0.12</v>
      </c>
      <c r="K9" s="2899">
        <v>0.54</v>
      </c>
      <c r="L9" s="2905">
        <v>0.48</v>
      </c>
      <c r="M9" s="2885"/>
      <c r="N9" s="2900">
        <f t="shared" ref="N9" si="51">I9/100</f>
        <v>4.5000000000000005E-3</v>
      </c>
      <c r="O9" s="2886">
        <f t="shared" ref="O9" si="52">J9/100</f>
        <v>-1.1999999999999999E-3</v>
      </c>
      <c r="P9" s="2886">
        <f t="shared" ref="P9" si="53">K9/100</f>
        <v>5.4000000000000003E-3</v>
      </c>
      <c r="Q9" s="2886">
        <f t="shared" ref="Q9" si="54">L9/100</f>
        <v>4.7999999999999996E-3</v>
      </c>
      <c r="R9" s="2901"/>
      <c r="S9" s="2902"/>
      <c r="T9" s="2903"/>
      <c r="U9" s="2903"/>
      <c r="V9" s="2903"/>
      <c r="W9" s="2885"/>
      <c r="X9" s="2885">
        <f>ROUND(SUMPRODUCT(PRODUCT(1+N9:N$32)),4)</f>
        <v>1.6049</v>
      </c>
      <c r="Y9" s="2885">
        <f>ROUND(SUMPRODUCT(PRODUCT(1+O9:O$32)),4)</f>
        <v>1.3952</v>
      </c>
      <c r="Z9" s="2885">
        <f t="shared" si="44"/>
        <v>1.3952</v>
      </c>
      <c r="AA9" s="2885">
        <f>ROUND(SUMPRODUCT(PRODUCT(1+P9:P$32)),4)</f>
        <v>1.6753</v>
      </c>
      <c r="AB9" s="2885">
        <f>ROUND(SUMPRODUCT(PRODUCT(1+Q9:Q$32)),4)</f>
        <v>1.3966000000000001</v>
      </c>
      <c r="AC9" s="2885"/>
      <c r="AD9" s="2886">
        <f>ROUND(AVERAGE(I9:I$32)/100,4)</f>
        <v>0.02</v>
      </c>
      <c r="AE9" s="2886">
        <f>ROUND(AVERAGE(J9:J$32)/100,4)</f>
        <v>1.4E-2</v>
      </c>
      <c r="AF9" s="2886">
        <f t="shared" ref="AF9" si="55">AE9</f>
        <v>1.4E-2</v>
      </c>
      <c r="AG9" s="2886">
        <f>ROUND(AVERAGE(K9:K$32)/100,4)</f>
        <v>2.1899999999999999E-2</v>
      </c>
      <c r="AH9" s="2886">
        <f>ROUND(AVERAGE(L9:L$32)/100,4)</f>
        <v>1.4E-2</v>
      </c>
    </row>
    <row r="10" spans="1:34" s="2904" customFormat="1" ht="13.5" thickBot="1">
      <c r="A10" s="2897" t="s">
        <v>2950</v>
      </c>
      <c r="B10" s="2898">
        <f t="shared" ref="B10" si="56">B11*(1+N10)</f>
        <v>477.19997390765138</v>
      </c>
      <c r="C10" s="2898">
        <f t="shared" ref="C10" si="57">C11*(1+O10)</f>
        <v>351.84874729536665</v>
      </c>
      <c r="D10" s="2898">
        <f t="shared" ref="D10" si="58">C10</f>
        <v>351.84874729536665</v>
      </c>
      <c r="E10" s="2898">
        <f t="shared" ref="E10" si="59">E11*(1+P10)</f>
        <v>682.29768951465201</v>
      </c>
      <c r="F10" s="2898">
        <f t="shared" ref="F10" si="60">F11*(1+Q10)</f>
        <v>315.26985675409043</v>
      </c>
      <c r="G10" s="2881">
        <v>2019</v>
      </c>
      <c r="H10" s="2899">
        <v>3</v>
      </c>
      <c r="I10" s="2899">
        <v>0.61</v>
      </c>
      <c r="J10" s="2899">
        <v>0.67</v>
      </c>
      <c r="K10" s="2899">
        <v>0.6</v>
      </c>
      <c r="L10" s="2905">
        <v>1.03</v>
      </c>
      <c r="M10" s="2885"/>
      <c r="N10" s="2900">
        <f t="shared" ref="N10" si="61">I10/100</f>
        <v>6.0999999999999995E-3</v>
      </c>
      <c r="O10" s="2886">
        <f t="shared" ref="O10" si="62">J10/100</f>
        <v>6.7000000000000002E-3</v>
      </c>
      <c r="P10" s="2886">
        <f t="shared" ref="P10" si="63">K10/100</f>
        <v>6.0000000000000001E-3</v>
      </c>
      <c r="Q10" s="2886">
        <f t="shared" ref="Q10" si="64">L10/100</f>
        <v>1.03E-2</v>
      </c>
      <c r="R10" s="2901"/>
      <c r="S10" s="2902"/>
      <c r="T10" s="2903"/>
      <c r="U10" s="2903"/>
      <c r="V10" s="2903"/>
      <c r="W10" s="2885"/>
      <c r="X10" s="2885">
        <f>ROUND(SUMPRODUCT(PRODUCT(1+N10:N$32)),4)</f>
        <v>1.5976999999999999</v>
      </c>
      <c r="Y10" s="2885">
        <f>ROUND(SUMPRODUCT(PRODUCT(1+O10:O$32)),4)</f>
        <v>1.3969</v>
      </c>
      <c r="Z10" s="2885">
        <f t="shared" si="44"/>
        <v>1.3969</v>
      </c>
      <c r="AA10" s="2885">
        <f>ROUND(SUMPRODUCT(PRODUCT(1+P10:P$32)),4)</f>
        <v>1.6662999999999999</v>
      </c>
      <c r="AB10" s="2885">
        <f>ROUND(SUMPRODUCT(PRODUCT(1+Q10:Q$32)),4)</f>
        <v>1.3898999999999999</v>
      </c>
      <c r="AC10" s="2885"/>
      <c r="AD10" s="2886">
        <f>ROUND(AVERAGE(I10:I$32)/100,4)</f>
        <v>2.07E-2</v>
      </c>
      <c r="AE10" s="2886">
        <f>ROUND(AVERAGE(J10:J$32)/100,4)</f>
        <v>1.47E-2</v>
      </c>
      <c r="AF10" s="2886">
        <f t="shared" ref="AF10" si="65">AE10</f>
        <v>1.47E-2</v>
      </c>
      <c r="AG10" s="2886">
        <f>ROUND(AVERAGE(K10:K$32)/100,4)</f>
        <v>2.2599999999999999E-2</v>
      </c>
      <c r="AH10" s="2886">
        <f>ROUND(AVERAGE(L10:L$32)/100,4)</f>
        <v>1.44E-2</v>
      </c>
    </row>
    <row r="11" spans="1:34" s="2904" customFormat="1">
      <c r="A11" s="2897" t="s">
        <v>2949</v>
      </c>
      <c r="B11" s="2898">
        <f t="shared" ref="B11:B16" si="66">B12*(1+N11)</f>
        <v>474.30670301923408</v>
      </c>
      <c r="C11" s="2898">
        <f t="shared" ref="C11" si="67">C12*(1+O11)</f>
        <v>349.50705005996491</v>
      </c>
      <c r="D11" s="2898">
        <f t="shared" ref="D11" si="68">C11</f>
        <v>349.50705005996491</v>
      </c>
      <c r="E11" s="2898">
        <f t="shared" ref="E11" si="69">E12*(1+P11)</f>
        <v>678.22831959706957</v>
      </c>
      <c r="F11" s="2898">
        <f t="shared" ref="F11" si="70">F12*(1+Q11)</f>
        <v>312.0556832169558</v>
      </c>
      <c r="G11" s="2881">
        <v>2019</v>
      </c>
      <c r="H11" s="2906">
        <v>2</v>
      </c>
      <c r="I11" s="2906">
        <v>1.53</v>
      </c>
      <c r="J11" s="2906">
        <v>1.01</v>
      </c>
      <c r="K11" s="2906">
        <v>1.62</v>
      </c>
      <c r="L11" s="2907">
        <v>1.25</v>
      </c>
      <c r="M11" s="2885"/>
      <c r="N11" s="2900">
        <f t="shared" ref="N11" si="71">I11/100</f>
        <v>1.5300000000000001E-2</v>
      </c>
      <c r="O11" s="2886">
        <f t="shared" ref="O11" si="72">J11/100</f>
        <v>1.01E-2</v>
      </c>
      <c r="P11" s="2886">
        <f t="shared" ref="P11" si="73">K11/100</f>
        <v>1.6200000000000003E-2</v>
      </c>
      <c r="Q11" s="2886">
        <f t="shared" ref="Q11" si="74">L11/100</f>
        <v>1.2500000000000001E-2</v>
      </c>
      <c r="R11" s="2901"/>
      <c r="S11" s="2902"/>
      <c r="T11" s="2903"/>
      <c r="U11" s="2903"/>
      <c r="V11" s="2903"/>
      <c r="W11" s="2885"/>
      <c r="X11" s="2885">
        <f>ROUND(SUMPRODUCT(PRODUCT(1+N11:N$32)),4)</f>
        <v>1.5880000000000001</v>
      </c>
      <c r="Y11" s="2885">
        <f>ROUND(SUMPRODUCT(PRODUCT(1+O11:O$32)),4)</f>
        <v>1.3875999999999999</v>
      </c>
      <c r="Z11" s="2885">
        <f t="shared" si="44"/>
        <v>1.3875999999999999</v>
      </c>
      <c r="AA11" s="2885">
        <f>ROUND(SUMPRODUCT(PRODUCT(1+P11:P$32)),4)</f>
        <v>1.6563000000000001</v>
      </c>
      <c r="AB11" s="2885">
        <f>ROUND(SUMPRODUCT(PRODUCT(1+Q11:Q$32)),4)</f>
        <v>1.3756999999999999</v>
      </c>
      <c r="AC11" s="2885"/>
      <c r="AD11" s="2886">
        <f>ROUND(AVERAGE(I11:I$32)/100,4)</f>
        <v>2.1299999999999999E-2</v>
      </c>
      <c r="AE11" s="2886">
        <f>ROUND(AVERAGE(J11:J$32)/100,4)</f>
        <v>1.4999999999999999E-2</v>
      </c>
      <c r="AF11" s="2886">
        <f t="shared" ref="AF11" si="75">AE11</f>
        <v>1.4999999999999999E-2</v>
      </c>
      <c r="AG11" s="2886">
        <f>ROUND(AVERAGE(K11:K$32)/100,4)</f>
        <v>2.3300000000000001E-2</v>
      </c>
      <c r="AH11" s="2886">
        <f>ROUND(AVERAGE(L11:L$32)/100,4)</f>
        <v>1.46E-2</v>
      </c>
    </row>
    <row r="12" spans="1:34" s="2904" customFormat="1" ht="13.5" thickBot="1">
      <c r="A12" s="2897" t="s">
        <v>2948</v>
      </c>
      <c r="B12" s="2898">
        <f t="shared" si="66"/>
        <v>467.15916775261894</v>
      </c>
      <c r="C12" s="2898">
        <f t="shared" ref="C12" si="76">C13*(1+O12)</f>
        <v>346.01232557169084</v>
      </c>
      <c r="D12" s="2898">
        <f t="shared" ref="D12" si="77">C12</f>
        <v>346.01232557169084</v>
      </c>
      <c r="E12" s="2898">
        <f t="shared" ref="E12" si="78">E13*(1+P12)</f>
        <v>667.41617752122568</v>
      </c>
      <c r="F12" s="2898">
        <f t="shared" ref="F12" si="79">F13*(1+Q12)</f>
        <v>308.20314391798104</v>
      </c>
      <c r="G12" s="2881">
        <v>2019</v>
      </c>
      <c r="H12" s="2899">
        <v>1</v>
      </c>
      <c r="I12" s="2899">
        <v>0.6</v>
      </c>
      <c r="J12" s="2899">
        <v>0.37</v>
      </c>
      <c r="K12" s="2899">
        <v>0.63</v>
      </c>
      <c r="L12" s="2905">
        <v>1.1299999999999999</v>
      </c>
      <c r="M12" s="2885"/>
      <c r="N12" s="2900">
        <f t="shared" ref="N12" si="80">I12/100</f>
        <v>6.0000000000000001E-3</v>
      </c>
      <c r="O12" s="2886">
        <f t="shared" ref="O12" si="81">J12/100</f>
        <v>3.7000000000000002E-3</v>
      </c>
      <c r="P12" s="2886">
        <f t="shared" ref="P12" si="82">K12/100</f>
        <v>6.3E-3</v>
      </c>
      <c r="Q12" s="2886">
        <f t="shared" ref="Q12" si="83">L12/100</f>
        <v>1.1299999999999999E-2</v>
      </c>
      <c r="R12" s="2901"/>
      <c r="S12" s="2902">
        <f>B12/B13-1</f>
        <v>6.0000000000000053E-3</v>
      </c>
      <c r="T12" s="2903">
        <f>C12/C13-1</f>
        <v>3.7000000000000366E-3</v>
      </c>
      <c r="U12" s="2903">
        <f>E12/E13-1</f>
        <v>6.2999999999999723E-3</v>
      </c>
      <c r="V12" s="2903">
        <f>F12/F13-1</f>
        <v>1.1300000000000088E-2</v>
      </c>
      <c r="W12" s="2885"/>
      <c r="X12" s="2885">
        <f>ROUND(SUMPRODUCT(PRODUCT(1+N12:N$32)),4)</f>
        <v>1.5641</v>
      </c>
      <c r="Y12" s="2885">
        <f>ROUND(SUMPRODUCT(PRODUCT(1+O12:O$32)),4)</f>
        <v>1.3736999999999999</v>
      </c>
      <c r="Z12" s="2885">
        <f t="shared" si="44"/>
        <v>1.3736999999999999</v>
      </c>
      <c r="AA12" s="2885">
        <f>ROUND(SUMPRODUCT(PRODUCT(1+P12:P$32)),4)</f>
        <v>1.6298999999999999</v>
      </c>
      <c r="AB12" s="2885">
        <f>ROUND(SUMPRODUCT(PRODUCT(1+Q12:Q$32)),4)</f>
        <v>1.3588</v>
      </c>
      <c r="AC12" s="2885"/>
      <c r="AD12" s="2886">
        <f>ROUND(AVERAGE(I12:I$32)/100,4)</f>
        <v>2.1600000000000001E-2</v>
      </c>
      <c r="AE12" s="2886">
        <f>ROUND(AVERAGE(J12:J$32)/100,4)</f>
        <v>1.5299999999999999E-2</v>
      </c>
      <c r="AF12" s="2886">
        <f t="shared" ref="AF12" si="84">AE12</f>
        <v>1.5299999999999999E-2</v>
      </c>
      <c r="AG12" s="2886">
        <f>ROUND(AVERAGE(K12:K$32)/100,4)</f>
        <v>2.3699999999999999E-2</v>
      </c>
      <c r="AH12" s="2886">
        <f>ROUND(AVERAGE(L12:L$32)/100,4)</f>
        <v>1.47E-2</v>
      </c>
    </row>
    <row r="13" spans="1:34" s="2904" customFormat="1">
      <c r="A13" s="2897" t="s">
        <v>2946</v>
      </c>
      <c r="B13" s="2908">
        <f t="shared" si="66"/>
        <v>464.37293017158942</v>
      </c>
      <c r="C13" s="2908">
        <f t="shared" ref="C13" si="85">C14*(1+O13)</f>
        <v>344.73679941385956</v>
      </c>
      <c r="D13" s="2908">
        <f t="shared" ref="D13" si="86">C13</f>
        <v>344.73679941385956</v>
      </c>
      <c r="E13" s="2908">
        <f t="shared" ref="E13" si="87">E14*(1+P13)</f>
        <v>663.2377795103107</v>
      </c>
      <c r="F13" s="2909">
        <f t="shared" ref="F13" si="88">F14*(1+Q13)</f>
        <v>304.75936311478398</v>
      </c>
      <c r="G13" s="3535">
        <v>2018</v>
      </c>
      <c r="H13" s="2906">
        <v>4</v>
      </c>
      <c r="I13" s="2906">
        <v>0.96</v>
      </c>
      <c r="J13" s="2906">
        <v>1.03</v>
      </c>
      <c r="K13" s="2906">
        <v>0.92</v>
      </c>
      <c r="L13" s="2907">
        <v>1.29</v>
      </c>
      <c r="M13" s="2885"/>
      <c r="N13" s="2900">
        <f t="shared" ref="N13" si="89">I13/100</f>
        <v>9.5999999999999992E-3</v>
      </c>
      <c r="O13" s="2886">
        <f t="shared" ref="O13" si="90">J13/100</f>
        <v>1.03E-2</v>
      </c>
      <c r="P13" s="2886">
        <f t="shared" ref="P13" si="91">K13/100</f>
        <v>9.1999999999999998E-3</v>
      </c>
      <c r="Q13" s="2886">
        <f t="shared" ref="Q13" si="92">L13/100</f>
        <v>1.29E-2</v>
      </c>
      <c r="R13" s="2901"/>
      <c r="S13" s="2910"/>
      <c r="T13" s="2911"/>
      <c r="U13" s="2911"/>
      <c r="V13" s="2911"/>
      <c r="W13" s="2885"/>
      <c r="X13" s="2885">
        <f>ROUND(SUMPRODUCT(PRODUCT(1+N13:N$32)),4)</f>
        <v>1.5548</v>
      </c>
      <c r="Y13" s="2885">
        <f>ROUND(SUMPRODUCT(PRODUCT(1+O13:O$32)),4)</f>
        <v>1.3686</v>
      </c>
      <c r="Z13" s="2885">
        <f t="shared" si="44"/>
        <v>1.3686</v>
      </c>
      <c r="AA13" s="2885">
        <f>ROUND(SUMPRODUCT(PRODUCT(1+P13:P$32)),4)</f>
        <v>1.6196999999999999</v>
      </c>
      <c r="AB13" s="2885">
        <f>ROUND(SUMPRODUCT(PRODUCT(1+Q13:Q$32)),4)</f>
        <v>1.3435999999999999</v>
      </c>
      <c r="AC13" s="2885"/>
      <c r="AD13" s="2886">
        <f>ROUND(AVERAGE(I13:I$32)/100,4)</f>
        <v>2.24E-2</v>
      </c>
      <c r="AE13" s="2886">
        <f>ROUND(AVERAGE(J13:J$32)/100,4)</f>
        <v>1.5800000000000002E-2</v>
      </c>
      <c r="AF13" s="2886">
        <f t="shared" ref="AF13" si="93">AE13</f>
        <v>1.5800000000000002E-2</v>
      </c>
      <c r="AG13" s="2886">
        <f>ROUND(AVERAGE(K13:K$32)/100,4)</f>
        <v>2.4500000000000001E-2</v>
      </c>
      <c r="AH13" s="2886">
        <f>ROUND(AVERAGE(L13:L$32)/100,4)</f>
        <v>1.49E-2</v>
      </c>
    </row>
    <row r="14" spans="1:34" s="2904" customFormat="1" ht="14.45" customHeight="1">
      <c r="A14" s="2897" t="s">
        <v>2939</v>
      </c>
      <c r="B14" s="2898">
        <f t="shared" si="66"/>
        <v>459.95733971036987</v>
      </c>
      <c r="C14" s="2898">
        <f t="shared" ref="C14" si="94">C15*(1+O14)</f>
        <v>341.22221064422405</v>
      </c>
      <c r="D14" s="2898">
        <f t="shared" ref="D14" si="95">C14</f>
        <v>341.22221064422405</v>
      </c>
      <c r="E14" s="2898">
        <f t="shared" ref="E14" si="96">E15*(1+P14)</f>
        <v>657.19161663724799</v>
      </c>
      <c r="F14" s="2898">
        <f t="shared" ref="F14" si="97">F15*(1+Q14)</f>
        <v>300.87803644464805</v>
      </c>
      <c r="G14" s="3535"/>
      <c r="H14" s="2899">
        <v>3</v>
      </c>
      <c r="I14" s="2899">
        <v>1.51</v>
      </c>
      <c r="J14" s="2899">
        <v>1.41</v>
      </c>
      <c r="K14" s="2899">
        <v>1.52</v>
      </c>
      <c r="L14" s="2905">
        <v>1.74</v>
      </c>
      <c r="M14" s="2885"/>
      <c r="N14" s="2900">
        <f t="shared" ref="N14" si="98">I14/100</f>
        <v>1.5100000000000001E-2</v>
      </c>
      <c r="O14" s="2886">
        <f t="shared" ref="O14" si="99">J14/100</f>
        <v>1.41E-2</v>
      </c>
      <c r="P14" s="2886">
        <f t="shared" ref="P14" si="100">K14/100</f>
        <v>1.52E-2</v>
      </c>
      <c r="Q14" s="2886">
        <f t="shared" ref="Q14" si="101">L14/100</f>
        <v>1.7399999999999999E-2</v>
      </c>
      <c r="R14" s="2901"/>
      <c r="S14" s="2900"/>
      <c r="T14" s="2886"/>
      <c r="U14" s="2886"/>
      <c r="V14" s="2886"/>
      <c r="W14" s="2885"/>
      <c r="X14" s="2885">
        <f>ROUND(SUMPRODUCT(PRODUCT(1+N14:N$32)),4)</f>
        <v>1.54</v>
      </c>
      <c r="Y14" s="2885">
        <f>ROUND(SUMPRODUCT(PRODUCT(1+O14:O$32)),4)</f>
        <v>1.3547</v>
      </c>
      <c r="Z14" s="2885">
        <f t="shared" si="44"/>
        <v>1.3547</v>
      </c>
      <c r="AA14" s="2885">
        <f>ROUND(SUMPRODUCT(PRODUCT(1+P14:P$32)),4)</f>
        <v>1.605</v>
      </c>
      <c r="AB14" s="2885">
        <f>ROUND(SUMPRODUCT(PRODUCT(1+Q14:Q$32)),4)</f>
        <v>1.3265</v>
      </c>
      <c r="AC14" s="2885"/>
      <c r="AD14" s="2886">
        <f>ROUND(AVERAGE(I14:I$32)/100,4)</f>
        <v>2.3099999999999999E-2</v>
      </c>
      <c r="AE14" s="2886">
        <f>ROUND(AVERAGE(J14:J$32)/100,4)</f>
        <v>1.61E-2</v>
      </c>
      <c r="AF14" s="2886">
        <f t="shared" ref="AF14" si="102">AE14</f>
        <v>1.61E-2</v>
      </c>
      <c r="AG14" s="2886">
        <f>ROUND(AVERAGE(K14:K$32)/100,4)</f>
        <v>2.53E-2</v>
      </c>
      <c r="AH14" s="2886">
        <f>ROUND(AVERAGE(L14:L$32)/100,4)</f>
        <v>1.4999999999999999E-2</v>
      </c>
    </row>
    <row r="15" spans="1:34" s="2904" customFormat="1" ht="14.45" customHeight="1">
      <c r="A15" s="2897" t="s">
        <v>2940</v>
      </c>
      <c r="B15" s="2898">
        <f t="shared" si="66"/>
        <v>453.11529869999993</v>
      </c>
      <c r="C15" s="2898">
        <f t="shared" ref="C15" si="103">C16*(1+O15)</f>
        <v>336.47787264000004</v>
      </c>
      <c r="D15" s="2898">
        <f t="shared" ref="D15" si="104">C15</f>
        <v>336.47787264000004</v>
      </c>
      <c r="E15" s="2898">
        <f t="shared" ref="E15" si="105">E16*(1+P15)</f>
        <v>647.35186823999993</v>
      </c>
      <c r="F15" s="2898">
        <f t="shared" ref="F15" si="106">F16*(1+Q15)</f>
        <v>295.73229452000004</v>
      </c>
      <c r="G15" s="3535"/>
      <c r="H15" s="2912">
        <v>2</v>
      </c>
      <c r="I15" s="2912">
        <v>1.49</v>
      </c>
      <c r="J15" s="2912">
        <v>0.96</v>
      </c>
      <c r="K15" s="2912">
        <v>1.58</v>
      </c>
      <c r="L15" s="2913">
        <v>2.44</v>
      </c>
      <c r="M15" s="2885"/>
      <c r="N15" s="2900">
        <f t="shared" ref="N15" si="107">I15/100</f>
        <v>1.49E-2</v>
      </c>
      <c r="O15" s="2886">
        <f t="shared" ref="O15" si="108">J15/100</f>
        <v>9.5999999999999992E-3</v>
      </c>
      <c r="P15" s="2886">
        <f t="shared" ref="P15" si="109">K15/100</f>
        <v>1.5800000000000002E-2</v>
      </c>
      <c r="Q15" s="2886">
        <f t="shared" ref="Q15" si="110">L15/100</f>
        <v>2.4399999999999998E-2</v>
      </c>
      <c r="R15" s="2901"/>
      <c r="S15" s="2900"/>
      <c r="T15" s="2886"/>
      <c r="U15" s="2886"/>
      <c r="V15" s="2886"/>
      <c r="W15" s="2885"/>
      <c r="X15" s="2885">
        <f>ROUND(SUMPRODUCT(PRODUCT(1+N15:N$32)),4)</f>
        <v>1.5170999999999999</v>
      </c>
      <c r="Y15" s="2885">
        <f>ROUND(SUMPRODUCT(PRODUCT(1+O15:O$32)),4)</f>
        <v>1.3358000000000001</v>
      </c>
      <c r="Z15" s="2885">
        <f t="shared" si="44"/>
        <v>1.3358000000000001</v>
      </c>
      <c r="AA15" s="2885">
        <f>ROUND(SUMPRODUCT(PRODUCT(1+P15:P$32)),4)</f>
        <v>1.5809</v>
      </c>
      <c r="AB15" s="2885">
        <f>ROUND(SUMPRODUCT(PRODUCT(1+Q15:Q$32)),4)</f>
        <v>1.3038000000000001</v>
      </c>
      <c r="AC15" s="2885"/>
      <c r="AD15" s="2886">
        <f>ROUND(AVERAGE(I15:I$32)/100,4)</f>
        <v>2.35E-2</v>
      </c>
      <c r="AE15" s="2886">
        <f>ROUND(AVERAGE(J15:J$32)/100,4)</f>
        <v>1.6199999999999999E-2</v>
      </c>
      <c r="AF15" s="2886">
        <f t="shared" ref="AF15" si="111">AE15</f>
        <v>1.6199999999999999E-2</v>
      </c>
      <c r="AG15" s="2886">
        <f>ROUND(AVERAGE(K15:K$32)/100,4)</f>
        <v>2.5899999999999999E-2</v>
      </c>
      <c r="AH15" s="2886">
        <f>ROUND(AVERAGE(L15:L$32)/100,4)</f>
        <v>1.49E-2</v>
      </c>
    </row>
    <row r="16" spans="1:34" s="2904" customFormat="1" ht="15" customHeight="1" thickBot="1">
      <c r="A16" s="2897" t="s">
        <v>2936</v>
      </c>
      <c r="B16" s="2898">
        <f t="shared" si="66"/>
        <v>446.46299999999997</v>
      </c>
      <c r="C16" s="2898">
        <f t="shared" ref="C16" si="112">C17*(1+O16)</f>
        <v>333.27840000000003</v>
      </c>
      <c r="D16" s="2898">
        <f t="shared" ref="D16:D21" si="113">C16</f>
        <v>333.27840000000003</v>
      </c>
      <c r="E16" s="2898">
        <f t="shared" ref="E16" si="114">E17*(1+P16)</f>
        <v>637.28279999999995</v>
      </c>
      <c r="F16" s="2898">
        <f t="shared" ref="F16" si="115">F17*(1+Q16)</f>
        <v>288.68830000000003</v>
      </c>
      <c r="G16" s="3541"/>
      <c r="H16" s="2899">
        <v>1</v>
      </c>
      <c r="I16" s="2899">
        <v>1.7</v>
      </c>
      <c r="J16" s="2899">
        <v>1.92</v>
      </c>
      <c r="K16" s="2899">
        <v>1.64</v>
      </c>
      <c r="L16" s="2905">
        <v>2.0099999999999998</v>
      </c>
      <c r="M16" s="2885"/>
      <c r="N16" s="2900">
        <f t="shared" ref="N16:N21" si="116">I16/100</f>
        <v>1.7000000000000001E-2</v>
      </c>
      <c r="O16" s="2886">
        <f t="shared" ref="O16" si="117">J16/100</f>
        <v>1.9199999999999998E-2</v>
      </c>
      <c r="P16" s="2886">
        <f t="shared" ref="P16" si="118">K16/100</f>
        <v>1.6399999999999998E-2</v>
      </c>
      <c r="Q16" s="2886">
        <f t="shared" ref="Q16" si="119">L16/100</f>
        <v>2.0099999999999996E-2</v>
      </c>
      <c r="R16" s="2901"/>
      <c r="S16" s="2902">
        <f>B16/B17-1</f>
        <v>1.6999999999999904E-2</v>
      </c>
      <c r="T16" s="2903">
        <f>C16/C17-1</f>
        <v>1.9200000000000106E-2</v>
      </c>
      <c r="U16" s="2903">
        <f>E16/E17-1</f>
        <v>1.639999999999997E-2</v>
      </c>
      <c r="V16" s="2903">
        <f>F16/F17-1</f>
        <v>2.0100000000000007E-2</v>
      </c>
      <c r="W16" s="2885"/>
      <c r="X16" s="2885">
        <f>ROUND(SUMPRODUCT(PRODUCT(1+N16:N$32)),4)</f>
        <v>1.4947999999999999</v>
      </c>
      <c r="Y16" s="2885">
        <f>ROUND(SUMPRODUCT(PRODUCT(1+O16:O$32)),4)</f>
        <v>1.3230999999999999</v>
      </c>
      <c r="Z16" s="2885">
        <f t="shared" si="44"/>
        <v>1.3230999999999999</v>
      </c>
      <c r="AA16" s="2885">
        <f>ROUND(SUMPRODUCT(PRODUCT(1+P16:P$32)),4)</f>
        <v>1.5564</v>
      </c>
      <c r="AB16" s="2885">
        <f>ROUND(SUMPRODUCT(PRODUCT(1+Q16:Q$32)),4)</f>
        <v>1.2726999999999999</v>
      </c>
      <c r="AC16" s="2885"/>
      <c r="AD16" s="2886">
        <f>ROUND(AVERAGE(I16:I$32)/100,4)</f>
        <v>2.4E-2</v>
      </c>
      <c r="AE16" s="2886">
        <f>ROUND(AVERAGE(J16:J$32)/100,4)</f>
        <v>1.66E-2</v>
      </c>
      <c r="AF16" s="2886">
        <f t="shared" ref="AF16" si="120">AE16</f>
        <v>1.66E-2</v>
      </c>
      <c r="AG16" s="2886">
        <f>ROUND(AVERAGE(K16:K$32)/100,4)</f>
        <v>2.6499999999999999E-2</v>
      </c>
      <c r="AH16" s="2886">
        <f>ROUND(AVERAGE(L16:L$32)/100,4)</f>
        <v>1.43E-2</v>
      </c>
    </row>
    <row r="17" spans="1:34">
      <c r="A17" s="2897" t="s">
        <v>2928</v>
      </c>
      <c r="B17" s="2914">
        <v>439</v>
      </c>
      <c r="C17" s="2914">
        <v>327</v>
      </c>
      <c r="D17" s="2914">
        <f t="shared" si="113"/>
        <v>327</v>
      </c>
      <c r="E17" s="2914">
        <v>627</v>
      </c>
      <c r="F17" s="2915">
        <v>283</v>
      </c>
      <c r="G17" s="3540">
        <v>2017</v>
      </c>
      <c r="H17" s="2906">
        <v>4</v>
      </c>
      <c r="I17" s="2906">
        <v>1.71</v>
      </c>
      <c r="J17" s="2906">
        <v>1.78</v>
      </c>
      <c r="K17" s="2906">
        <v>1.71</v>
      </c>
      <c r="L17" s="2907">
        <v>1.43</v>
      </c>
      <c r="N17" s="2916">
        <f t="shared" si="116"/>
        <v>1.7100000000000001E-2</v>
      </c>
      <c r="O17" s="2917">
        <f t="shared" ref="O17" si="121">J17/100</f>
        <v>1.78E-2</v>
      </c>
      <c r="P17" s="2917">
        <f t="shared" ref="P17" si="122">K17/100</f>
        <v>1.7100000000000001E-2</v>
      </c>
      <c r="Q17" s="2917">
        <f t="shared" ref="Q17" si="123">L17/100</f>
        <v>1.43E-2</v>
      </c>
      <c r="R17" s="2901"/>
      <c r="S17" s="2910"/>
      <c r="T17" s="2911"/>
      <c r="U17" s="2911"/>
      <c r="V17" s="2911"/>
      <c r="X17" s="2885">
        <f>ROUND(SUMPRODUCT(PRODUCT(1+N17:N$32)),4)</f>
        <v>1.4698</v>
      </c>
      <c r="Y17" s="2885">
        <f>ROUND(SUMPRODUCT(PRODUCT(1+O17:O$32)),4)</f>
        <v>1.2982</v>
      </c>
      <c r="Z17" s="2885">
        <f t="shared" si="44"/>
        <v>1.2982</v>
      </c>
      <c r="AA17" s="2885">
        <f>ROUND(SUMPRODUCT(PRODUCT(1+P17:P$32)),4)</f>
        <v>1.5311999999999999</v>
      </c>
      <c r="AB17" s="2885">
        <f>ROUND(SUMPRODUCT(PRODUCT(1+Q17:Q$32)),4)</f>
        <v>1.2476</v>
      </c>
      <c r="AD17" s="2886">
        <f>ROUND(AVERAGE(I17:I$32)/100,4)</f>
        <v>2.4500000000000001E-2</v>
      </c>
      <c r="AE17" s="2886">
        <f>ROUND(AVERAGE(J17:J$32)/100,4)</f>
        <v>1.6500000000000001E-2</v>
      </c>
      <c r="AF17" s="2886">
        <f t="shared" si="1"/>
        <v>1.6500000000000001E-2</v>
      </c>
      <c r="AG17" s="2886">
        <f>ROUND(AVERAGE(K17:K$32)/100,4)</f>
        <v>2.7099999999999999E-2</v>
      </c>
      <c r="AH17" s="2886">
        <f>ROUND(AVERAGE(L17:L$32)/100,4)</f>
        <v>1.3899999999999999E-2</v>
      </c>
    </row>
    <row r="18" spans="1:34" s="2904" customFormat="1" ht="14.45" customHeight="1">
      <c r="A18" s="2897" t="s">
        <v>2931</v>
      </c>
      <c r="B18" s="2898">
        <f t="shared" ref="B18:C20" si="124">B19*(1+N18)</f>
        <v>431.80730811680002</v>
      </c>
      <c r="C18" s="2898">
        <f t="shared" si="124"/>
        <v>320.57880516480003</v>
      </c>
      <c r="D18" s="2898">
        <f t="shared" si="113"/>
        <v>320.57880516480003</v>
      </c>
      <c r="E18" s="2898">
        <f t="shared" ref="E18:F20" si="125">E19*(1+P18)</f>
        <v>615.96110553196797</v>
      </c>
      <c r="F18" s="2898">
        <f t="shared" si="125"/>
        <v>279.46777300108801</v>
      </c>
      <c r="G18" s="3535"/>
      <c r="H18" s="2899">
        <v>3</v>
      </c>
      <c r="I18" s="2899">
        <v>2.98</v>
      </c>
      <c r="J18" s="2899">
        <v>2.11</v>
      </c>
      <c r="K18" s="2899">
        <v>3.24</v>
      </c>
      <c r="L18" s="2905">
        <v>1.72</v>
      </c>
      <c r="M18" s="2885"/>
      <c r="N18" s="2900">
        <f t="shared" si="116"/>
        <v>2.98E-2</v>
      </c>
      <c r="O18" s="2918">
        <f t="shared" ref="O18:O19" si="126">J18/100</f>
        <v>2.1099999999999997E-2</v>
      </c>
      <c r="P18" s="2918">
        <f t="shared" ref="P18:P19" si="127">K18/100</f>
        <v>3.2400000000000005E-2</v>
      </c>
      <c r="Q18" s="2918">
        <f t="shared" ref="Q18:Q19" si="128">L18/100</f>
        <v>1.72E-2</v>
      </c>
      <c r="R18" s="2901"/>
      <c r="S18" s="2900"/>
      <c r="T18" s="2886"/>
      <c r="U18" s="2886"/>
      <c r="V18" s="2886"/>
      <c r="W18" s="2885"/>
      <c r="X18" s="2885">
        <f>ROUND(SUMPRODUCT(PRODUCT(1+N18:N$32)),4)</f>
        <v>1.4451000000000001</v>
      </c>
      <c r="Y18" s="2885">
        <f>ROUND(SUMPRODUCT(PRODUCT(1+O18:O$32)),4)</f>
        <v>1.2755000000000001</v>
      </c>
      <c r="Z18" s="2885">
        <f t="shared" si="44"/>
        <v>1.2755000000000001</v>
      </c>
      <c r="AA18" s="2885">
        <f>ROUND(SUMPRODUCT(PRODUCT(1+P18:P$32)),4)</f>
        <v>1.5055000000000001</v>
      </c>
      <c r="AB18" s="2885">
        <f>ROUND(SUMPRODUCT(PRODUCT(1+Q18:Q$32)),4)</f>
        <v>1.2301</v>
      </c>
      <c r="AC18" s="2885"/>
      <c r="AD18" s="2886">
        <f>ROUND(AVERAGE(I18:I$32)/100,4)</f>
        <v>2.4899999999999999E-2</v>
      </c>
      <c r="AE18" s="2886">
        <f>ROUND(AVERAGE(J18:J$32)/100,4)</f>
        <v>1.6400000000000001E-2</v>
      </c>
      <c r="AF18" s="2886">
        <f t="shared" si="1"/>
        <v>1.6400000000000001E-2</v>
      </c>
      <c r="AG18" s="2886">
        <f>ROUND(AVERAGE(K18:K$32)/100,4)</f>
        <v>2.7799999999999998E-2</v>
      </c>
      <c r="AH18" s="2886">
        <f>ROUND(AVERAGE(L18:L$32)/100,4)</f>
        <v>1.3899999999999999E-2</v>
      </c>
    </row>
    <row r="19" spans="1:34" s="2863" customFormat="1" ht="14.45" customHeight="1">
      <c r="A19" s="2897" t="s">
        <v>2561</v>
      </c>
      <c r="B19" s="2898">
        <f t="shared" si="124"/>
        <v>419.31181600000002</v>
      </c>
      <c r="C19" s="2898">
        <f t="shared" si="124"/>
        <v>313.95436800000004</v>
      </c>
      <c r="D19" s="2898">
        <f t="shared" si="113"/>
        <v>313.95436800000004</v>
      </c>
      <c r="E19" s="2898">
        <f t="shared" si="125"/>
        <v>596.63028431999999</v>
      </c>
      <c r="F19" s="2898">
        <f t="shared" si="125"/>
        <v>274.74220703999998</v>
      </c>
      <c r="G19" s="3535"/>
      <c r="H19" s="2912">
        <v>2</v>
      </c>
      <c r="I19" s="2912">
        <v>3.4</v>
      </c>
      <c r="J19" s="2912">
        <v>2</v>
      </c>
      <c r="K19" s="2912">
        <v>3.82</v>
      </c>
      <c r="L19" s="2913">
        <v>1.68</v>
      </c>
      <c r="N19" s="2900">
        <f t="shared" si="116"/>
        <v>3.4000000000000002E-2</v>
      </c>
      <c r="O19" s="2918">
        <f t="shared" si="126"/>
        <v>0.02</v>
      </c>
      <c r="P19" s="2918">
        <f t="shared" si="127"/>
        <v>3.8199999999999998E-2</v>
      </c>
      <c r="Q19" s="2918">
        <f t="shared" si="128"/>
        <v>1.6799999999999999E-2</v>
      </c>
      <c r="S19" s="2900"/>
      <c r="T19" s="2886"/>
      <c r="U19" s="2886"/>
      <c r="V19" s="2886"/>
      <c r="X19" s="2885">
        <f>ROUND(SUMPRODUCT(PRODUCT(1+N19:N$32)),4)</f>
        <v>1.4033</v>
      </c>
      <c r="Y19" s="2885">
        <f>ROUND(SUMPRODUCT(PRODUCT(1+O19:O$32)),4)</f>
        <v>1.2491000000000001</v>
      </c>
      <c r="Z19" s="2885">
        <f t="shared" si="44"/>
        <v>1.2491000000000001</v>
      </c>
      <c r="AA19" s="2885">
        <f>ROUND(SUMPRODUCT(PRODUCT(1+P19:P$32)),4)</f>
        <v>1.4581999999999999</v>
      </c>
      <c r="AB19" s="2885">
        <f>ROUND(SUMPRODUCT(PRODUCT(1+Q19:Q$32)),4)</f>
        <v>1.2093</v>
      </c>
      <c r="AD19" s="2886">
        <f>ROUND(AVERAGE(I19:I$32)/100,4)</f>
        <v>2.46E-2</v>
      </c>
      <c r="AE19" s="2886">
        <f>ROUND(AVERAGE(J19:J$32)/100,4)</f>
        <v>1.6E-2</v>
      </c>
      <c r="AF19" s="2886">
        <f t="shared" si="1"/>
        <v>1.6E-2</v>
      </c>
      <c r="AG19" s="2886">
        <f>ROUND(AVERAGE(K19:K$32)/100,4)</f>
        <v>2.75E-2</v>
      </c>
      <c r="AH19" s="2886">
        <f>ROUND(AVERAGE(L19:L$32)/100,4)</f>
        <v>1.37E-2</v>
      </c>
    </row>
    <row r="20" spans="1:34" s="2904" customFormat="1" ht="15" customHeight="1" thickBot="1">
      <c r="A20" s="2897" t="s">
        <v>2562</v>
      </c>
      <c r="B20" s="2898">
        <f t="shared" si="124"/>
        <v>405.524</v>
      </c>
      <c r="C20" s="2898">
        <f t="shared" si="124"/>
        <v>307.79840000000002</v>
      </c>
      <c r="D20" s="2898">
        <f t="shared" si="113"/>
        <v>307.79840000000002</v>
      </c>
      <c r="E20" s="2898">
        <f t="shared" si="125"/>
        <v>574.67759999999998</v>
      </c>
      <c r="F20" s="2898">
        <f t="shared" si="125"/>
        <v>270.20280000000002</v>
      </c>
      <c r="G20" s="3541"/>
      <c r="H20" s="2899">
        <v>1</v>
      </c>
      <c r="I20" s="2899">
        <v>3.45</v>
      </c>
      <c r="J20" s="2899">
        <v>1.92</v>
      </c>
      <c r="K20" s="2899">
        <v>3.92</v>
      </c>
      <c r="L20" s="2905">
        <v>1.58</v>
      </c>
      <c r="M20" s="2885"/>
      <c r="N20" s="2902">
        <f t="shared" si="116"/>
        <v>3.4500000000000003E-2</v>
      </c>
      <c r="O20" s="2903">
        <f t="shared" ref="O20" si="129">J20/100</f>
        <v>1.9199999999999998E-2</v>
      </c>
      <c r="P20" s="2903">
        <f t="shared" ref="P20" si="130">K20/100</f>
        <v>3.9199999999999999E-2</v>
      </c>
      <c r="Q20" s="2903">
        <f t="shared" ref="Q20" si="131">L20/100</f>
        <v>1.5800000000000002E-2</v>
      </c>
      <c r="R20" s="2901"/>
      <c r="S20" s="2902">
        <f>B20/B21-1</f>
        <v>3.4499999999999975E-2</v>
      </c>
      <c r="T20" s="2903">
        <f>C20/C21-1</f>
        <v>1.9200000000000106E-2</v>
      </c>
      <c r="U20" s="2903">
        <f>E20/E21-1</f>
        <v>3.9199999999999902E-2</v>
      </c>
      <c r="V20" s="2903">
        <f>F20/F21-1</f>
        <v>1.5800000000000036E-2</v>
      </c>
      <c r="W20" s="2885"/>
      <c r="X20" s="2885">
        <f>ROUND(SUMPRODUCT(PRODUCT(1+N20:N$32)),4)</f>
        <v>1.3571</v>
      </c>
      <c r="Y20" s="2885">
        <f>ROUND(SUMPRODUCT(PRODUCT(1+O20:O$32)),4)</f>
        <v>1.2245999999999999</v>
      </c>
      <c r="Z20" s="2885">
        <f t="shared" si="44"/>
        <v>1.2245999999999999</v>
      </c>
      <c r="AA20" s="2885">
        <f>ROUND(SUMPRODUCT(PRODUCT(1+P20:P$32)),4)</f>
        <v>1.4046000000000001</v>
      </c>
      <c r="AB20" s="2885">
        <f>ROUND(SUMPRODUCT(PRODUCT(1+Q20:Q$32)),4)</f>
        <v>1.1893</v>
      </c>
      <c r="AC20" s="2885"/>
      <c r="AD20" s="2886">
        <f>ROUND(AVERAGE(I20:I$32)/100,4)</f>
        <v>2.3900000000000001E-2</v>
      </c>
      <c r="AE20" s="2886">
        <f>ROUND(AVERAGE(J20:J$32)/100,4)</f>
        <v>1.5699999999999999E-2</v>
      </c>
      <c r="AF20" s="2886">
        <f t="shared" si="1"/>
        <v>1.5699999999999999E-2</v>
      </c>
      <c r="AG20" s="2886">
        <f>ROUND(AVERAGE(K20:K$32)/100,4)</f>
        <v>2.6599999999999999E-2</v>
      </c>
      <c r="AH20" s="2886">
        <f>ROUND(AVERAGE(L20:L$32)/100,4)</f>
        <v>1.34E-2</v>
      </c>
    </row>
    <row r="21" spans="1:34">
      <c r="A21" s="2897" t="s">
        <v>961</v>
      </c>
      <c r="B21" s="2919">
        <v>392</v>
      </c>
      <c r="C21" s="2919">
        <v>302</v>
      </c>
      <c r="D21" s="2919">
        <f t="shared" si="113"/>
        <v>302</v>
      </c>
      <c r="E21" s="2919">
        <v>553</v>
      </c>
      <c r="F21" s="2920">
        <v>266</v>
      </c>
      <c r="G21" s="3540">
        <v>2016</v>
      </c>
      <c r="H21" s="2906">
        <v>4</v>
      </c>
      <c r="I21" s="2906">
        <v>4.5599999999999996</v>
      </c>
      <c r="J21" s="2906">
        <v>2.15</v>
      </c>
      <c r="K21" s="2906">
        <v>5.32</v>
      </c>
      <c r="L21" s="2907">
        <v>1.57</v>
      </c>
      <c r="N21" s="2900">
        <f t="shared" si="116"/>
        <v>4.5599999999999995E-2</v>
      </c>
      <c r="O21" s="2886">
        <f t="shared" ref="O21:Q36" si="132">J21/100</f>
        <v>2.1499999999999998E-2</v>
      </c>
      <c r="P21" s="2886">
        <f t="shared" si="132"/>
        <v>5.3200000000000004E-2</v>
      </c>
      <c r="Q21" s="2886">
        <f t="shared" si="132"/>
        <v>1.5700000000000002E-2</v>
      </c>
      <c r="R21" s="2901"/>
      <c r="S21" s="2910"/>
      <c r="T21" s="2911"/>
      <c r="U21" s="2911"/>
      <c r="V21" s="2911"/>
      <c r="X21" s="2885">
        <f>ROUND(SUMPRODUCT(PRODUCT(1+N21:N$32)),4)</f>
        <v>1.3119000000000001</v>
      </c>
      <c r="Y21" s="2885">
        <f>ROUND(SUMPRODUCT(PRODUCT(1+O21:O$32)),4)</f>
        <v>1.2016</v>
      </c>
      <c r="Z21" s="2885">
        <f t="shared" si="44"/>
        <v>1.2016</v>
      </c>
      <c r="AA21" s="2885">
        <f>ROUND(SUMPRODUCT(PRODUCT(1+P21:P$32)),4)</f>
        <v>1.3515999999999999</v>
      </c>
      <c r="AB21" s="2885">
        <f>ROUND(SUMPRODUCT(PRODUCT(1+Q21:Q$32)),4)</f>
        <v>1.1708000000000001</v>
      </c>
      <c r="AD21" s="2886">
        <f>ROUND(AVERAGE(I21:I$32)/100,4)</f>
        <v>2.3E-2</v>
      </c>
      <c r="AE21" s="2886">
        <f>ROUND(AVERAGE(J21:J$32)/100,4)</f>
        <v>1.55E-2</v>
      </c>
      <c r="AF21" s="2886">
        <f t="shared" si="1"/>
        <v>1.55E-2</v>
      </c>
      <c r="AG21" s="2886">
        <f>ROUND(AVERAGE(K21:K$32)/100,4)</f>
        <v>2.5600000000000001E-2</v>
      </c>
      <c r="AH21" s="2886">
        <f>ROUND(AVERAGE(L21:L$32)/100,4)</f>
        <v>1.32E-2</v>
      </c>
    </row>
    <row r="22" spans="1:34">
      <c r="A22" s="2897" t="s">
        <v>960</v>
      </c>
      <c r="B22" s="2898">
        <f t="shared" ref="B22:C24" si="133">B21/(1+N21)</f>
        <v>374.90436113236416</v>
      </c>
      <c r="C22" s="2898">
        <f t="shared" si="133"/>
        <v>295.64366128242779</v>
      </c>
      <c r="D22" s="2898">
        <f t="shared" ref="D22:D81" si="134">C22</f>
        <v>295.64366128242779</v>
      </c>
      <c r="E22" s="2898">
        <f t="shared" ref="E22:F24" si="135">E21/(1+P21)</f>
        <v>525.06646410938095</v>
      </c>
      <c r="F22" s="2898">
        <f t="shared" si="135"/>
        <v>261.88835286009646</v>
      </c>
      <c r="G22" s="3535"/>
      <c r="H22" s="2899">
        <v>3</v>
      </c>
      <c r="I22" s="2899">
        <v>4.12</v>
      </c>
      <c r="J22" s="2899">
        <v>2</v>
      </c>
      <c r="K22" s="2899">
        <v>4.79</v>
      </c>
      <c r="L22" s="2905">
        <v>1.97</v>
      </c>
      <c r="N22" s="2900">
        <f t="shared" ref="N22:Q56" si="136">I22/100</f>
        <v>4.1200000000000001E-2</v>
      </c>
      <c r="O22" s="2886">
        <f t="shared" si="132"/>
        <v>0.02</v>
      </c>
      <c r="P22" s="2886">
        <f t="shared" si="132"/>
        <v>4.7899999999999998E-2</v>
      </c>
      <c r="Q22" s="2886">
        <f t="shared" si="132"/>
        <v>1.9699999999999999E-2</v>
      </c>
      <c r="R22" s="2901"/>
      <c r="S22" s="2900"/>
      <c r="T22" s="2886"/>
      <c r="U22" s="2886"/>
      <c r="V22" s="2886"/>
      <c r="X22" s="2885">
        <f>ROUND(SUMPRODUCT(PRODUCT(1+N22:N$32)),4)</f>
        <v>1.2546999999999999</v>
      </c>
      <c r="Y22" s="2885">
        <f>ROUND(SUMPRODUCT(PRODUCT(1+O22:O$32)),4)</f>
        <v>1.1762999999999999</v>
      </c>
      <c r="Z22" s="2885">
        <f t="shared" si="44"/>
        <v>1.1762999999999999</v>
      </c>
      <c r="AA22" s="2885">
        <f>ROUND(SUMPRODUCT(PRODUCT(1+P22:P$32)),4)</f>
        <v>1.2833000000000001</v>
      </c>
      <c r="AB22" s="2885">
        <f>ROUND(SUMPRODUCT(PRODUCT(1+Q22:Q$32)),4)</f>
        <v>1.1527000000000001</v>
      </c>
      <c r="AD22" s="2886">
        <f>ROUND(AVERAGE(I22:I$32)/100,4)</f>
        <v>2.0899999999999998E-2</v>
      </c>
      <c r="AE22" s="2886">
        <f>ROUND(AVERAGE(J22:J$32)/100,4)</f>
        <v>1.49E-2</v>
      </c>
      <c r="AF22" s="2886">
        <f t="shared" si="1"/>
        <v>1.49E-2</v>
      </c>
      <c r="AG22" s="2886">
        <f>ROUND(AVERAGE(K22:K$32)/100,4)</f>
        <v>2.3099999999999999E-2</v>
      </c>
      <c r="AH22" s="2886">
        <f>ROUND(AVERAGE(L22:L$32)/100,4)</f>
        <v>1.2999999999999999E-2</v>
      </c>
    </row>
    <row r="23" spans="1:34">
      <c r="A23" s="2897" t="s">
        <v>950</v>
      </c>
      <c r="B23" s="2898">
        <f t="shared" si="133"/>
        <v>360.06949782209392</v>
      </c>
      <c r="C23" s="2898">
        <f t="shared" si="133"/>
        <v>289.84672674747821</v>
      </c>
      <c r="D23" s="2898">
        <f t="shared" si="134"/>
        <v>289.84672674747821</v>
      </c>
      <c r="E23" s="2898">
        <f t="shared" si="135"/>
        <v>501.06543001181495</v>
      </c>
      <c r="F23" s="2898">
        <f t="shared" si="135"/>
        <v>256.82882500744967</v>
      </c>
      <c r="G23" s="3535"/>
      <c r="H23" s="2912">
        <v>2</v>
      </c>
      <c r="I23" s="2912">
        <v>3.85</v>
      </c>
      <c r="J23" s="2912">
        <v>1.95</v>
      </c>
      <c r="K23" s="2912">
        <v>4.4800000000000004</v>
      </c>
      <c r="L23" s="2913">
        <v>1.41</v>
      </c>
      <c r="N23" s="2900">
        <f t="shared" si="136"/>
        <v>3.85E-2</v>
      </c>
      <c r="O23" s="2886">
        <f t="shared" si="132"/>
        <v>1.95E-2</v>
      </c>
      <c r="P23" s="2886">
        <f t="shared" si="132"/>
        <v>4.4800000000000006E-2</v>
      </c>
      <c r="Q23" s="2886">
        <f t="shared" si="132"/>
        <v>1.41E-2</v>
      </c>
      <c r="R23" s="2901"/>
      <c r="S23" s="2900"/>
      <c r="T23" s="2886"/>
      <c r="U23" s="2886"/>
      <c r="V23" s="2886"/>
      <c r="X23" s="2885">
        <f>ROUND(SUMPRODUCT(PRODUCT(1+N23:N$32)),4)</f>
        <v>1.2050000000000001</v>
      </c>
      <c r="Y23" s="2885">
        <f>ROUND(SUMPRODUCT(PRODUCT(1+O23:O$32)),4)</f>
        <v>1.1532</v>
      </c>
      <c r="Z23" s="2885">
        <f t="shared" si="44"/>
        <v>1.1532</v>
      </c>
      <c r="AA23" s="2885">
        <f>ROUND(SUMPRODUCT(PRODUCT(1+P23:P$32)),4)</f>
        <v>1.2246999999999999</v>
      </c>
      <c r="AB23" s="2885">
        <f>ROUND(SUMPRODUCT(PRODUCT(1+Q23:Q$32)),4)</f>
        <v>1.1304000000000001</v>
      </c>
      <c r="AD23" s="2886">
        <f>ROUND(AVERAGE(I23:I$32)/100,4)</f>
        <v>1.89E-2</v>
      </c>
      <c r="AE23" s="2886">
        <f>ROUND(AVERAGE(J23:J$32)/100,4)</f>
        <v>1.44E-2</v>
      </c>
      <c r="AF23" s="2886">
        <f t="shared" si="1"/>
        <v>1.44E-2</v>
      </c>
      <c r="AG23" s="2886">
        <f>ROUND(AVERAGE(K23:K$32)/100,4)</f>
        <v>2.06E-2</v>
      </c>
      <c r="AH23" s="2886">
        <f>ROUND(AVERAGE(L23:L$32)/100,4)</f>
        <v>1.23E-2</v>
      </c>
    </row>
    <row r="24" spans="1:34" ht="13.5" thickBot="1">
      <c r="A24" s="2897" t="s">
        <v>959</v>
      </c>
      <c r="B24" s="2898">
        <f t="shared" si="133"/>
        <v>346.720748986128</v>
      </c>
      <c r="C24" s="2898">
        <f t="shared" si="133"/>
        <v>284.30282172386285</v>
      </c>
      <c r="D24" s="2898">
        <f t="shared" si="134"/>
        <v>284.30282172386285</v>
      </c>
      <c r="E24" s="2898">
        <f t="shared" si="135"/>
        <v>479.58023546306947</v>
      </c>
      <c r="F24" s="2898">
        <f t="shared" si="135"/>
        <v>253.25788877571213</v>
      </c>
      <c r="G24" s="3536"/>
      <c r="H24" s="2899">
        <v>1</v>
      </c>
      <c r="I24" s="2899">
        <v>4.09</v>
      </c>
      <c r="J24" s="2899">
        <v>2.93</v>
      </c>
      <c r="K24" s="2899">
        <v>4.54</v>
      </c>
      <c r="L24" s="2905">
        <v>1.48</v>
      </c>
      <c r="N24" s="2900">
        <f t="shared" si="136"/>
        <v>4.0899999999999999E-2</v>
      </c>
      <c r="O24" s="2886">
        <f t="shared" si="132"/>
        <v>2.9300000000000003E-2</v>
      </c>
      <c r="P24" s="2886">
        <f t="shared" si="132"/>
        <v>4.5400000000000003E-2</v>
      </c>
      <c r="Q24" s="2886">
        <f t="shared" si="132"/>
        <v>1.4800000000000001E-2</v>
      </c>
      <c r="R24" s="2901"/>
      <c r="S24" s="2902">
        <f>B24/B25-1</f>
        <v>4.1203450408792808E-2</v>
      </c>
      <c r="T24" s="2903">
        <f>C24/C25-1</f>
        <v>2.6363977342465095E-2</v>
      </c>
      <c r="U24" s="2903">
        <f>E24/E25-1</f>
        <v>4.4837114298626357E-2</v>
      </c>
      <c r="V24" s="2903">
        <f>F24/F25-1</f>
        <v>1.7099954922538574E-2</v>
      </c>
      <c r="X24" s="2885">
        <f>ROUND(SUMPRODUCT(PRODUCT(1+N24:N$32)),4)</f>
        <v>1.1604000000000001</v>
      </c>
      <c r="Y24" s="2885">
        <f>ROUND(SUMPRODUCT(PRODUCT(1+O24:O$32)),4)</f>
        <v>1.1312</v>
      </c>
      <c r="Z24" s="2885">
        <f t="shared" si="44"/>
        <v>1.1312</v>
      </c>
      <c r="AA24" s="2885">
        <f>ROUND(SUMPRODUCT(PRODUCT(1+P24:P$32)),4)</f>
        <v>1.1721999999999999</v>
      </c>
      <c r="AB24" s="2885">
        <f>ROUND(SUMPRODUCT(PRODUCT(1+Q24:Q$32)),4)</f>
        <v>1.1147</v>
      </c>
      <c r="AD24" s="2886">
        <f>ROUND(AVERAGE(I24:I$32)/100,4)</f>
        <v>1.67E-2</v>
      </c>
      <c r="AE24" s="2886">
        <f>ROUND(AVERAGE(J24:J$32)/100,4)</f>
        <v>1.38E-2</v>
      </c>
      <c r="AF24" s="2886">
        <f t="shared" si="1"/>
        <v>1.38E-2</v>
      </c>
      <c r="AG24" s="2886">
        <f>ROUND(AVERAGE(K24:K$32)/100,4)</f>
        <v>1.7899999999999999E-2</v>
      </c>
      <c r="AH24" s="2886">
        <f>ROUND(AVERAGE(L24:L$32)/100,4)</f>
        <v>1.21E-2</v>
      </c>
    </row>
    <row r="25" spans="1:34" ht="13.5" thickBot="1">
      <c r="A25" s="2897" t="s">
        <v>958</v>
      </c>
      <c r="B25" s="2919">
        <v>333</v>
      </c>
      <c r="C25" s="2919">
        <v>277</v>
      </c>
      <c r="D25" s="2919">
        <f t="shared" si="134"/>
        <v>277</v>
      </c>
      <c r="E25" s="2919">
        <v>459</v>
      </c>
      <c r="F25" s="2920">
        <v>249</v>
      </c>
      <c r="G25" s="3534">
        <v>2015</v>
      </c>
      <c r="H25" s="2921">
        <v>4</v>
      </c>
      <c r="I25" s="2921">
        <v>1.63</v>
      </c>
      <c r="J25" s="2921">
        <v>1.1100000000000001</v>
      </c>
      <c r="K25" s="2921">
        <v>1.77</v>
      </c>
      <c r="L25" s="2922">
        <v>1.89</v>
      </c>
      <c r="N25" s="2916">
        <f t="shared" si="136"/>
        <v>1.6299999999999999E-2</v>
      </c>
      <c r="O25" s="2917">
        <f t="shared" si="132"/>
        <v>1.11E-2</v>
      </c>
      <c r="P25" s="2917">
        <f t="shared" si="132"/>
        <v>1.77E-2</v>
      </c>
      <c r="Q25" s="2917">
        <f t="shared" si="132"/>
        <v>1.89E-2</v>
      </c>
      <c r="R25" s="2901"/>
      <c r="X25" s="2885">
        <f>ROUND(SUMPRODUCT(PRODUCT(1+N25:N$32)),4)</f>
        <v>1.1148</v>
      </c>
      <c r="Y25" s="2885">
        <f>ROUND(SUMPRODUCT(PRODUCT(1+O25:O$32)),4)</f>
        <v>1.099</v>
      </c>
      <c r="Z25" s="2885">
        <f t="shared" si="44"/>
        <v>1.099</v>
      </c>
      <c r="AA25" s="2885">
        <f>ROUND(SUMPRODUCT(PRODUCT(1+P25:P$32)),4)</f>
        <v>1.1213</v>
      </c>
      <c r="AB25" s="2885">
        <f>ROUND(SUMPRODUCT(PRODUCT(1+Q25:Q$32)),4)</f>
        <v>1.0984</v>
      </c>
      <c r="AD25" s="2886">
        <f>ROUND(AVERAGE(I25:I$32)/100,4)</f>
        <v>1.37E-2</v>
      </c>
      <c r="AE25" s="2886">
        <f>ROUND(AVERAGE(J25:J$32)/100,4)</f>
        <v>1.1900000000000001E-2</v>
      </c>
      <c r="AF25" s="2886">
        <f t="shared" si="1"/>
        <v>1.1900000000000001E-2</v>
      </c>
      <c r="AG25" s="2886">
        <f>ROUND(AVERAGE(K25:K$32)/100,4)</f>
        <v>1.4500000000000001E-2</v>
      </c>
      <c r="AH25" s="2886">
        <f>ROUND(AVERAGE(L25:L$32)/100,4)</f>
        <v>1.18E-2</v>
      </c>
    </row>
    <row r="26" spans="1:34">
      <c r="A26" s="2897" t="s">
        <v>957</v>
      </c>
      <c r="B26" s="2898">
        <f t="shared" ref="B26:C28" si="137">B25/(1+N25)</f>
        <v>327.65915576109415</v>
      </c>
      <c r="C26" s="2898">
        <f t="shared" si="137"/>
        <v>273.95905449510434</v>
      </c>
      <c r="D26" s="2898">
        <f t="shared" si="134"/>
        <v>273.95905449510434</v>
      </c>
      <c r="E26" s="2898">
        <f t="shared" ref="E26:F28" si="138">E25/(1+P25)</f>
        <v>451.01699911565294</v>
      </c>
      <c r="F26" s="2898">
        <f t="shared" si="138"/>
        <v>244.38119540681129</v>
      </c>
      <c r="G26" s="3535"/>
      <c r="H26" s="2924">
        <v>3</v>
      </c>
      <c r="I26" s="2924">
        <v>1.65</v>
      </c>
      <c r="J26" s="2924">
        <v>0.92</v>
      </c>
      <c r="K26" s="2924">
        <v>1.88</v>
      </c>
      <c r="L26" s="2925">
        <v>1.26</v>
      </c>
      <c r="N26" s="2900">
        <f t="shared" si="136"/>
        <v>1.6500000000000001E-2</v>
      </c>
      <c r="O26" s="2918">
        <f t="shared" si="132"/>
        <v>9.1999999999999998E-3</v>
      </c>
      <c r="P26" s="2918">
        <f t="shared" si="132"/>
        <v>1.8799999999999997E-2</v>
      </c>
      <c r="Q26" s="2918">
        <f t="shared" si="132"/>
        <v>1.26E-2</v>
      </c>
      <c r="R26" s="2901"/>
      <c r="S26" s="2900"/>
      <c r="T26" s="2886"/>
      <c r="U26" s="2886"/>
      <c r="V26" s="2886"/>
      <c r="X26" s="2885">
        <f>ROUND(SUMPRODUCT(PRODUCT(1+N26:N$32)),4)</f>
        <v>1.0969</v>
      </c>
      <c r="Y26" s="2885">
        <f>ROUND(SUMPRODUCT(PRODUCT(1+O26:O$32)),4)</f>
        <v>1.0869</v>
      </c>
      <c r="Z26" s="2885">
        <f t="shared" si="44"/>
        <v>1.0869</v>
      </c>
      <c r="AA26" s="2885">
        <f>ROUND(SUMPRODUCT(PRODUCT(1+P26:P$32)),4)</f>
        <v>1.1017999999999999</v>
      </c>
      <c r="AB26" s="2885">
        <f>ROUND(SUMPRODUCT(PRODUCT(1+Q26:Q$32)),4)</f>
        <v>1.0781000000000001</v>
      </c>
      <c r="AD26" s="2886">
        <f>ROUND(AVERAGE(I26:I$32)/100,4)</f>
        <v>1.3299999999999999E-2</v>
      </c>
      <c r="AE26" s="2886">
        <f>ROUND(AVERAGE(J26:J$32)/100,4)</f>
        <v>1.2E-2</v>
      </c>
      <c r="AF26" s="2886">
        <f t="shared" si="1"/>
        <v>1.2E-2</v>
      </c>
      <c r="AG26" s="2886">
        <f>ROUND(AVERAGE(K26:K$32)/100,4)</f>
        <v>1.4E-2</v>
      </c>
      <c r="AH26" s="2886">
        <f>ROUND(AVERAGE(L26:L$32)/100,4)</f>
        <v>1.0800000000000001E-2</v>
      </c>
    </row>
    <row r="27" spans="1:34">
      <c r="A27" s="2897" t="s">
        <v>956</v>
      </c>
      <c r="B27" s="2898">
        <f t="shared" si="137"/>
        <v>322.34053690220776</v>
      </c>
      <c r="C27" s="2898">
        <f t="shared" si="137"/>
        <v>271.46160770422546</v>
      </c>
      <c r="D27" s="2898">
        <f t="shared" si="134"/>
        <v>271.46160770422546</v>
      </c>
      <c r="E27" s="2898">
        <f t="shared" si="138"/>
        <v>442.69434542172456</v>
      </c>
      <c r="F27" s="2898">
        <f t="shared" si="138"/>
        <v>241.34030753190925</v>
      </c>
      <c r="G27" s="3535"/>
      <c r="H27" s="2912">
        <v>2</v>
      </c>
      <c r="I27" s="2912">
        <v>0.77</v>
      </c>
      <c r="J27" s="2912">
        <v>0.69</v>
      </c>
      <c r="K27" s="2912">
        <v>0.8</v>
      </c>
      <c r="L27" s="2913">
        <v>0.88</v>
      </c>
      <c r="N27" s="2900">
        <f t="shared" si="136"/>
        <v>7.7000000000000002E-3</v>
      </c>
      <c r="O27" s="2918">
        <f t="shared" si="132"/>
        <v>6.8999999999999999E-3</v>
      </c>
      <c r="P27" s="2918">
        <f t="shared" si="132"/>
        <v>8.0000000000000002E-3</v>
      </c>
      <c r="Q27" s="2918">
        <f t="shared" si="132"/>
        <v>8.8000000000000005E-3</v>
      </c>
      <c r="R27" s="2901"/>
      <c r="S27" s="2900"/>
      <c r="T27" s="2886"/>
      <c r="U27" s="2886"/>
      <c r="V27" s="2886"/>
      <c r="X27" s="2885">
        <f>ROUND(SUMPRODUCT(PRODUCT(1+N27:N$32)),4)</f>
        <v>1.0790999999999999</v>
      </c>
      <c r="Y27" s="2885">
        <f>ROUND(SUMPRODUCT(PRODUCT(1+O27:O$32)),4)</f>
        <v>1.077</v>
      </c>
      <c r="Z27" s="2885">
        <f t="shared" si="44"/>
        <v>1.077</v>
      </c>
      <c r="AA27" s="2885">
        <f>ROUND(SUMPRODUCT(PRODUCT(1+P27:P$32)),4)</f>
        <v>1.0813999999999999</v>
      </c>
      <c r="AB27" s="2885">
        <f>ROUND(SUMPRODUCT(PRODUCT(1+Q27:Q$32)),4)</f>
        <v>1.0647</v>
      </c>
      <c r="AD27" s="2886">
        <f>ROUND(AVERAGE(I27:I$32)/100,4)</f>
        <v>1.2800000000000001E-2</v>
      </c>
      <c r="AE27" s="2886">
        <f>ROUND(AVERAGE(J27:J$32)/100,4)</f>
        <v>1.2500000000000001E-2</v>
      </c>
      <c r="AF27" s="2886">
        <f t="shared" si="1"/>
        <v>1.2500000000000001E-2</v>
      </c>
      <c r="AG27" s="2886">
        <f>ROUND(AVERAGE(K27:K$32)/100,4)</f>
        <v>1.32E-2</v>
      </c>
      <c r="AH27" s="2886">
        <f>ROUND(AVERAGE(L27:L$32)/100,4)</f>
        <v>1.0500000000000001E-2</v>
      </c>
    </row>
    <row r="28" spans="1:34">
      <c r="A28" s="2897" t="s">
        <v>955</v>
      </c>
      <c r="B28" s="2898">
        <f t="shared" si="137"/>
        <v>319.87748030386797</v>
      </c>
      <c r="C28" s="2898">
        <f t="shared" si="137"/>
        <v>269.60135833173649</v>
      </c>
      <c r="D28" s="2898">
        <f t="shared" si="134"/>
        <v>269.60135833173649</v>
      </c>
      <c r="E28" s="2898">
        <f t="shared" si="138"/>
        <v>439.18089823583784</v>
      </c>
      <c r="F28" s="2898">
        <f t="shared" si="138"/>
        <v>239.23503918706311</v>
      </c>
      <c r="G28" s="3536"/>
      <c r="H28" s="2899">
        <v>1</v>
      </c>
      <c r="I28" s="2899">
        <v>0.51</v>
      </c>
      <c r="J28" s="2899">
        <v>0.54</v>
      </c>
      <c r="K28" s="2899">
        <v>0.48</v>
      </c>
      <c r="L28" s="2905">
        <v>0.93</v>
      </c>
      <c r="N28" s="2902">
        <f t="shared" si="136"/>
        <v>5.1000000000000004E-3</v>
      </c>
      <c r="O28" s="2903">
        <f t="shared" si="132"/>
        <v>5.4000000000000003E-3</v>
      </c>
      <c r="P28" s="2903">
        <f t="shared" si="132"/>
        <v>4.7999999999999996E-3</v>
      </c>
      <c r="Q28" s="2903">
        <f t="shared" si="132"/>
        <v>9.300000000000001E-3</v>
      </c>
      <c r="R28" s="2901"/>
      <c r="S28" s="2902">
        <f>B28/B29-1</f>
        <v>5.9040261127922822E-3</v>
      </c>
      <c r="T28" s="2903">
        <f>C28/C29-1</f>
        <v>5.9752176557332781E-3</v>
      </c>
      <c r="U28" s="2903">
        <f>E28/E29-1</f>
        <v>4.9906138119859556E-3</v>
      </c>
      <c r="V28" s="2903">
        <f>F28/F29-1</f>
        <v>9.4305450930933787E-3</v>
      </c>
      <c r="X28" s="2885">
        <f>ROUND(SUMPRODUCT(PRODUCT(1+N28:N$32)),4)</f>
        <v>1.0708</v>
      </c>
      <c r="Y28" s="2885">
        <f>ROUND(SUMPRODUCT(PRODUCT(1+O28:O$32)),4)</f>
        <v>1.0696000000000001</v>
      </c>
      <c r="Z28" s="2885">
        <f t="shared" si="44"/>
        <v>1.0696000000000001</v>
      </c>
      <c r="AA28" s="2885">
        <f>ROUND(SUMPRODUCT(PRODUCT(1+P28:P$32)),4)</f>
        <v>1.0728</v>
      </c>
      <c r="AB28" s="2885">
        <f>ROUND(SUMPRODUCT(PRODUCT(1+Q28:Q$32)),4)</f>
        <v>1.0553999999999999</v>
      </c>
      <c r="AD28" s="2886">
        <f>ROUND(AVERAGE(I28:I$32)/100,4)</f>
        <v>1.38E-2</v>
      </c>
      <c r="AE28" s="2886">
        <f>ROUND(AVERAGE(J28:J$32)/100,4)</f>
        <v>1.3599999999999999E-2</v>
      </c>
      <c r="AF28" s="2886">
        <f t="shared" si="1"/>
        <v>1.3599999999999999E-2</v>
      </c>
      <c r="AG28" s="2886">
        <f>ROUND(AVERAGE(K28:K$32)/100,4)</f>
        <v>1.4200000000000001E-2</v>
      </c>
      <c r="AH28" s="2886">
        <f>ROUND(AVERAGE(L28:L$32)/100,4)</f>
        <v>1.0800000000000001E-2</v>
      </c>
    </row>
    <row r="29" spans="1:34" ht="13.5" thickBot="1">
      <c r="A29" s="2897" t="s">
        <v>954</v>
      </c>
      <c r="B29" s="2926">
        <v>318</v>
      </c>
      <c r="C29" s="2926">
        <v>268</v>
      </c>
      <c r="D29" s="2926">
        <f t="shared" si="134"/>
        <v>268</v>
      </c>
      <c r="E29" s="2926">
        <v>437</v>
      </c>
      <c r="F29" s="2927">
        <v>237</v>
      </c>
      <c r="G29" s="3534">
        <v>2014</v>
      </c>
      <c r="H29" s="2921">
        <v>4</v>
      </c>
      <c r="I29" s="2921">
        <v>0.21</v>
      </c>
      <c r="J29" s="2921">
        <v>0.41</v>
      </c>
      <c r="K29" s="2921">
        <v>0.12</v>
      </c>
      <c r="L29" s="2922">
        <v>0.89</v>
      </c>
      <c r="N29" s="2900">
        <f t="shared" si="136"/>
        <v>2.0999999999999999E-3</v>
      </c>
      <c r="O29" s="2886">
        <f t="shared" si="132"/>
        <v>4.0999999999999995E-3</v>
      </c>
      <c r="P29" s="2886">
        <f t="shared" si="132"/>
        <v>1.1999999999999999E-3</v>
      </c>
      <c r="Q29" s="2886">
        <f t="shared" si="132"/>
        <v>8.8999999999999999E-3</v>
      </c>
      <c r="R29" s="2901"/>
      <c r="S29" s="2910"/>
      <c r="T29" s="2911"/>
      <c r="U29" s="2911"/>
      <c r="V29" s="2911"/>
      <c r="X29" s="2885">
        <f>ROUND(SUMPRODUCT(PRODUCT(1+N29:N$32)),4)</f>
        <v>1.0653999999999999</v>
      </c>
      <c r="Y29" s="2885">
        <f>ROUND(SUMPRODUCT(PRODUCT(1+O29:O$32)),4)</f>
        <v>1.0639000000000001</v>
      </c>
      <c r="Z29" s="2885">
        <f t="shared" si="44"/>
        <v>1.0639000000000001</v>
      </c>
      <c r="AA29" s="2885">
        <f>ROUND(SUMPRODUCT(PRODUCT(1+P29:P$32)),4)</f>
        <v>1.0677000000000001</v>
      </c>
      <c r="AB29" s="2885">
        <f>ROUND(SUMPRODUCT(PRODUCT(1+Q29:Q$32)),4)</f>
        <v>1.0456000000000001</v>
      </c>
      <c r="AD29" s="2886">
        <f>ROUND(AVERAGE(I29:I$32)/100,4)</f>
        <v>1.6E-2</v>
      </c>
      <c r="AE29" s="2886">
        <f>ROUND(AVERAGE(J29:J$32)/100,4)</f>
        <v>1.5599999999999999E-2</v>
      </c>
      <c r="AF29" s="2886">
        <f t="shared" si="1"/>
        <v>1.5599999999999999E-2</v>
      </c>
      <c r="AG29" s="2886">
        <f>ROUND(AVERAGE(K29:K$32)/100,4)</f>
        <v>1.66E-2</v>
      </c>
      <c r="AH29" s="2886">
        <f>ROUND(AVERAGE(L29:L$32)/100,4)</f>
        <v>1.12E-2</v>
      </c>
    </row>
    <row r="30" spans="1:34">
      <c r="A30" s="2897" t="s">
        <v>953</v>
      </c>
      <c r="B30" s="2898">
        <f t="shared" ref="B30:C32" si="139">B29/(1+N29)</f>
        <v>317.33359944117353</v>
      </c>
      <c r="C30" s="2898">
        <f t="shared" si="139"/>
        <v>266.90568668459315</v>
      </c>
      <c r="D30" s="2898">
        <f t="shared" si="134"/>
        <v>266.90568668459315</v>
      </c>
      <c r="E30" s="2898">
        <f t="shared" ref="E30:F32" si="140">E29/(1+P29)</f>
        <v>436.47622852576905</v>
      </c>
      <c r="F30" s="2898">
        <f t="shared" si="140"/>
        <v>234.90930716622066</v>
      </c>
      <c r="G30" s="3535"/>
      <c r="H30" s="2928">
        <v>3</v>
      </c>
      <c r="I30" s="2928">
        <v>0.83</v>
      </c>
      <c r="J30" s="2928">
        <v>1.47</v>
      </c>
      <c r="K30" s="2928">
        <v>0.65</v>
      </c>
      <c r="L30" s="2929">
        <v>0.72</v>
      </c>
      <c r="N30" s="2900">
        <f t="shared" si="136"/>
        <v>8.3000000000000001E-3</v>
      </c>
      <c r="O30" s="2886">
        <f t="shared" si="132"/>
        <v>1.47E-2</v>
      </c>
      <c r="P30" s="2886">
        <f t="shared" si="132"/>
        <v>6.5000000000000006E-3</v>
      </c>
      <c r="Q30" s="2886">
        <f t="shared" si="132"/>
        <v>7.1999999999999998E-3</v>
      </c>
      <c r="R30" s="2901"/>
      <c r="S30" s="2900"/>
      <c r="T30" s="2886"/>
      <c r="U30" s="2886"/>
      <c r="V30" s="2886"/>
      <c r="X30" s="2885">
        <f>ROUND(SUMPRODUCT(PRODUCT(1+N30:N$32)),4)</f>
        <v>1.0631999999999999</v>
      </c>
      <c r="Y30" s="2885">
        <f>ROUND(SUMPRODUCT(PRODUCT(1+O30:O$32)),4)</f>
        <v>1.0595000000000001</v>
      </c>
      <c r="Z30" s="2885">
        <f t="shared" si="44"/>
        <v>1.0595000000000001</v>
      </c>
      <c r="AA30" s="2885">
        <f>ROUND(SUMPRODUCT(PRODUCT(1+P30:P$32)),4)</f>
        <v>1.0664</v>
      </c>
      <c r="AB30" s="2885">
        <f>ROUND(SUMPRODUCT(PRODUCT(1+Q30:Q$32)),4)</f>
        <v>1.0364</v>
      </c>
      <c r="AD30" s="2886">
        <f>ROUND(AVERAGE(I30:I$32)/100,4)</f>
        <v>2.07E-2</v>
      </c>
      <c r="AE30" s="2886">
        <f>ROUND(AVERAGE(J30:J$32)/100,4)</f>
        <v>1.95E-2</v>
      </c>
      <c r="AF30" s="2886">
        <f t="shared" si="1"/>
        <v>1.95E-2</v>
      </c>
      <c r="AG30" s="2886">
        <f>ROUND(AVERAGE(K30:K$32)/100,4)</f>
        <v>2.1700000000000001E-2</v>
      </c>
      <c r="AH30" s="2886">
        <f>ROUND(AVERAGE(L30:L$32)/100,4)</f>
        <v>1.2E-2</v>
      </c>
    </row>
    <row r="31" spans="1:34" ht="13.5" thickBot="1">
      <c r="A31" s="2897" t="s">
        <v>952</v>
      </c>
      <c r="B31" s="2898">
        <f t="shared" si="139"/>
        <v>314.72141172386546</v>
      </c>
      <c r="C31" s="2898">
        <f t="shared" si="139"/>
        <v>263.03901319069001</v>
      </c>
      <c r="D31" s="2898">
        <f t="shared" si="134"/>
        <v>263.03901319069001</v>
      </c>
      <c r="E31" s="2898">
        <f t="shared" si="140"/>
        <v>433.65745506782821</v>
      </c>
      <c r="F31" s="2898">
        <f t="shared" si="140"/>
        <v>233.23005080045735</v>
      </c>
      <c r="G31" s="3535"/>
      <c r="H31" s="2921">
        <v>2</v>
      </c>
      <c r="I31" s="2921">
        <v>2.4</v>
      </c>
      <c r="J31" s="2921">
        <v>2.0299999999999998</v>
      </c>
      <c r="K31" s="2921">
        <v>2.59</v>
      </c>
      <c r="L31" s="2922">
        <v>1.52</v>
      </c>
      <c r="N31" s="2900">
        <f t="shared" si="136"/>
        <v>2.4E-2</v>
      </c>
      <c r="O31" s="2886">
        <f t="shared" si="132"/>
        <v>2.0299999999999999E-2</v>
      </c>
      <c r="P31" s="2886">
        <f t="shared" si="132"/>
        <v>2.5899999999999999E-2</v>
      </c>
      <c r="Q31" s="2886">
        <f t="shared" si="132"/>
        <v>1.52E-2</v>
      </c>
      <c r="R31" s="2901"/>
      <c r="S31" s="2900"/>
      <c r="T31" s="2886"/>
      <c r="U31" s="2886"/>
      <c r="V31" s="2886"/>
      <c r="X31" s="2885">
        <f>ROUND(SUMPRODUCT(PRODUCT(1+N31:N$32)),4)</f>
        <v>1.0544</v>
      </c>
      <c r="Y31" s="2885">
        <f>ROUND(SUMPRODUCT(PRODUCT(1+O31:O$32)),4)</f>
        <v>1.0442</v>
      </c>
      <c r="Z31" s="2885">
        <f t="shared" si="44"/>
        <v>1.0442</v>
      </c>
      <c r="AA31" s="2885">
        <f>ROUND(SUMPRODUCT(PRODUCT(1+P31:P$32)),4)</f>
        <v>1.0595000000000001</v>
      </c>
      <c r="AB31" s="2885">
        <f>ROUND(SUMPRODUCT(PRODUCT(1+Q31:Q$32)),4)</f>
        <v>1.0289999999999999</v>
      </c>
      <c r="AD31" s="2886">
        <f>ROUND(AVERAGE(I31:I$32)/100,4)</f>
        <v>2.69E-2</v>
      </c>
      <c r="AE31" s="2886">
        <f>ROUND(AVERAGE(J31:J$32)/100,4)</f>
        <v>2.1899999999999999E-2</v>
      </c>
      <c r="AF31" s="2886">
        <f t="shared" ref="AF31" si="141">AE31</f>
        <v>2.1899999999999999E-2</v>
      </c>
      <c r="AG31" s="2886">
        <f>ROUND(AVERAGE(K31:K$32)/100,4)</f>
        <v>2.9399999999999999E-2</v>
      </c>
      <c r="AH31" s="2886">
        <f>ROUND(AVERAGE(L31:L$32)/100,4)</f>
        <v>1.44E-2</v>
      </c>
    </row>
    <row r="32" spans="1:34" s="2934" customFormat="1" ht="13.5" thickBot="1">
      <c r="A32" s="2930" t="s">
        <v>951</v>
      </c>
      <c r="B32" s="2931">
        <f t="shared" si="139"/>
        <v>307.34512863658733</v>
      </c>
      <c r="C32" s="2931">
        <f t="shared" si="139"/>
        <v>257.80556031626975</v>
      </c>
      <c r="D32" s="2931">
        <f t="shared" si="134"/>
        <v>257.80556031626975</v>
      </c>
      <c r="E32" s="2931">
        <f t="shared" si="140"/>
        <v>422.70928459677179</v>
      </c>
      <c r="F32" s="2931">
        <f t="shared" si="140"/>
        <v>229.73803270336617</v>
      </c>
      <c r="G32" s="3536"/>
      <c r="H32" s="2932">
        <v>1</v>
      </c>
      <c r="I32" s="2932">
        <v>2.97</v>
      </c>
      <c r="J32" s="2932">
        <v>2.34</v>
      </c>
      <c r="K32" s="2932">
        <v>3.28</v>
      </c>
      <c r="L32" s="2933">
        <v>1.36</v>
      </c>
      <c r="N32" s="2935">
        <f t="shared" si="136"/>
        <v>2.9700000000000001E-2</v>
      </c>
      <c r="O32" s="2936">
        <f t="shared" si="132"/>
        <v>2.3399999999999997E-2</v>
      </c>
      <c r="P32" s="2936">
        <f t="shared" si="132"/>
        <v>3.2799999999999996E-2</v>
      </c>
      <c r="Q32" s="2936">
        <f t="shared" si="132"/>
        <v>1.3600000000000001E-2</v>
      </c>
      <c r="R32" s="2937"/>
      <c r="S32" s="2938">
        <f>B32/B33-1</f>
        <v>2.7910129219355539E-2</v>
      </c>
      <c r="T32" s="2939">
        <f>C32/C33-1</f>
        <v>2.3037937762975247E-2</v>
      </c>
      <c r="U32" s="2939">
        <f>E32/E33-1</f>
        <v>3.3519033243940788E-2</v>
      </c>
      <c r="V32" s="2939">
        <f>F32/F33-1</f>
        <v>1.2061818076502862E-2</v>
      </c>
      <c r="W32" s="2940" t="s">
        <v>2620</v>
      </c>
      <c r="X32" s="2941">
        <v>1</v>
      </c>
      <c r="Y32" s="2941">
        <v>1</v>
      </c>
      <c r="Z32" s="2941">
        <v>1</v>
      </c>
      <c r="AA32" s="2941">
        <v>1</v>
      </c>
      <c r="AB32" s="2941">
        <v>1</v>
      </c>
      <c r="AD32" s="2936">
        <f>I32/100</f>
        <v>2.9700000000000001E-2</v>
      </c>
      <c r="AE32" s="2936">
        <f>J32/100</f>
        <v>2.3399999999999997E-2</v>
      </c>
      <c r="AF32" s="2936">
        <f>AE32</f>
        <v>2.3399999999999997E-2</v>
      </c>
      <c r="AG32" s="2936">
        <f>K32/100</f>
        <v>3.2799999999999996E-2</v>
      </c>
      <c r="AH32" s="2936">
        <f>L32/100</f>
        <v>1.3600000000000001E-2</v>
      </c>
    </row>
    <row r="33" spans="1:26" ht="13.5" thickBot="1">
      <c r="A33" s="2897" t="s">
        <v>2563</v>
      </c>
      <c r="B33" s="2919">
        <v>299</v>
      </c>
      <c r="C33" s="2919">
        <v>252</v>
      </c>
      <c r="D33" s="2919">
        <f t="shared" si="134"/>
        <v>252</v>
      </c>
      <c r="E33" s="2919">
        <v>409</v>
      </c>
      <c r="F33" s="2920">
        <v>227</v>
      </c>
      <c r="G33" s="3537">
        <v>2013</v>
      </c>
      <c r="H33" s="2942">
        <v>4</v>
      </c>
      <c r="I33" s="2942">
        <v>1.83</v>
      </c>
      <c r="J33" s="2942">
        <v>1.68</v>
      </c>
      <c r="K33" s="2942">
        <v>1.97</v>
      </c>
      <c r="L33" s="2943">
        <v>0.87</v>
      </c>
      <c r="N33" s="2916">
        <f t="shared" si="136"/>
        <v>1.83E-2</v>
      </c>
      <c r="O33" s="2917">
        <f t="shared" si="132"/>
        <v>1.6799999999999999E-2</v>
      </c>
      <c r="P33" s="2917">
        <f t="shared" si="132"/>
        <v>1.9699999999999999E-2</v>
      </c>
      <c r="Q33" s="2917">
        <f t="shared" si="132"/>
        <v>8.6999999999999994E-3</v>
      </c>
      <c r="R33" s="2901"/>
      <c r="S33" s="2910"/>
      <c r="T33" s="2911"/>
      <c r="U33" s="2911"/>
      <c r="V33" s="2911"/>
      <c r="X33" s="2911"/>
      <c r="Y33" s="2911"/>
      <c r="Z33" s="2911"/>
    </row>
    <row r="34" spans="1:26">
      <c r="A34" s="2897" t="s">
        <v>2564</v>
      </c>
      <c r="B34" s="2898">
        <f t="shared" ref="B34:C36" si="142">B33/(1+N33)</f>
        <v>293.62663262299913</v>
      </c>
      <c r="C34" s="2898">
        <f t="shared" si="142"/>
        <v>247.83634933123525</v>
      </c>
      <c r="D34" s="2898">
        <f t="shared" si="134"/>
        <v>247.83634933123525</v>
      </c>
      <c r="E34" s="2898">
        <f t="shared" ref="E34:F36" si="143">E33/(1+P33)</f>
        <v>401.09836226341076</v>
      </c>
      <c r="F34" s="2898">
        <f t="shared" si="143"/>
        <v>225.04213343908003</v>
      </c>
      <c r="G34" s="3538"/>
      <c r="H34" s="2924">
        <v>3</v>
      </c>
      <c r="I34" s="2924">
        <v>1.86</v>
      </c>
      <c r="J34" s="2924">
        <v>1.72</v>
      </c>
      <c r="K34" s="2924">
        <v>1.98</v>
      </c>
      <c r="L34" s="2925">
        <v>0.88</v>
      </c>
      <c r="N34" s="2900">
        <f t="shared" si="136"/>
        <v>1.8600000000000002E-2</v>
      </c>
      <c r="O34" s="2918">
        <f t="shared" si="132"/>
        <v>1.72E-2</v>
      </c>
      <c r="P34" s="2918">
        <f t="shared" si="132"/>
        <v>1.9799999999999998E-2</v>
      </c>
      <c r="Q34" s="2918">
        <f t="shared" si="132"/>
        <v>8.8000000000000005E-3</v>
      </c>
      <c r="R34" s="2901"/>
      <c r="S34" s="2900"/>
      <c r="T34" s="2886"/>
      <c r="U34" s="2886"/>
      <c r="V34" s="2886"/>
    </row>
    <row r="35" spans="1:26">
      <c r="A35" s="2897" t="s">
        <v>2565</v>
      </c>
      <c r="B35" s="2898">
        <f t="shared" si="142"/>
        <v>288.2649053828776</v>
      </c>
      <c r="C35" s="2898">
        <f t="shared" si="142"/>
        <v>243.64564425013293</v>
      </c>
      <c r="D35" s="2898">
        <f t="shared" si="134"/>
        <v>243.64564425013293</v>
      </c>
      <c r="E35" s="2898">
        <f t="shared" si="143"/>
        <v>393.31080825986544</v>
      </c>
      <c r="F35" s="2898">
        <f t="shared" si="143"/>
        <v>223.07903790551154</v>
      </c>
      <c r="G35" s="3538"/>
      <c r="H35" s="2912">
        <v>2</v>
      </c>
      <c r="I35" s="2912">
        <v>2.04</v>
      </c>
      <c r="J35" s="2912">
        <v>2.33</v>
      </c>
      <c r="K35" s="2912">
        <v>2.0699999999999998</v>
      </c>
      <c r="L35" s="2913">
        <v>0.69</v>
      </c>
      <c r="N35" s="2900">
        <f t="shared" si="136"/>
        <v>2.0400000000000001E-2</v>
      </c>
      <c r="O35" s="2918">
        <f t="shared" si="132"/>
        <v>2.3300000000000001E-2</v>
      </c>
      <c r="P35" s="2918">
        <f t="shared" si="132"/>
        <v>2.07E-2</v>
      </c>
      <c r="Q35" s="2918">
        <f t="shared" si="132"/>
        <v>6.8999999999999999E-3</v>
      </c>
      <c r="R35" s="2901"/>
      <c r="S35" s="2900"/>
      <c r="T35" s="2886"/>
      <c r="U35" s="2886"/>
      <c r="V35" s="2886"/>
      <c r="X35" s="2944"/>
      <c r="Y35" s="2945"/>
    </row>
    <row r="36" spans="1:26">
      <c r="A36" s="2897" t="s">
        <v>2566</v>
      </c>
      <c r="B36" s="2898">
        <f t="shared" si="142"/>
        <v>282.50186729015837</v>
      </c>
      <c r="C36" s="2898">
        <f t="shared" si="142"/>
        <v>238.09796174155468</v>
      </c>
      <c r="D36" s="2898">
        <f t="shared" si="134"/>
        <v>238.09796174155468</v>
      </c>
      <c r="E36" s="2898">
        <f t="shared" si="143"/>
        <v>385.33438646014054</v>
      </c>
      <c r="F36" s="2898">
        <f t="shared" si="143"/>
        <v>221.55034055567739</v>
      </c>
      <c r="G36" s="3539"/>
      <c r="H36" s="2899">
        <v>1</v>
      </c>
      <c r="I36" s="2899">
        <v>1.67</v>
      </c>
      <c r="J36" s="2899">
        <v>1.31</v>
      </c>
      <c r="K36" s="2899">
        <v>1.85</v>
      </c>
      <c r="L36" s="2905">
        <v>0.96</v>
      </c>
      <c r="N36" s="2902">
        <f t="shared" si="136"/>
        <v>1.67E-2</v>
      </c>
      <c r="O36" s="2903">
        <f t="shared" si="132"/>
        <v>1.3100000000000001E-2</v>
      </c>
      <c r="P36" s="2903">
        <f t="shared" si="132"/>
        <v>1.8500000000000003E-2</v>
      </c>
      <c r="Q36" s="2903">
        <f t="shared" si="132"/>
        <v>9.5999999999999992E-3</v>
      </c>
      <c r="R36" s="2901"/>
      <c r="S36" s="2902">
        <f>B36/B37-1</f>
        <v>1.6193767230785472E-2</v>
      </c>
      <c r="T36" s="2903">
        <f>C36/C37-1</f>
        <v>1.7512657015190891E-2</v>
      </c>
      <c r="U36" s="2903">
        <f>E36/E37-1</f>
        <v>1.6713420739157048E-2</v>
      </c>
      <c r="V36" s="2903">
        <f>F36/F37-1</f>
        <v>7.0470025258062563E-3</v>
      </c>
      <c r="X36" s="2946"/>
      <c r="Y36" s="2886"/>
      <c r="Z36" s="2886"/>
    </row>
    <row r="37" spans="1:26" ht="13.5" thickBot="1">
      <c r="A37" s="2897" t="s">
        <v>2567</v>
      </c>
      <c r="B37" s="2947">
        <v>278</v>
      </c>
      <c r="C37" s="2947">
        <v>234</v>
      </c>
      <c r="D37" s="2947">
        <f t="shared" si="134"/>
        <v>234</v>
      </c>
      <c r="E37" s="2947">
        <v>379</v>
      </c>
      <c r="F37" s="2948">
        <v>220</v>
      </c>
      <c r="G37" s="3534">
        <v>2012</v>
      </c>
      <c r="H37" s="2921">
        <v>4</v>
      </c>
      <c r="I37" s="2921">
        <v>0.91</v>
      </c>
      <c r="J37" s="2921">
        <v>0.68</v>
      </c>
      <c r="K37" s="2921">
        <v>0.98</v>
      </c>
      <c r="L37" s="2922">
        <v>0.9</v>
      </c>
      <c r="N37" s="2900">
        <f t="shared" si="136"/>
        <v>9.1000000000000004E-3</v>
      </c>
      <c r="O37" s="2886">
        <f t="shared" si="136"/>
        <v>6.8000000000000005E-3</v>
      </c>
      <c r="P37" s="2886">
        <f t="shared" si="136"/>
        <v>9.7999999999999997E-3</v>
      </c>
      <c r="Q37" s="2886">
        <f t="shared" si="136"/>
        <v>9.0000000000000011E-3</v>
      </c>
      <c r="R37" s="2901"/>
      <c r="S37" s="2910"/>
      <c r="T37" s="2911"/>
      <c r="U37" s="2911"/>
      <c r="V37" s="2911"/>
      <c r="X37" s="2911"/>
      <c r="Y37" s="2911"/>
      <c r="Z37" s="2911"/>
    </row>
    <row r="38" spans="1:26">
      <c r="A38" s="2897" t="s">
        <v>2568</v>
      </c>
      <c r="B38" s="2898">
        <f>B37/(1+N37)</f>
        <v>275.49301357645425</v>
      </c>
      <c r="C38" s="2898">
        <f>C37/(1+O37)</f>
        <v>232.41954707985698</v>
      </c>
      <c r="D38" s="2898">
        <f t="shared" si="134"/>
        <v>232.41954707985698</v>
      </c>
      <c r="E38" s="2898">
        <f t="shared" ref="E38:F40" si="144">E37/(1+P37)</f>
        <v>375.32184591008121</v>
      </c>
      <c r="F38" s="2898">
        <f t="shared" si="144"/>
        <v>218.03766105054513</v>
      </c>
      <c r="G38" s="3535"/>
      <c r="H38" s="2924">
        <v>3</v>
      </c>
      <c r="I38" s="2924">
        <v>0.09</v>
      </c>
      <c r="J38" s="2924">
        <v>0.28999999999999998</v>
      </c>
      <c r="K38" s="2924">
        <v>-0.01</v>
      </c>
      <c r="L38" s="2925">
        <v>0.57999999999999996</v>
      </c>
      <c r="N38" s="2900">
        <f t="shared" si="136"/>
        <v>8.9999999999999998E-4</v>
      </c>
      <c r="O38" s="2886">
        <f t="shared" si="136"/>
        <v>2.8999999999999998E-3</v>
      </c>
      <c r="P38" s="2886">
        <f t="shared" si="136"/>
        <v>-1E-4</v>
      </c>
      <c r="Q38" s="2886">
        <f t="shared" si="136"/>
        <v>5.7999999999999996E-3</v>
      </c>
      <c r="R38" s="2901"/>
      <c r="S38" s="2900"/>
      <c r="T38" s="2886"/>
      <c r="U38" s="2886"/>
      <c r="V38" s="2886"/>
    </row>
    <row r="39" spans="1:26">
      <c r="A39" s="2897" t="s">
        <v>2569</v>
      </c>
      <c r="B39" s="2898">
        <f>B38/(1+N38)</f>
        <v>275.24529281292263</v>
      </c>
      <c r="C39" s="2898">
        <f>C38/(1+O38)</f>
        <v>231.74747938962707</v>
      </c>
      <c r="D39" s="2898">
        <f t="shared" si="134"/>
        <v>231.74747938962707</v>
      </c>
      <c r="E39" s="2898">
        <f t="shared" si="144"/>
        <v>375.35938184826603</v>
      </c>
      <c r="F39" s="2898">
        <f t="shared" si="144"/>
        <v>216.78033510692495</v>
      </c>
      <c r="G39" s="3535"/>
      <c r="H39" s="2912">
        <v>2</v>
      </c>
      <c r="I39" s="2912">
        <v>0.02</v>
      </c>
      <c r="J39" s="2912">
        <v>0.12</v>
      </c>
      <c r="K39" s="2912">
        <v>-0.08</v>
      </c>
      <c r="L39" s="2913">
        <v>1.24</v>
      </c>
      <c r="N39" s="2900">
        <f t="shared" si="136"/>
        <v>2.0000000000000001E-4</v>
      </c>
      <c r="O39" s="2886">
        <f t="shared" si="136"/>
        <v>1.1999999999999999E-3</v>
      </c>
      <c r="P39" s="2886">
        <f t="shared" si="136"/>
        <v>-8.0000000000000004E-4</v>
      </c>
      <c r="Q39" s="2886">
        <f t="shared" si="136"/>
        <v>1.24E-2</v>
      </c>
      <c r="R39" s="2901"/>
      <c r="S39" s="2900"/>
      <c r="T39" s="2886"/>
      <c r="U39" s="2886"/>
      <c r="V39" s="2886"/>
    </row>
    <row r="40" spans="1:26" ht="13.5" thickBot="1">
      <c r="A40" s="2897" t="s">
        <v>2570</v>
      </c>
      <c r="B40" s="2898">
        <f>B39/(1+N39)</f>
        <v>275.19025476197027</v>
      </c>
      <c r="C40" s="2949">
        <v>232</v>
      </c>
      <c r="D40" s="2949">
        <f t="shared" si="134"/>
        <v>232</v>
      </c>
      <c r="E40" s="2898">
        <f t="shared" si="144"/>
        <v>375.65990977608692</v>
      </c>
      <c r="F40" s="2898">
        <f t="shared" si="144"/>
        <v>214.12518283971252</v>
      </c>
      <c r="G40" s="3536"/>
      <c r="H40" s="2899">
        <v>1</v>
      </c>
      <c r="I40" s="2899">
        <v>0.02</v>
      </c>
      <c r="J40" s="2899">
        <v>0.13</v>
      </c>
      <c r="K40" s="2899">
        <v>-0.04</v>
      </c>
      <c r="L40" s="2905">
        <v>0.46</v>
      </c>
      <c r="N40" s="2900">
        <f t="shared" si="136"/>
        <v>2.0000000000000001E-4</v>
      </c>
      <c r="O40" s="2886">
        <f t="shared" si="136"/>
        <v>1.2999999999999999E-3</v>
      </c>
      <c r="P40" s="2886">
        <f t="shared" si="136"/>
        <v>-4.0000000000000002E-4</v>
      </c>
      <c r="Q40" s="2886">
        <f t="shared" si="136"/>
        <v>4.5999999999999999E-3</v>
      </c>
      <c r="R40" s="2901"/>
      <c r="S40" s="2902">
        <f>B40/B41-1</f>
        <v>6.9183549807361189E-4</v>
      </c>
      <c r="T40" s="2903">
        <f>C40/C41-1</f>
        <v>0</v>
      </c>
      <c r="U40" s="2903">
        <f>E40/E41-1</f>
        <v>-9.0449527636460303E-4</v>
      </c>
      <c r="V40" s="2903">
        <f>F40/F41-1</f>
        <v>5.2825485432512753E-3</v>
      </c>
      <c r="X40" s="2886"/>
      <c r="Y40" s="2886"/>
      <c r="Z40" s="2886"/>
    </row>
    <row r="41" spans="1:26" ht="13.5" thickBot="1">
      <c r="A41" s="2897" t="s">
        <v>2571</v>
      </c>
      <c r="B41" s="2919">
        <v>275</v>
      </c>
      <c r="C41" s="2919">
        <v>232</v>
      </c>
      <c r="D41" s="2919">
        <f t="shared" si="134"/>
        <v>232</v>
      </c>
      <c r="E41" s="2919">
        <v>376</v>
      </c>
      <c r="F41" s="2920">
        <v>213</v>
      </c>
      <c r="G41" s="3534">
        <v>2011</v>
      </c>
      <c r="H41" s="2921">
        <v>4</v>
      </c>
      <c r="I41" s="2921">
        <v>-0.2</v>
      </c>
      <c r="J41" s="2921">
        <v>0.04</v>
      </c>
      <c r="K41" s="2921">
        <v>-0.34</v>
      </c>
      <c r="L41" s="2922">
        <v>0.46</v>
      </c>
      <c r="N41" s="2916">
        <f t="shared" si="136"/>
        <v>-2E-3</v>
      </c>
      <c r="O41" s="2917">
        <f t="shared" si="136"/>
        <v>4.0000000000000002E-4</v>
      </c>
      <c r="P41" s="2917">
        <f t="shared" si="136"/>
        <v>-3.4000000000000002E-3</v>
      </c>
      <c r="Q41" s="2917">
        <f t="shared" si="136"/>
        <v>4.5999999999999999E-3</v>
      </c>
      <c r="R41" s="2901"/>
      <c r="S41" s="2910"/>
      <c r="T41" s="2911"/>
      <c r="U41" s="2911"/>
      <c r="V41" s="2911"/>
      <c r="X41" s="2911"/>
      <c r="Y41" s="2911"/>
      <c r="Z41" s="2911"/>
    </row>
    <row r="42" spans="1:26">
      <c r="A42" s="2897" t="s">
        <v>2572</v>
      </c>
      <c r="B42" s="2898">
        <f t="shared" ref="B42:C44" si="145">B41/(1+N41)</f>
        <v>275.55110220440883</v>
      </c>
      <c r="C42" s="2898">
        <f t="shared" si="145"/>
        <v>231.90723710515795</v>
      </c>
      <c r="D42" s="2898">
        <f t="shared" si="134"/>
        <v>231.90723710515795</v>
      </c>
      <c r="E42" s="2898">
        <f t="shared" ref="E42:F44" si="146">E41/(1+P41)</f>
        <v>377.28276138872161</v>
      </c>
      <c r="F42" s="2898">
        <f t="shared" si="146"/>
        <v>212.02468644236512</v>
      </c>
      <c r="G42" s="3535">
        <v>2011</v>
      </c>
      <c r="H42" s="2924">
        <v>3</v>
      </c>
      <c r="I42" s="2924">
        <v>0.13</v>
      </c>
      <c r="J42" s="2924">
        <v>0.75</v>
      </c>
      <c r="K42" s="2924">
        <v>-0.08</v>
      </c>
      <c r="L42" s="2925">
        <v>0.53</v>
      </c>
      <c r="N42" s="2900">
        <f t="shared" si="136"/>
        <v>1.2999999999999999E-3</v>
      </c>
      <c r="O42" s="2918">
        <f t="shared" si="136"/>
        <v>7.4999999999999997E-3</v>
      </c>
      <c r="P42" s="2918">
        <f t="shared" si="136"/>
        <v>-8.0000000000000004E-4</v>
      </c>
      <c r="Q42" s="2918">
        <f t="shared" si="136"/>
        <v>5.3E-3</v>
      </c>
      <c r="R42" s="2901"/>
      <c r="S42" s="2900"/>
      <c r="T42" s="2886"/>
      <c r="U42" s="2886"/>
      <c r="V42" s="2886"/>
    </row>
    <row r="43" spans="1:26">
      <c r="A43" s="2897" t="s">
        <v>2573</v>
      </c>
      <c r="B43" s="2898">
        <f t="shared" si="145"/>
        <v>275.19335084830601</v>
      </c>
      <c r="C43" s="2898">
        <f t="shared" si="145"/>
        <v>230.18088050139744</v>
      </c>
      <c r="D43" s="2898">
        <f t="shared" si="134"/>
        <v>230.18088050139744</v>
      </c>
      <c r="E43" s="2898">
        <f t="shared" si="146"/>
        <v>377.58482925212331</v>
      </c>
      <c r="F43" s="2898">
        <f t="shared" si="146"/>
        <v>210.90687997847917</v>
      </c>
      <c r="G43" s="3535">
        <v>2011</v>
      </c>
      <c r="H43" s="2912">
        <v>2</v>
      </c>
      <c r="I43" s="2912">
        <v>-0.4</v>
      </c>
      <c r="J43" s="2912">
        <v>0.17</v>
      </c>
      <c r="K43" s="2912">
        <v>-0.57999999999999996</v>
      </c>
      <c r="L43" s="2913">
        <v>-0.2</v>
      </c>
      <c r="N43" s="2900">
        <f t="shared" si="136"/>
        <v>-4.0000000000000001E-3</v>
      </c>
      <c r="O43" s="2918">
        <f t="shared" si="136"/>
        <v>1.7000000000000001E-3</v>
      </c>
      <c r="P43" s="2918">
        <f t="shared" si="136"/>
        <v>-5.7999999999999996E-3</v>
      </c>
      <c r="Q43" s="2918">
        <f t="shared" si="136"/>
        <v>-2E-3</v>
      </c>
      <c r="R43" s="2901"/>
      <c r="S43" s="2900"/>
      <c r="T43" s="2886"/>
      <c r="U43" s="2886"/>
      <c r="V43" s="2886"/>
    </row>
    <row r="44" spans="1:26" ht="13.5" thickBot="1">
      <c r="A44" s="2897" t="s">
        <v>2574</v>
      </c>
      <c r="B44" s="2898">
        <f t="shared" si="145"/>
        <v>276.29854502841971</v>
      </c>
      <c r="C44" s="2898">
        <f t="shared" si="145"/>
        <v>229.79023709833027</v>
      </c>
      <c r="D44" s="2898">
        <f t="shared" si="134"/>
        <v>229.79023709833027</v>
      </c>
      <c r="E44" s="2898">
        <f t="shared" si="146"/>
        <v>379.78759731655936</v>
      </c>
      <c r="F44" s="2898">
        <f t="shared" si="146"/>
        <v>211.32953905659235</v>
      </c>
      <c r="G44" s="3536">
        <v>2011</v>
      </c>
      <c r="H44" s="2899">
        <v>1</v>
      </c>
      <c r="I44" s="2899">
        <v>2.65</v>
      </c>
      <c r="J44" s="2899">
        <v>3.76</v>
      </c>
      <c r="K44" s="2899">
        <v>1.89</v>
      </c>
      <c r="L44" s="2905">
        <v>7.95</v>
      </c>
      <c r="N44" s="2902">
        <f t="shared" si="136"/>
        <v>2.6499999999999999E-2</v>
      </c>
      <c r="O44" s="2903">
        <f t="shared" si="136"/>
        <v>3.7599999999999995E-2</v>
      </c>
      <c r="P44" s="2903">
        <f t="shared" si="136"/>
        <v>1.89E-2</v>
      </c>
      <c r="Q44" s="2903">
        <f t="shared" si="136"/>
        <v>7.9500000000000001E-2</v>
      </c>
      <c r="R44" s="2901"/>
      <c r="S44" s="2902">
        <f>B44/B45-1</f>
        <v>2.713213765211786E-2</v>
      </c>
      <c r="T44" s="2903">
        <f>C44/C45-1</f>
        <v>3.9774828499231862E-2</v>
      </c>
      <c r="U44" s="2903">
        <f>E44/E45-1</f>
        <v>1.8197311840641772E-2</v>
      </c>
      <c r="V44" s="2903">
        <f>F44/F45-1</f>
        <v>7.8211933962205826E-2</v>
      </c>
      <c r="X44" s="2886"/>
      <c r="Y44" s="2886"/>
      <c r="Z44" s="2886"/>
    </row>
    <row r="45" spans="1:26" ht="13.5" thickBot="1">
      <c r="A45" s="2897" t="s">
        <v>2575</v>
      </c>
      <c r="B45" s="2919">
        <v>269</v>
      </c>
      <c r="C45" s="2919">
        <v>221</v>
      </c>
      <c r="D45" s="2919">
        <f t="shared" si="134"/>
        <v>221</v>
      </c>
      <c r="E45" s="2919">
        <v>373</v>
      </c>
      <c r="F45" s="2920">
        <v>196</v>
      </c>
      <c r="G45" s="3534">
        <v>2010</v>
      </c>
      <c r="H45" s="2921">
        <v>4</v>
      </c>
      <c r="I45" s="2921">
        <v>5.72</v>
      </c>
      <c r="J45" s="2921">
        <v>6.57</v>
      </c>
      <c r="K45" s="2921">
        <v>5.72</v>
      </c>
      <c r="L45" s="2922">
        <v>2.72</v>
      </c>
      <c r="N45" s="2900">
        <f t="shared" si="136"/>
        <v>5.7200000000000001E-2</v>
      </c>
      <c r="O45" s="2886">
        <f t="shared" si="136"/>
        <v>6.5700000000000008E-2</v>
      </c>
      <c r="P45" s="2886">
        <f t="shared" si="136"/>
        <v>5.7200000000000001E-2</v>
      </c>
      <c r="Q45" s="2886">
        <f t="shared" si="136"/>
        <v>2.7200000000000002E-2</v>
      </c>
      <c r="R45" s="2901"/>
      <c r="S45" s="2910"/>
      <c r="T45" s="2911"/>
      <c r="U45" s="2911"/>
      <c r="V45" s="2911"/>
      <c r="X45" s="2911"/>
      <c r="Y45" s="2911"/>
      <c r="Z45" s="2911"/>
    </row>
    <row r="46" spans="1:26">
      <c r="A46" s="2897" t="s">
        <v>2576</v>
      </c>
      <c r="B46" s="2898">
        <f t="shared" ref="B46:C48" si="147">B45/(1+N45)</f>
        <v>254.44570563753314</v>
      </c>
      <c r="C46" s="2898">
        <f t="shared" si="147"/>
        <v>207.37543398705074</v>
      </c>
      <c r="D46" s="2898">
        <f t="shared" si="134"/>
        <v>207.37543398705074</v>
      </c>
      <c r="E46" s="2898">
        <f t="shared" ref="E46:F48" si="148">E45/(1+P45)</f>
        <v>352.81876655315932</v>
      </c>
      <c r="F46" s="2898">
        <f t="shared" si="148"/>
        <v>190.809968847352</v>
      </c>
      <c r="G46" s="3535">
        <v>2010</v>
      </c>
      <c r="H46" s="2924">
        <v>3</v>
      </c>
      <c r="I46" s="2924">
        <v>4.7300000000000004</v>
      </c>
      <c r="J46" s="2924">
        <v>3.9</v>
      </c>
      <c r="K46" s="2924">
        <v>5.03</v>
      </c>
      <c r="L46" s="2925">
        <v>4.21</v>
      </c>
      <c r="N46" s="2900">
        <f t="shared" si="136"/>
        <v>4.7300000000000002E-2</v>
      </c>
      <c r="O46" s="2886">
        <f t="shared" si="136"/>
        <v>3.9E-2</v>
      </c>
      <c r="P46" s="2886">
        <f t="shared" si="136"/>
        <v>5.0300000000000004E-2</v>
      </c>
      <c r="Q46" s="2886">
        <f t="shared" si="136"/>
        <v>4.2099999999999999E-2</v>
      </c>
      <c r="R46" s="2901"/>
      <c r="S46" s="2900"/>
      <c r="T46" s="2886"/>
      <c r="U46" s="2886"/>
      <c r="V46" s="2886"/>
    </row>
    <row r="47" spans="1:26">
      <c r="A47" s="2897" t="s">
        <v>2577</v>
      </c>
      <c r="B47" s="2898">
        <f t="shared" si="147"/>
        <v>242.95398227588385</v>
      </c>
      <c r="C47" s="2898">
        <f t="shared" si="147"/>
        <v>199.59137053614126</v>
      </c>
      <c r="D47" s="2898">
        <f t="shared" si="134"/>
        <v>199.59137053614126</v>
      </c>
      <c r="E47" s="2898">
        <f t="shared" si="148"/>
        <v>335.92189522342125</v>
      </c>
      <c r="F47" s="2898">
        <f t="shared" si="148"/>
        <v>183.10139991109489</v>
      </c>
      <c r="G47" s="3535">
        <v>2010</v>
      </c>
      <c r="H47" s="2912">
        <v>2</v>
      </c>
      <c r="I47" s="2912">
        <v>4.6900000000000004</v>
      </c>
      <c r="J47" s="2912">
        <v>3.55</v>
      </c>
      <c r="K47" s="2912">
        <v>5.07</v>
      </c>
      <c r="L47" s="2913">
        <v>4.2300000000000004</v>
      </c>
      <c r="N47" s="2900">
        <f t="shared" si="136"/>
        <v>4.6900000000000004E-2</v>
      </c>
      <c r="O47" s="2886">
        <f t="shared" si="136"/>
        <v>3.5499999999999997E-2</v>
      </c>
      <c r="P47" s="2886">
        <f t="shared" si="136"/>
        <v>5.0700000000000002E-2</v>
      </c>
      <c r="Q47" s="2886">
        <f t="shared" si="136"/>
        <v>4.2300000000000004E-2</v>
      </c>
      <c r="R47" s="2901"/>
      <c r="S47" s="2900"/>
      <c r="T47" s="2886"/>
      <c r="U47" s="2886"/>
      <c r="V47" s="2886"/>
    </row>
    <row r="48" spans="1:26" ht="13.5" thickBot="1">
      <c r="A48" s="2897" t="s">
        <v>2578</v>
      </c>
      <c r="B48" s="2898">
        <f t="shared" si="147"/>
        <v>232.06990378821649</v>
      </c>
      <c r="C48" s="2898">
        <f t="shared" si="147"/>
        <v>192.74878854286936</v>
      </c>
      <c r="D48" s="2898">
        <f t="shared" si="134"/>
        <v>192.74878854286936</v>
      </c>
      <c r="E48" s="2898">
        <f t="shared" si="148"/>
        <v>319.71247284992984</v>
      </c>
      <c r="F48" s="2898">
        <f t="shared" si="148"/>
        <v>175.67053622862409</v>
      </c>
      <c r="G48" s="3536">
        <v>2010</v>
      </c>
      <c r="H48" s="2899">
        <v>1</v>
      </c>
      <c r="I48" s="2899">
        <v>5.4</v>
      </c>
      <c r="J48" s="2899">
        <v>3.2</v>
      </c>
      <c r="K48" s="2899">
        <v>6.16</v>
      </c>
      <c r="L48" s="2905">
        <v>4.51</v>
      </c>
      <c r="N48" s="2900">
        <f t="shared" si="136"/>
        <v>5.4000000000000006E-2</v>
      </c>
      <c r="O48" s="2886">
        <f t="shared" si="136"/>
        <v>3.2000000000000001E-2</v>
      </c>
      <c r="P48" s="2886">
        <f t="shared" si="136"/>
        <v>6.1600000000000002E-2</v>
      </c>
      <c r="Q48" s="2886">
        <f t="shared" si="136"/>
        <v>4.5100000000000001E-2</v>
      </c>
      <c r="R48" s="2901"/>
      <c r="S48" s="2902">
        <f>B48/B49-1</f>
        <v>5.4863199037347599E-2</v>
      </c>
      <c r="T48" s="2903">
        <f>C48/C49-1</f>
        <v>3.0742184721226584E-2</v>
      </c>
      <c r="U48" s="2903">
        <f>E48/E49-1</f>
        <v>6.2167683886810154E-2</v>
      </c>
      <c r="V48" s="2903">
        <f>F48/F49-1</f>
        <v>4.5657953741810031E-2</v>
      </c>
      <c r="X48" s="2886"/>
      <c r="Y48" s="2886"/>
      <c r="Z48" s="2886"/>
    </row>
    <row r="49" spans="1:26" ht="13.5" thickBot="1">
      <c r="A49" s="2897" t="s">
        <v>2579</v>
      </c>
      <c r="B49" s="2919">
        <v>220</v>
      </c>
      <c r="C49" s="2919">
        <v>187</v>
      </c>
      <c r="D49" s="2919">
        <f t="shared" si="134"/>
        <v>187</v>
      </c>
      <c r="E49" s="2919">
        <v>301</v>
      </c>
      <c r="F49" s="2920">
        <v>168</v>
      </c>
      <c r="G49" s="3534">
        <v>2009</v>
      </c>
      <c r="H49" s="2921">
        <v>4</v>
      </c>
      <c r="I49" s="2921">
        <v>2.2999999999999998</v>
      </c>
      <c r="J49" s="2921">
        <v>1.04</v>
      </c>
      <c r="K49" s="2921">
        <v>2.84</v>
      </c>
      <c r="L49" s="2922">
        <v>0.67</v>
      </c>
      <c r="N49" s="2916">
        <f t="shared" si="136"/>
        <v>2.3E-2</v>
      </c>
      <c r="O49" s="2917">
        <f t="shared" si="136"/>
        <v>1.04E-2</v>
      </c>
      <c r="P49" s="2917">
        <f t="shared" si="136"/>
        <v>2.8399999999999998E-2</v>
      </c>
      <c r="Q49" s="2917">
        <f t="shared" si="136"/>
        <v>6.7000000000000002E-3</v>
      </c>
      <c r="R49" s="2901"/>
      <c r="S49" s="2910"/>
      <c r="T49" s="2911"/>
      <c r="U49" s="2911"/>
      <c r="V49" s="2911"/>
      <c r="X49" s="2911"/>
      <c r="Y49" s="2911"/>
      <c r="Z49" s="2911"/>
    </row>
    <row r="50" spans="1:26">
      <c r="A50" s="2897" t="s">
        <v>2580</v>
      </c>
      <c r="B50" s="2898">
        <f t="shared" ref="B50:C52" si="149">B49/(1+N49)</f>
        <v>215.05376344086022</v>
      </c>
      <c r="C50" s="2898">
        <f t="shared" si="149"/>
        <v>185.0752177355503</v>
      </c>
      <c r="D50" s="2898">
        <f t="shared" si="134"/>
        <v>185.0752177355503</v>
      </c>
      <c r="E50" s="2898">
        <f t="shared" ref="E50:F52" si="150">E49/(1+P49)</f>
        <v>292.68767016725008</v>
      </c>
      <c r="F50" s="2898">
        <f t="shared" si="150"/>
        <v>166.88189132810174</v>
      </c>
      <c r="G50" s="3535">
        <v>2009</v>
      </c>
      <c r="H50" s="2924">
        <v>3</v>
      </c>
      <c r="I50" s="2924">
        <v>2.1</v>
      </c>
      <c r="J50" s="2924">
        <v>1.86</v>
      </c>
      <c r="K50" s="2924">
        <v>2.29</v>
      </c>
      <c r="L50" s="2925">
        <v>0.85</v>
      </c>
      <c r="N50" s="2900">
        <f t="shared" si="136"/>
        <v>2.1000000000000001E-2</v>
      </c>
      <c r="O50" s="2918">
        <f t="shared" si="136"/>
        <v>1.8600000000000002E-2</v>
      </c>
      <c r="P50" s="2918">
        <f t="shared" si="136"/>
        <v>2.29E-2</v>
      </c>
      <c r="Q50" s="2918">
        <f t="shared" si="136"/>
        <v>8.5000000000000006E-3</v>
      </c>
      <c r="R50" s="2901"/>
      <c r="S50" s="2900"/>
      <c r="T50" s="2886"/>
      <c r="U50" s="2886"/>
      <c r="V50" s="2886"/>
    </row>
    <row r="51" spans="1:26">
      <c r="A51" s="2897" t="s">
        <v>2581</v>
      </c>
      <c r="B51" s="2898">
        <f t="shared" si="149"/>
        <v>210.630522469011</v>
      </c>
      <c r="C51" s="2898">
        <f t="shared" si="149"/>
        <v>181.69567812247232</v>
      </c>
      <c r="D51" s="2898">
        <f t="shared" si="134"/>
        <v>181.69567812247232</v>
      </c>
      <c r="E51" s="2898">
        <f t="shared" si="150"/>
        <v>286.13517466736738</v>
      </c>
      <c r="F51" s="2898">
        <f t="shared" si="150"/>
        <v>165.47535084591149</v>
      </c>
      <c r="G51" s="3535">
        <v>2009</v>
      </c>
      <c r="H51" s="2912">
        <v>2</v>
      </c>
      <c r="I51" s="2912">
        <v>0.86</v>
      </c>
      <c r="J51" s="2912">
        <v>-1.1299999999999999</v>
      </c>
      <c r="K51" s="2912">
        <v>1.79</v>
      </c>
      <c r="L51" s="2913">
        <v>-2.0699999999999998</v>
      </c>
      <c r="N51" s="2900">
        <f t="shared" si="136"/>
        <v>8.6E-3</v>
      </c>
      <c r="O51" s="2918">
        <f t="shared" si="136"/>
        <v>-1.1299999999999999E-2</v>
      </c>
      <c r="P51" s="2918">
        <f t="shared" si="136"/>
        <v>1.7899999999999999E-2</v>
      </c>
      <c r="Q51" s="2918">
        <f t="shared" si="136"/>
        <v>-2.07E-2</v>
      </c>
      <c r="R51" s="2901"/>
      <c r="S51" s="2900"/>
      <c r="T51" s="2886"/>
      <c r="U51" s="2886"/>
      <c r="V51" s="2886"/>
    </row>
    <row r="52" spans="1:26">
      <c r="A52" s="2897" t="s">
        <v>2582</v>
      </c>
      <c r="B52" s="2898">
        <f t="shared" si="149"/>
        <v>208.83454537875372</v>
      </c>
      <c r="C52" s="2898">
        <f t="shared" si="149"/>
        <v>183.77230517090351</v>
      </c>
      <c r="D52" s="2898">
        <f t="shared" si="134"/>
        <v>183.77230517090351</v>
      </c>
      <c r="E52" s="2898">
        <f t="shared" si="150"/>
        <v>281.10342338870947</v>
      </c>
      <c r="F52" s="2898">
        <f t="shared" si="150"/>
        <v>168.97309388942256</v>
      </c>
      <c r="G52" s="3536">
        <v>2009</v>
      </c>
      <c r="H52" s="2899">
        <v>1</v>
      </c>
      <c r="I52" s="2899">
        <v>-2.64</v>
      </c>
      <c r="J52" s="2899">
        <v>-2.5299999999999998</v>
      </c>
      <c r="K52" s="2899">
        <v>-3.02</v>
      </c>
      <c r="L52" s="2905">
        <v>1.52</v>
      </c>
      <c r="N52" s="2902">
        <f t="shared" si="136"/>
        <v>-2.64E-2</v>
      </c>
      <c r="O52" s="2903">
        <f t="shared" si="136"/>
        <v>-2.53E-2</v>
      </c>
      <c r="P52" s="2903">
        <f t="shared" si="136"/>
        <v>-3.0200000000000001E-2</v>
      </c>
      <c r="Q52" s="2903">
        <f t="shared" si="136"/>
        <v>1.52E-2</v>
      </c>
      <c r="R52" s="2901"/>
      <c r="S52" s="2902">
        <f>B52/B53-1</f>
        <v>-2.4137638417038754E-2</v>
      </c>
      <c r="T52" s="2903">
        <f>C52/C53-1</f>
        <v>-2.248773845264096E-2</v>
      </c>
      <c r="U52" s="2903">
        <f>E52/E53-1</f>
        <v>-2.7323794502735366E-2</v>
      </c>
      <c r="V52" s="2903">
        <f>F52/F53-1</f>
        <v>1.7910204153148035E-2</v>
      </c>
      <c r="X52" s="2886"/>
      <c r="Y52" s="2886"/>
      <c r="Z52" s="2886"/>
    </row>
    <row r="53" spans="1:26" ht="13.5" thickBot="1">
      <c r="A53" s="2897" t="s">
        <v>2583</v>
      </c>
      <c r="B53" s="2947">
        <v>214</v>
      </c>
      <c r="C53" s="2947">
        <v>188</v>
      </c>
      <c r="D53" s="2947">
        <f t="shared" si="134"/>
        <v>188</v>
      </c>
      <c r="E53" s="2947">
        <v>289</v>
      </c>
      <c r="F53" s="2948">
        <v>166</v>
      </c>
      <c r="G53" s="3534">
        <v>2008</v>
      </c>
      <c r="H53" s="2921">
        <v>4</v>
      </c>
      <c r="I53" s="2921">
        <v>1.73</v>
      </c>
      <c r="J53" s="2921">
        <v>0.03</v>
      </c>
      <c r="K53" s="2921">
        <v>2.59</v>
      </c>
      <c r="L53" s="2922">
        <v>-1.66</v>
      </c>
      <c r="N53" s="2900">
        <f t="shared" si="136"/>
        <v>1.7299999999999999E-2</v>
      </c>
      <c r="O53" s="2886">
        <f t="shared" si="136"/>
        <v>2.9999999999999997E-4</v>
      </c>
      <c r="P53" s="2886">
        <f t="shared" si="136"/>
        <v>2.5899999999999999E-2</v>
      </c>
      <c r="Q53" s="2886">
        <f t="shared" si="136"/>
        <v>-1.66E-2</v>
      </c>
      <c r="R53" s="2901"/>
      <c r="S53" s="2910"/>
      <c r="T53" s="2911"/>
      <c r="U53" s="2911"/>
      <c r="V53" s="2911"/>
      <c r="X53" s="2911"/>
      <c r="Y53" s="2911"/>
      <c r="Z53" s="2911"/>
    </row>
    <row r="54" spans="1:26">
      <c r="A54" s="2897" t="s">
        <v>2584</v>
      </c>
      <c r="B54" s="2898">
        <f t="shared" ref="B54:C56" si="151">B53/(1+N53)</f>
        <v>210.36075887152265</v>
      </c>
      <c r="C54" s="2898">
        <f t="shared" si="151"/>
        <v>187.94361691492554</v>
      </c>
      <c r="D54" s="2898">
        <f t="shared" si="134"/>
        <v>187.94361691492554</v>
      </c>
      <c r="E54" s="2898">
        <f t="shared" ref="E54:F56" si="152">E53/(1+P53)</f>
        <v>281.70386977288234</v>
      </c>
      <c r="F54" s="2898">
        <f t="shared" si="152"/>
        <v>168.80211511083994</v>
      </c>
      <c r="G54" s="3535">
        <v>2008</v>
      </c>
      <c r="H54" s="2924">
        <v>3</v>
      </c>
      <c r="I54" s="2924">
        <v>1.96</v>
      </c>
      <c r="J54" s="2924">
        <v>2.36</v>
      </c>
      <c r="K54" s="2924">
        <v>1.82</v>
      </c>
      <c r="L54" s="2925">
        <v>2.2200000000000002</v>
      </c>
      <c r="N54" s="2900">
        <f t="shared" si="136"/>
        <v>1.9599999999999999E-2</v>
      </c>
      <c r="O54" s="2886">
        <f t="shared" si="136"/>
        <v>2.3599999999999999E-2</v>
      </c>
      <c r="P54" s="2886">
        <f t="shared" si="136"/>
        <v>1.8200000000000001E-2</v>
      </c>
      <c r="Q54" s="2886">
        <f t="shared" si="136"/>
        <v>2.2200000000000001E-2</v>
      </c>
      <c r="R54" s="2901"/>
      <c r="S54" s="2900"/>
      <c r="T54" s="2886"/>
      <c r="U54" s="2886"/>
      <c r="V54" s="2886"/>
    </row>
    <row r="55" spans="1:26">
      <c r="A55" s="2897" t="s">
        <v>2585</v>
      </c>
      <c r="B55" s="2898">
        <f t="shared" si="151"/>
        <v>206.31694671589116</v>
      </c>
      <c r="C55" s="2898">
        <f t="shared" si="151"/>
        <v>183.61041121036101</v>
      </c>
      <c r="D55" s="2898">
        <f t="shared" si="134"/>
        <v>183.61041121036101</v>
      </c>
      <c r="E55" s="2898">
        <f t="shared" si="152"/>
        <v>276.66850301795557</v>
      </c>
      <c r="F55" s="2898">
        <f t="shared" si="152"/>
        <v>165.1360938278614</v>
      </c>
      <c r="G55" s="3535">
        <v>2008</v>
      </c>
      <c r="H55" s="2912">
        <v>2</v>
      </c>
      <c r="I55" s="2912">
        <v>4.93</v>
      </c>
      <c r="J55" s="2912">
        <v>7.38</v>
      </c>
      <c r="K55" s="2912">
        <v>3.98</v>
      </c>
      <c r="L55" s="2913">
        <v>6.86</v>
      </c>
      <c r="N55" s="2900">
        <f t="shared" si="136"/>
        <v>4.9299999999999997E-2</v>
      </c>
      <c r="O55" s="2886">
        <f t="shared" si="136"/>
        <v>7.3800000000000004E-2</v>
      </c>
      <c r="P55" s="2886">
        <f t="shared" si="136"/>
        <v>3.9800000000000002E-2</v>
      </c>
      <c r="Q55" s="2886">
        <f t="shared" si="136"/>
        <v>6.8600000000000008E-2</v>
      </c>
      <c r="R55" s="2901"/>
      <c r="S55" s="2900"/>
      <c r="T55" s="2886"/>
      <c r="U55" s="2886"/>
      <c r="V55" s="2886"/>
    </row>
    <row r="56" spans="1:26" s="2953" customFormat="1" ht="13.5" thickBot="1">
      <c r="A56" s="2897" t="s">
        <v>2586</v>
      </c>
      <c r="B56" s="2950">
        <f t="shared" si="151"/>
        <v>196.62341248059772</v>
      </c>
      <c r="C56" s="2950">
        <f t="shared" si="151"/>
        <v>170.99125648199012</v>
      </c>
      <c r="D56" s="2950">
        <f t="shared" si="134"/>
        <v>170.99125648199012</v>
      </c>
      <c r="E56" s="2950">
        <f t="shared" si="152"/>
        <v>266.07857570490052</v>
      </c>
      <c r="F56" s="2950">
        <f t="shared" si="152"/>
        <v>154.53499328828505</v>
      </c>
      <c r="G56" s="3536">
        <v>2008</v>
      </c>
      <c r="H56" s="2951">
        <v>1</v>
      </c>
      <c r="I56" s="2951">
        <v>4.1399999999999997</v>
      </c>
      <c r="J56" s="2951">
        <v>3.45</v>
      </c>
      <c r="K56" s="2951">
        <v>4.95</v>
      </c>
      <c r="L56" s="2952">
        <v>4.82</v>
      </c>
      <c r="N56" s="2954">
        <f t="shared" si="136"/>
        <v>4.1399999999999999E-2</v>
      </c>
      <c r="O56" s="2955">
        <f t="shared" si="136"/>
        <v>3.4500000000000003E-2</v>
      </c>
      <c r="P56" s="2955">
        <f t="shared" si="136"/>
        <v>4.9500000000000002E-2</v>
      </c>
      <c r="Q56" s="2955">
        <f t="shared" si="136"/>
        <v>4.82E-2</v>
      </c>
      <c r="R56" s="2956"/>
      <c r="S56" s="2954">
        <f>B56/B57-1</f>
        <v>4.5869215322328349E-2</v>
      </c>
      <c r="T56" s="2955">
        <f>C56/C57-1</f>
        <v>3.6310645345394743E-2</v>
      </c>
      <c r="U56" s="2955">
        <f>E56/E57-1</f>
        <v>4.7553447657088688E-2</v>
      </c>
      <c r="V56" s="2955">
        <f>F56/F57-1</f>
        <v>4.4155360055980086E-2</v>
      </c>
      <c r="X56" s="2955"/>
      <c r="Y56" s="2955"/>
      <c r="Z56" s="2955"/>
    </row>
    <row r="57" spans="1:26" ht="13.5" thickBot="1">
      <c r="A57" s="2897" t="s">
        <v>2587</v>
      </c>
      <c r="B57" s="2919">
        <v>188</v>
      </c>
      <c r="C57" s="2919">
        <v>165</v>
      </c>
      <c r="D57" s="2919">
        <f t="shared" si="134"/>
        <v>165</v>
      </c>
      <c r="E57" s="2919">
        <v>254</v>
      </c>
      <c r="F57" s="2920">
        <v>148</v>
      </c>
      <c r="G57" s="3534">
        <v>2007</v>
      </c>
      <c r="H57" s="2957">
        <v>4</v>
      </c>
      <c r="I57" s="2957">
        <v>5.51</v>
      </c>
      <c r="J57" s="2957">
        <v>4.8899999999999997</v>
      </c>
      <c r="K57" s="2957">
        <v>6.43</v>
      </c>
      <c r="L57" s="2958">
        <v>5.36</v>
      </c>
      <c r="N57" s="2959">
        <f t="shared" ref="N57:O60" si="153">B57/B58-1</f>
        <v>4.1339718365245526E-2</v>
      </c>
      <c r="O57" s="2960">
        <f t="shared" si="153"/>
        <v>4.0324492593776018E-2</v>
      </c>
      <c r="P57" s="2960">
        <f t="shared" ref="P57:Q60" si="154">E57/E58-1</f>
        <v>6.1625555347990968E-2</v>
      </c>
      <c r="Q57" s="2960">
        <f t="shared" si="154"/>
        <v>4.6757569250590603E-2</v>
      </c>
      <c r="R57" s="2901"/>
      <c r="S57" s="2910"/>
      <c r="T57" s="2911"/>
      <c r="U57" s="2911"/>
      <c r="V57" s="2911"/>
      <c r="X57" s="2911"/>
      <c r="Y57" s="2911"/>
      <c r="Z57" s="2911"/>
    </row>
    <row r="58" spans="1:26">
      <c r="A58" s="2897" t="s">
        <v>2588</v>
      </c>
      <c r="B58" s="2898">
        <f t="shared" ref="B58:C60" si="155">B59+(B$57-B$61)*I58/SUM(I$57:I$60)</f>
        <v>180.5366651097618</v>
      </c>
      <c r="C58" s="2898">
        <f t="shared" si="155"/>
        <v>158.60435967302453</v>
      </c>
      <c r="D58" s="2898">
        <f t="shared" si="134"/>
        <v>158.60435967302453</v>
      </c>
      <c r="E58" s="2898">
        <f t="shared" ref="E58:F60" si="156">E59+(E$57-E$61)*K58/SUM(K$57:K$60)</f>
        <v>239.25573260785075</v>
      </c>
      <c r="F58" s="2898">
        <f t="shared" si="156"/>
        <v>141.38899430740037</v>
      </c>
      <c r="G58" s="3535">
        <v>2007</v>
      </c>
      <c r="H58" s="2924">
        <v>3</v>
      </c>
      <c r="I58" s="2924">
        <v>8.65</v>
      </c>
      <c r="J58" s="2924">
        <v>8.06</v>
      </c>
      <c r="K58" s="2924">
        <v>9.94</v>
      </c>
      <c r="L58" s="2925">
        <v>5.8</v>
      </c>
      <c r="N58" s="2959">
        <f t="shared" si="153"/>
        <v>6.940217571740015E-2</v>
      </c>
      <c r="O58" s="2960">
        <f t="shared" si="153"/>
        <v>7.1197482471153428E-2</v>
      </c>
      <c r="P58" s="2960">
        <f t="shared" si="154"/>
        <v>0.10529679922579582</v>
      </c>
      <c r="Q58" s="2960">
        <f t="shared" si="154"/>
        <v>5.3292245059512133E-2</v>
      </c>
      <c r="R58" s="2901"/>
      <c r="S58" s="2900"/>
      <c r="T58" s="2886"/>
      <c r="U58" s="2886"/>
      <c r="V58" s="2886"/>
      <c r="X58" s="2961"/>
      <c r="Y58" s="2961"/>
      <c r="Z58" s="2961"/>
    </row>
    <row r="59" spans="1:26">
      <c r="A59" s="2897" t="s">
        <v>2589</v>
      </c>
      <c r="B59" s="2898">
        <f t="shared" si="155"/>
        <v>168.82017748715555</v>
      </c>
      <c r="C59" s="2898">
        <f t="shared" si="155"/>
        <v>148.06267029972753</v>
      </c>
      <c r="D59" s="2898">
        <f t="shared" si="134"/>
        <v>148.06267029972753</v>
      </c>
      <c r="E59" s="2898">
        <f t="shared" si="156"/>
        <v>216.46288379323747</v>
      </c>
      <c r="F59" s="2898">
        <f t="shared" si="156"/>
        <v>134.23529411764704</v>
      </c>
      <c r="G59" s="3535">
        <v>2007</v>
      </c>
      <c r="H59" s="2912">
        <v>2</v>
      </c>
      <c r="I59" s="2912">
        <v>3.67</v>
      </c>
      <c r="J59" s="2912">
        <v>2.3199999999999998</v>
      </c>
      <c r="K59" s="2912">
        <v>5.0199999999999996</v>
      </c>
      <c r="L59" s="2913">
        <v>6.71</v>
      </c>
      <c r="N59" s="2959">
        <f t="shared" si="153"/>
        <v>3.0339138143848032E-2</v>
      </c>
      <c r="O59" s="2960">
        <f t="shared" si="153"/>
        <v>2.0922341588790472E-2</v>
      </c>
      <c r="P59" s="2960">
        <f t="shared" si="154"/>
        <v>5.6164796592717003E-2</v>
      </c>
      <c r="Q59" s="2960">
        <f t="shared" si="154"/>
        <v>6.5704536723887319E-2</v>
      </c>
      <c r="R59" s="2901"/>
      <c r="S59" s="2900"/>
      <c r="T59" s="2886"/>
      <c r="U59" s="2886"/>
      <c r="V59" s="2886"/>
      <c r="X59" s="2961"/>
      <c r="Y59" s="2961"/>
      <c r="Z59" s="2961"/>
    </row>
    <row r="60" spans="1:26">
      <c r="A60" s="2897" t="s">
        <v>2590</v>
      </c>
      <c r="B60" s="2898">
        <f t="shared" si="155"/>
        <v>163.84913591779542</v>
      </c>
      <c r="C60" s="2898">
        <f t="shared" si="155"/>
        <v>145.0283378746594</v>
      </c>
      <c r="D60" s="2898">
        <f t="shared" si="134"/>
        <v>145.0283378746594</v>
      </c>
      <c r="E60" s="2898">
        <f t="shared" si="156"/>
        <v>204.95180722891567</v>
      </c>
      <c r="F60" s="2898">
        <f t="shared" si="156"/>
        <v>125.95920303605313</v>
      </c>
      <c r="G60" s="3536">
        <v>2007</v>
      </c>
      <c r="H60" s="2899">
        <v>1</v>
      </c>
      <c r="I60" s="2899">
        <v>3.58</v>
      </c>
      <c r="J60" s="2899">
        <v>3.08</v>
      </c>
      <c r="K60" s="2899">
        <v>4.34</v>
      </c>
      <c r="L60" s="2905">
        <v>3.21</v>
      </c>
      <c r="N60" s="2962">
        <f t="shared" si="153"/>
        <v>3.0497710174814063E-2</v>
      </c>
      <c r="O60" s="2963">
        <f t="shared" si="153"/>
        <v>2.8569772160704998E-2</v>
      </c>
      <c r="P60" s="2963">
        <f t="shared" si="154"/>
        <v>5.1034908866234296E-2</v>
      </c>
      <c r="Q60" s="2963">
        <f t="shared" si="154"/>
        <v>3.245248390207478E-2</v>
      </c>
      <c r="R60" s="2901"/>
      <c r="S60" s="2902">
        <f>B60/B61-1</f>
        <v>3.0497710174814063E-2</v>
      </c>
      <c r="T60" s="2903">
        <f>C60/C61-1</f>
        <v>2.8569772160704998E-2</v>
      </c>
      <c r="U60" s="2903">
        <f>E60/E61-1</f>
        <v>5.1034908866234296E-2</v>
      </c>
      <c r="V60" s="2903">
        <f>F60/F61-1</f>
        <v>3.245248390207478E-2</v>
      </c>
      <c r="X60" s="2961"/>
      <c r="Y60" s="2961"/>
      <c r="Z60" s="2961"/>
    </row>
    <row r="61" spans="1:26" ht="13.5" thickBot="1">
      <c r="A61" s="2897" t="s">
        <v>2591</v>
      </c>
      <c r="B61" s="2926">
        <v>159</v>
      </c>
      <c r="C61" s="2926">
        <v>141</v>
      </c>
      <c r="D61" s="2926">
        <f t="shared" si="134"/>
        <v>141</v>
      </c>
      <c r="E61" s="2926">
        <v>195</v>
      </c>
      <c r="F61" s="2927">
        <v>122</v>
      </c>
      <c r="G61" s="3534">
        <v>2006</v>
      </c>
      <c r="H61" s="2921">
        <v>4</v>
      </c>
      <c r="I61" s="2921">
        <v>3.79</v>
      </c>
      <c r="J61" s="2921">
        <v>2.21</v>
      </c>
      <c r="K61" s="2921">
        <v>5.65</v>
      </c>
      <c r="L61" s="2922">
        <v>5.41</v>
      </c>
      <c r="N61" s="2959">
        <f t="shared" ref="N61:O64" si="157">I61/SUM(I$61:I$64)*(B$61/B$65-1)</f>
        <v>7.245466462748526E-2</v>
      </c>
      <c r="O61" s="2960">
        <f t="shared" si="157"/>
        <v>2.3237230038062766E-2</v>
      </c>
      <c r="P61" s="2960">
        <f t="shared" ref="P61:Q64" si="158">K61/SUM(K$61:K$64)*(E$61/E$65-1)</f>
        <v>0.16146893866323722</v>
      </c>
      <c r="Q61" s="2960">
        <f t="shared" si="158"/>
        <v>5.0755230321793784E-2</v>
      </c>
      <c r="R61" s="2901"/>
      <c r="S61" s="2910"/>
      <c r="T61" s="2911"/>
      <c r="U61" s="2911"/>
      <c r="V61" s="2911"/>
      <c r="X61" s="2961"/>
      <c r="Y61" s="2961"/>
      <c r="Z61" s="2961"/>
    </row>
    <row r="62" spans="1:26">
      <c r="A62" s="2897" t="s">
        <v>2592</v>
      </c>
      <c r="B62" s="2898">
        <f t="shared" ref="B62:C64" si="159">B63+(B$61-B$65)*I62/SUM(I$61:I$64)</f>
        <v>149.00125628140702</v>
      </c>
      <c r="C62" s="2898">
        <f t="shared" si="159"/>
        <v>137.95592286501378</v>
      </c>
      <c r="D62" s="2898">
        <f t="shared" si="134"/>
        <v>137.95592286501378</v>
      </c>
      <c r="E62" s="2898">
        <f t="shared" ref="E62:F64" si="160">E63+(E$61-E$65)*K62/SUM(K$61:K$64)</f>
        <v>169.97231450719823</v>
      </c>
      <c r="F62" s="2898">
        <f t="shared" si="160"/>
        <v>116.21390374331551</v>
      </c>
      <c r="G62" s="3535">
        <v>2006</v>
      </c>
      <c r="H62" s="2924">
        <v>3</v>
      </c>
      <c r="I62" s="2924">
        <v>0.92</v>
      </c>
      <c r="J62" s="2924">
        <v>1.08</v>
      </c>
      <c r="K62" s="2924">
        <v>0.73</v>
      </c>
      <c r="L62" s="2925">
        <v>1.08</v>
      </c>
      <c r="N62" s="2959">
        <f t="shared" si="157"/>
        <v>1.7587939698492462E-2</v>
      </c>
      <c r="O62" s="2960">
        <f t="shared" si="157"/>
        <v>1.1355750425840628E-2</v>
      </c>
      <c r="P62" s="2960">
        <f t="shared" si="158"/>
        <v>2.0862358446754544E-2</v>
      </c>
      <c r="Q62" s="2960">
        <f t="shared" si="158"/>
        <v>1.0132282578103011E-2</v>
      </c>
      <c r="R62" s="2901"/>
      <c r="S62" s="2900"/>
      <c r="T62" s="2886"/>
      <c r="U62" s="2886"/>
      <c r="V62" s="2886"/>
      <c r="X62" s="2961"/>
      <c r="Y62" s="2961"/>
      <c r="Z62" s="2961"/>
    </row>
    <row r="63" spans="1:26">
      <c r="A63" s="2897" t="s">
        <v>2593</v>
      </c>
      <c r="B63" s="2898">
        <f t="shared" si="159"/>
        <v>146.57412060301507</v>
      </c>
      <c r="C63" s="2898">
        <f t="shared" si="159"/>
        <v>136.46831955922866</v>
      </c>
      <c r="D63" s="2898">
        <f t="shared" si="134"/>
        <v>136.46831955922866</v>
      </c>
      <c r="E63" s="2898">
        <f t="shared" si="160"/>
        <v>166.73864894795128</v>
      </c>
      <c r="F63" s="2898">
        <f t="shared" si="160"/>
        <v>115.05882352941177</v>
      </c>
      <c r="G63" s="3535">
        <v>2006</v>
      </c>
      <c r="H63" s="2912">
        <v>2</v>
      </c>
      <c r="I63" s="2912">
        <v>0.96</v>
      </c>
      <c r="J63" s="2912">
        <v>0.25</v>
      </c>
      <c r="K63" s="2912">
        <v>1.9</v>
      </c>
      <c r="L63" s="2913">
        <v>0.95</v>
      </c>
      <c r="N63" s="2959">
        <f t="shared" si="157"/>
        <v>1.8352632728861701E-2</v>
      </c>
      <c r="O63" s="2960">
        <f t="shared" si="157"/>
        <v>2.6286459319075526E-3</v>
      </c>
      <c r="P63" s="2960">
        <f t="shared" si="158"/>
        <v>5.4299289107991269E-2</v>
      </c>
      <c r="Q63" s="2960">
        <f t="shared" si="158"/>
        <v>8.9126559714794995E-3</v>
      </c>
      <c r="R63" s="2901"/>
      <c r="S63" s="2900"/>
      <c r="T63" s="2886"/>
      <c r="U63" s="2886"/>
      <c r="V63" s="2886"/>
      <c r="X63" s="2961"/>
      <c r="Y63" s="2961"/>
      <c r="Z63" s="2961"/>
    </row>
    <row r="64" spans="1:26">
      <c r="A64" s="2897" t="s">
        <v>2594</v>
      </c>
      <c r="B64" s="2898">
        <f t="shared" si="159"/>
        <v>144.04145728643215</v>
      </c>
      <c r="C64" s="2898">
        <f t="shared" si="159"/>
        <v>136.12396694214877</v>
      </c>
      <c r="D64" s="2898">
        <f t="shared" si="134"/>
        <v>136.12396694214877</v>
      </c>
      <c r="E64" s="2898">
        <f t="shared" si="160"/>
        <v>158.32225913621264</v>
      </c>
      <c r="F64" s="2898">
        <f t="shared" si="160"/>
        <v>114.04278074866311</v>
      </c>
      <c r="G64" s="3536">
        <v>2006</v>
      </c>
      <c r="H64" s="2899">
        <v>1</v>
      </c>
      <c r="I64" s="2899">
        <v>2.29</v>
      </c>
      <c r="J64" s="2899">
        <v>3.72</v>
      </c>
      <c r="K64" s="2899">
        <v>0.75</v>
      </c>
      <c r="L64" s="2905">
        <v>0.04</v>
      </c>
      <c r="N64" s="2962">
        <f t="shared" si="157"/>
        <v>4.3778675988638847E-2</v>
      </c>
      <c r="O64" s="2963">
        <f t="shared" si="157"/>
        <v>3.9114251466784385E-2</v>
      </c>
      <c r="P64" s="2963">
        <f t="shared" si="158"/>
        <v>2.1433929911049188E-2</v>
      </c>
      <c r="Q64" s="2963">
        <f t="shared" si="158"/>
        <v>3.7526972511492629E-4</v>
      </c>
      <c r="R64" s="2901"/>
      <c r="S64" s="2902">
        <f>B64/B65-1</f>
        <v>4.3778675988638716E-2</v>
      </c>
      <c r="T64" s="2903">
        <f>C64/C65-1</f>
        <v>3.91142514667846E-2</v>
      </c>
      <c r="U64" s="2903">
        <f>E64/E65-1</f>
        <v>2.143392991104931E-2</v>
      </c>
      <c r="V64" s="2903">
        <f>F64/F65-1</f>
        <v>3.7526972511492396E-4</v>
      </c>
      <c r="X64" s="2961"/>
      <c r="Y64" s="2961"/>
      <c r="Z64" s="2961"/>
    </row>
    <row r="65" spans="1:26" ht="13.5" thickBot="1">
      <c r="A65" s="2897" t="s">
        <v>2595</v>
      </c>
      <c r="B65" s="2926">
        <v>138</v>
      </c>
      <c r="C65" s="2926">
        <v>131</v>
      </c>
      <c r="D65" s="2926">
        <f t="shared" si="134"/>
        <v>131</v>
      </c>
      <c r="E65" s="2926">
        <v>155</v>
      </c>
      <c r="F65" s="2927">
        <v>114</v>
      </c>
      <c r="G65" s="3534">
        <v>2005</v>
      </c>
      <c r="H65" s="2921">
        <v>4</v>
      </c>
      <c r="I65" s="2921">
        <v>3.29</v>
      </c>
      <c r="J65" s="2921">
        <v>1.44</v>
      </c>
      <c r="K65" s="2921">
        <v>0.66</v>
      </c>
      <c r="L65" s="2922">
        <v>7.78</v>
      </c>
      <c r="N65" s="2959">
        <f t="shared" ref="N65:O68" si="161">I65/SUM(I$65:I$68)*(B$65/B$69-1)</f>
        <v>9.9404603216919935E-2</v>
      </c>
      <c r="O65" s="2960">
        <f t="shared" si="161"/>
        <v>4.7636550760861554E-2</v>
      </c>
      <c r="P65" s="2960">
        <f t="shared" ref="P65:Q68" si="162">K65/SUM(K$65:K$68)*(E$65/E$69-1)</f>
        <v>8.3756345177664976E-2</v>
      </c>
      <c r="Q65" s="2960">
        <f t="shared" si="162"/>
        <v>5.2148766661559584E-2</v>
      </c>
      <c r="R65" s="2901"/>
      <c r="S65" s="2910"/>
      <c r="T65" s="2911"/>
      <c r="U65" s="2911"/>
      <c r="V65" s="2911"/>
      <c r="X65" s="2961"/>
      <c r="Y65" s="2961"/>
      <c r="Z65" s="2961"/>
    </row>
    <row r="66" spans="1:26">
      <c r="A66" s="2897" t="s">
        <v>2596</v>
      </c>
      <c r="B66" s="2898">
        <f t="shared" ref="B66:C68" si="163">B67+(B$65-B$69)*I66/SUM(I$65:I$68)</f>
        <v>125.9720430107527</v>
      </c>
      <c r="C66" s="2898">
        <f t="shared" si="163"/>
        <v>125.1883408071749</v>
      </c>
      <c r="D66" s="2898">
        <f t="shared" si="134"/>
        <v>125.1883408071749</v>
      </c>
      <c r="E66" s="2898">
        <f t="shared" ref="E66:F68" si="164">E67+(E$65-E$69)*K66/SUM(K$65:K$68)</f>
        <v>144.61421319796952</v>
      </c>
      <c r="F66" s="2898">
        <f t="shared" si="164"/>
        <v>108.42008196721311</v>
      </c>
      <c r="G66" s="3535">
        <v>2005</v>
      </c>
      <c r="H66" s="2924">
        <v>3</v>
      </c>
      <c r="I66" s="2924">
        <v>0.46</v>
      </c>
      <c r="J66" s="2924">
        <v>0.32</v>
      </c>
      <c r="K66" s="2924">
        <v>0.42</v>
      </c>
      <c r="L66" s="2925">
        <v>0.64</v>
      </c>
      <c r="N66" s="2959">
        <f t="shared" si="161"/>
        <v>1.3898515951301874E-2</v>
      </c>
      <c r="O66" s="2960">
        <f t="shared" si="161"/>
        <v>1.0585900169080346E-2</v>
      </c>
      <c r="P66" s="2960">
        <f t="shared" si="162"/>
        <v>5.3299492385786795E-2</v>
      </c>
      <c r="Q66" s="2960">
        <f t="shared" si="162"/>
        <v>4.2898728359123568E-3</v>
      </c>
      <c r="R66" s="2901"/>
      <c r="S66" s="2900"/>
      <c r="T66" s="2886"/>
      <c r="U66" s="2886"/>
      <c r="V66" s="2886"/>
      <c r="X66" s="2961"/>
      <c r="Y66" s="2961"/>
      <c r="Z66" s="2961"/>
    </row>
    <row r="67" spans="1:26">
      <c r="A67" s="2897" t="s">
        <v>2597</v>
      </c>
      <c r="B67" s="2898">
        <f t="shared" si="163"/>
        <v>124.29032258064517</v>
      </c>
      <c r="C67" s="2898">
        <f t="shared" si="163"/>
        <v>123.8968609865471</v>
      </c>
      <c r="D67" s="2898">
        <f t="shared" si="134"/>
        <v>123.8968609865471</v>
      </c>
      <c r="E67" s="2898">
        <f t="shared" si="164"/>
        <v>138.00507614213197</v>
      </c>
      <c r="F67" s="2898">
        <f t="shared" si="164"/>
        <v>107.96106557377048</v>
      </c>
      <c r="G67" s="3535">
        <v>2005</v>
      </c>
      <c r="H67" s="2912">
        <v>2</v>
      </c>
      <c r="I67" s="2912">
        <v>0.47</v>
      </c>
      <c r="J67" s="2912">
        <v>0.1</v>
      </c>
      <c r="K67" s="2912">
        <v>0.52</v>
      </c>
      <c r="L67" s="2913">
        <v>0.79</v>
      </c>
      <c r="N67" s="2959">
        <f t="shared" si="161"/>
        <v>1.420065760241713E-2</v>
      </c>
      <c r="O67" s="2960">
        <f t="shared" si="161"/>
        <v>3.3080938028376083E-3</v>
      </c>
      <c r="P67" s="2960">
        <f t="shared" si="162"/>
        <v>6.598984771573603E-2</v>
      </c>
      <c r="Q67" s="2960">
        <f t="shared" si="162"/>
        <v>5.2953117818293153E-3</v>
      </c>
      <c r="R67" s="2901"/>
      <c r="S67" s="2900"/>
      <c r="T67" s="2886"/>
      <c r="U67" s="2886"/>
      <c r="V67" s="2886"/>
      <c r="X67" s="2961"/>
      <c r="Y67" s="2961"/>
      <c r="Z67" s="2961"/>
    </row>
    <row r="68" spans="1:26">
      <c r="A68" s="2897" t="s">
        <v>2598</v>
      </c>
      <c r="B68" s="2898">
        <f t="shared" si="163"/>
        <v>122.57204301075269</v>
      </c>
      <c r="C68" s="2898">
        <f t="shared" si="163"/>
        <v>123.4932735426009</v>
      </c>
      <c r="D68" s="2898">
        <f t="shared" si="134"/>
        <v>123.4932735426009</v>
      </c>
      <c r="E68" s="2898">
        <f t="shared" si="164"/>
        <v>129.82233502538071</v>
      </c>
      <c r="F68" s="2898">
        <f t="shared" si="164"/>
        <v>107.39446721311475</v>
      </c>
      <c r="G68" s="3536">
        <v>2005</v>
      </c>
      <c r="H68" s="2899">
        <v>1</v>
      </c>
      <c r="I68" s="2899">
        <v>0.43</v>
      </c>
      <c r="J68" s="2899">
        <v>0.37</v>
      </c>
      <c r="K68" s="2899">
        <v>0.37</v>
      </c>
      <c r="L68" s="2905">
        <v>0.55000000000000004</v>
      </c>
      <c r="N68" s="2962">
        <f t="shared" si="161"/>
        <v>1.2992090997956099E-2</v>
      </c>
      <c r="O68" s="2963">
        <f t="shared" si="161"/>
        <v>1.2239947070499151E-2</v>
      </c>
      <c r="P68" s="2963">
        <f t="shared" si="162"/>
        <v>4.6954314720812178E-2</v>
      </c>
      <c r="Q68" s="2963">
        <f t="shared" si="162"/>
        <v>3.6866094683621815E-3</v>
      </c>
      <c r="R68" s="2901"/>
      <c r="S68" s="2902">
        <f>B68/B69-1</f>
        <v>1.2992090997956174E-2</v>
      </c>
      <c r="T68" s="2903">
        <f>C68/C69-1</f>
        <v>1.2239947070499246E-2</v>
      </c>
      <c r="U68" s="2903">
        <f>E68/E69-1</f>
        <v>4.695431472081224E-2</v>
      </c>
      <c r="V68" s="2903">
        <f>F68/F69-1</f>
        <v>3.6866094683620787E-3</v>
      </c>
      <c r="X68" s="2961"/>
      <c r="Y68" s="2961"/>
      <c r="Z68" s="2961"/>
    </row>
    <row r="69" spans="1:26" ht="13.5" thickBot="1">
      <c r="A69" s="2897" t="s">
        <v>2599</v>
      </c>
      <c r="B69" s="2947">
        <v>121</v>
      </c>
      <c r="C69" s="2947">
        <v>122</v>
      </c>
      <c r="D69" s="2947">
        <f t="shared" si="134"/>
        <v>122</v>
      </c>
      <c r="E69" s="2947">
        <v>124</v>
      </c>
      <c r="F69" s="2948">
        <v>107</v>
      </c>
      <c r="G69" s="3534">
        <v>2004</v>
      </c>
      <c r="H69" s="2921">
        <v>4</v>
      </c>
      <c r="I69" s="2921">
        <v>0.33</v>
      </c>
      <c r="J69" s="2921">
        <v>0.5</v>
      </c>
      <c r="K69" s="2921">
        <v>0.5</v>
      </c>
      <c r="L69" s="2922">
        <v>0</v>
      </c>
      <c r="N69" s="2959">
        <f t="shared" ref="N69:O72" si="165">I69/SUM(I$69:I$72)*(B$69/B$73-1)</f>
        <v>1.3391770148526898E-2</v>
      </c>
      <c r="O69" s="2960">
        <f t="shared" si="165"/>
        <v>1.063264221158958E-2</v>
      </c>
      <c r="P69" s="2960">
        <f t="shared" ref="P69:Q72" si="166">K69/SUM(K$69:K$72)*(E$69/E$73-1)</f>
        <v>2.2244466688911134E-2</v>
      </c>
      <c r="Q69" s="2960">
        <f t="shared" si="166"/>
        <v>0</v>
      </c>
      <c r="R69" s="2901"/>
      <c r="S69" s="2910"/>
      <c r="T69" s="2911"/>
      <c r="U69" s="2911"/>
      <c r="V69" s="2911"/>
      <c r="X69" s="2961"/>
      <c r="Y69" s="2961"/>
      <c r="Z69" s="2961"/>
    </row>
    <row r="70" spans="1:26">
      <c r="A70" s="2897" t="s">
        <v>2600</v>
      </c>
      <c r="B70" s="2898">
        <f t="shared" ref="B70:C72" si="167">B71+(B$69-B$73)*I70/SUM(I$69:I$72)</f>
        <v>119.51351351351352</v>
      </c>
      <c r="C70" s="2898">
        <f t="shared" si="167"/>
        <v>120.7878787878788</v>
      </c>
      <c r="D70" s="2898">
        <f t="shared" si="134"/>
        <v>120.7878787878788</v>
      </c>
      <c r="E70" s="2898">
        <f t="shared" ref="E70:F72" si="168">E71+(E$69-E$73)*K70/SUM(K$69:K$72)</f>
        <v>121.5975975975976</v>
      </c>
      <c r="F70" s="2898">
        <f t="shared" si="168"/>
        <v>107</v>
      </c>
      <c r="G70" s="3535">
        <v>2004</v>
      </c>
      <c r="H70" s="2924">
        <v>3</v>
      </c>
      <c r="I70" s="2924">
        <v>0.56000000000000005</v>
      </c>
      <c r="J70" s="2924">
        <v>0.8</v>
      </c>
      <c r="K70" s="2924">
        <v>0.83</v>
      </c>
      <c r="L70" s="2925">
        <v>0.06</v>
      </c>
      <c r="N70" s="2959">
        <f t="shared" si="165"/>
        <v>2.2725428130833527E-2</v>
      </c>
      <c r="O70" s="2960">
        <f t="shared" si="165"/>
        <v>1.7012227538543329E-2</v>
      </c>
      <c r="P70" s="2960">
        <f t="shared" si="166"/>
        <v>3.6925814703592477E-2</v>
      </c>
      <c r="Q70" s="2960">
        <f t="shared" si="166"/>
        <v>2.8846153846153744E-2</v>
      </c>
      <c r="R70" s="2901"/>
      <c r="S70" s="2900"/>
      <c r="T70" s="2886"/>
      <c r="U70" s="2886"/>
      <c r="V70" s="2886"/>
      <c r="X70" s="2961"/>
      <c r="Y70" s="2961"/>
      <c r="Z70" s="2961"/>
    </row>
    <row r="71" spans="1:26">
      <c r="A71" s="2897" t="s">
        <v>2601</v>
      </c>
      <c r="B71" s="2898">
        <f t="shared" si="167"/>
        <v>116.99099099099099</v>
      </c>
      <c r="C71" s="2898">
        <f t="shared" si="167"/>
        <v>118.84848484848486</v>
      </c>
      <c r="D71" s="2898">
        <f t="shared" si="134"/>
        <v>118.84848484848486</v>
      </c>
      <c r="E71" s="2898">
        <f t="shared" si="168"/>
        <v>117.60960960960961</v>
      </c>
      <c r="F71" s="2898">
        <f t="shared" si="168"/>
        <v>104</v>
      </c>
      <c r="G71" s="3535">
        <v>2004</v>
      </c>
      <c r="H71" s="2912">
        <v>2</v>
      </c>
      <c r="I71" s="2912">
        <v>1</v>
      </c>
      <c r="J71" s="2912">
        <v>1.5</v>
      </c>
      <c r="K71" s="2912">
        <v>1.5</v>
      </c>
      <c r="L71" s="2913">
        <v>0</v>
      </c>
      <c r="N71" s="2959">
        <f t="shared" si="165"/>
        <v>4.0581121662202721E-2</v>
      </c>
      <c r="O71" s="2960">
        <f t="shared" si="165"/>
        <v>3.1897926634768738E-2</v>
      </c>
      <c r="P71" s="2960">
        <f t="shared" si="166"/>
        <v>6.6733400066733395E-2</v>
      </c>
      <c r="Q71" s="2960">
        <f t="shared" si="166"/>
        <v>0</v>
      </c>
      <c r="R71" s="2901"/>
      <c r="S71" s="2900"/>
      <c r="T71" s="2886"/>
      <c r="U71" s="2886"/>
      <c r="V71" s="2886"/>
      <c r="X71" s="2961"/>
      <c r="Y71" s="2961"/>
      <c r="Z71" s="2961"/>
    </row>
    <row r="72" spans="1:26" s="2953" customFormat="1" ht="13.5" thickBot="1">
      <c r="A72" s="2897" t="s">
        <v>2602</v>
      </c>
      <c r="B72" s="2950">
        <f t="shared" si="167"/>
        <v>112.48648648648648</v>
      </c>
      <c r="C72" s="2950">
        <f t="shared" si="167"/>
        <v>115.21212121212122</v>
      </c>
      <c r="D72" s="2950">
        <f t="shared" si="134"/>
        <v>115.21212121212122</v>
      </c>
      <c r="E72" s="2950">
        <f t="shared" si="168"/>
        <v>110.4024024024024</v>
      </c>
      <c r="F72" s="2950">
        <f t="shared" si="168"/>
        <v>104</v>
      </c>
      <c r="G72" s="3536">
        <v>2004</v>
      </c>
      <c r="H72" s="2951">
        <v>1</v>
      </c>
      <c r="I72" s="2951">
        <v>0.33</v>
      </c>
      <c r="J72" s="2951">
        <v>0.5</v>
      </c>
      <c r="K72" s="2951">
        <v>0.5</v>
      </c>
      <c r="L72" s="2952">
        <v>0</v>
      </c>
      <c r="N72" s="2964">
        <f t="shared" si="165"/>
        <v>1.3391770148526898E-2</v>
      </c>
      <c r="O72" s="2965">
        <f t="shared" si="165"/>
        <v>1.063264221158958E-2</v>
      </c>
      <c r="P72" s="2965">
        <f t="shared" si="166"/>
        <v>2.2244466688911134E-2</v>
      </c>
      <c r="Q72" s="2965">
        <f t="shared" si="166"/>
        <v>0</v>
      </c>
      <c r="R72" s="2956"/>
      <c r="S72" s="2954">
        <f>B72/B73-1</f>
        <v>1.3391770148526883E-2</v>
      </c>
      <c r="T72" s="2955">
        <f>C72/C73-1</f>
        <v>1.063264221158966E-2</v>
      </c>
      <c r="U72" s="2955">
        <f>E72/E73-1</f>
        <v>2.2244466688911224E-2</v>
      </c>
      <c r="V72" s="2955">
        <f>F72/F73-1</f>
        <v>0</v>
      </c>
      <c r="X72" s="2966"/>
      <c r="Y72" s="2966"/>
      <c r="Z72" s="2966"/>
    </row>
    <row r="73" spans="1:26" ht="13.5" thickBot="1">
      <c r="A73" s="2897" t="s">
        <v>2603</v>
      </c>
      <c r="B73" s="2967">
        <v>111</v>
      </c>
      <c r="C73" s="2967">
        <v>114</v>
      </c>
      <c r="D73" s="2967">
        <f t="shared" si="134"/>
        <v>114</v>
      </c>
      <c r="E73" s="2967">
        <v>108</v>
      </c>
      <c r="F73" s="2968">
        <v>104</v>
      </c>
      <c r="G73" s="3534">
        <v>2003</v>
      </c>
      <c r="H73" s="2957">
        <v>4</v>
      </c>
      <c r="I73" s="2969"/>
      <c r="J73" s="2969"/>
      <c r="K73" s="2969"/>
      <c r="L73" s="2969"/>
      <c r="N73" s="2970"/>
      <c r="O73" s="2969"/>
      <c r="P73" s="2969"/>
      <c r="Q73" s="2969"/>
      <c r="S73" s="2970"/>
      <c r="T73" s="2969"/>
      <c r="U73" s="2969"/>
      <c r="V73" s="2969"/>
      <c r="X73" s="2961"/>
      <c r="Y73" s="2961"/>
      <c r="Z73" s="2961"/>
    </row>
    <row r="74" spans="1:26">
      <c r="A74" s="2897" t="s">
        <v>2604</v>
      </c>
      <c r="B74" s="2971">
        <f t="shared" ref="B74:C76" si="169">B75+(B$73-B$77)/4</f>
        <v>109.75</v>
      </c>
      <c r="C74" s="2971">
        <f t="shared" si="169"/>
        <v>112.25</v>
      </c>
      <c r="D74" s="2971">
        <f t="shared" si="134"/>
        <v>112.25</v>
      </c>
      <c r="E74" s="2971">
        <f t="shared" ref="E74:F76" si="170">E75+(E$73-E$77)/4</f>
        <v>107.25</v>
      </c>
      <c r="F74" s="2971">
        <f t="shared" si="170"/>
        <v>103.5</v>
      </c>
      <c r="G74" s="3535">
        <v>2003</v>
      </c>
      <c r="H74" s="2924">
        <v>3</v>
      </c>
      <c r="I74" s="2969"/>
      <c r="J74" s="2969"/>
      <c r="K74" s="2969"/>
      <c r="L74" s="2969"/>
      <c r="X74" s="2961"/>
      <c r="Y74" s="2961"/>
      <c r="Z74" s="2961"/>
    </row>
    <row r="75" spans="1:26">
      <c r="A75" s="2897" t="s">
        <v>2605</v>
      </c>
      <c r="B75" s="2971">
        <f t="shared" si="169"/>
        <v>108.5</v>
      </c>
      <c r="C75" s="2971">
        <f t="shared" si="169"/>
        <v>110.5</v>
      </c>
      <c r="D75" s="2971">
        <f t="shared" si="134"/>
        <v>110.5</v>
      </c>
      <c r="E75" s="2971">
        <f t="shared" si="170"/>
        <v>106.5</v>
      </c>
      <c r="F75" s="2971">
        <f t="shared" si="170"/>
        <v>103</v>
      </c>
      <c r="G75" s="3535">
        <v>2003</v>
      </c>
      <c r="H75" s="2912">
        <v>2</v>
      </c>
      <c r="I75" s="2969"/>
      <c r="J75" s="2969"/>
      <c r="K75" s="2969"/>
      <c r="L75" s="2969"/>
      <c r="X75" s="2961"/>
      <c r="Y75" s="2961"/>
      <c r="Z75" s="2961"/>
    </row>
    <row r="76" spans="1:26" ht="13.5" thickBot="1">
      <c r="A76" s="2897" t="s">
        <v>2606</v>
      </c>
      <c r="B76" s="2971">
        <f t="shared" si="169"/>
        <v>107.25</v>
      </c>
      <c r="C76" s="2971">
        <f t="shared" si="169"/>
        <v>108.75</v>
      </c>
      <c r="D76" s="2971">
        <f t="shared" si="134"/>
        <v>108.75</v>
      </c>
      <c r="E76" s="2971">
        <f t="shared" si="170"/>
        <v>105.75</v>
      </c>
      <c r="F76" s="2971">
        <f t="shared" si="170"/>
        <v>102.5</v>
      </c>
      <c r="G76" s="3536">
        <v>2003</v>
      </c>
      <c r="H76" s="2972">
        <v>1</v>
      </c>
      <c r="I76" s="2969"/>
      <c r="J76" s="2969"/>
      <c r="K76" s="2969"/>
      <c r="L76" s="2969"/>
      <c r="S76" s="2900"/>
      <c r="T76" s="2886"/>
      <c r="U76" s="2886"/>
      <c r="X76" s="2961"/>
      <c r="Y76" s="2961"/>
      <c r="Z76" s="2961"/>
    </row>
    <row r="77" spans="1:26" ht="13.5" thickBot="1">
      <c r="A77" s="2897" t="s">
        <v>2607</v>
      </c>
      <c r="B77" s="2973">
        <v>106</v>
      </c>
      <c r="C77" s="2973">
        <v>107</v>
      </c>
      <c r="D77" s="2973">
        <f t="shared" si="134"/>
        <v>107</v>
      </c>
      <c r="E77" s="2973">
        <v>105</v>
      </c>
      <c r="F77" s="2974">
        <v>102</v>
      </c>
      <c r="G77" s="3534">
        <v>2002</v>
      </c>
      <c r="H77" s="2921">
        <v>4</v>
      </c>
      <c r="I77" s="2969"/>
      <c r="J77" s="2969"/>
      <c r="K77" s="2969"/>
      <c r="L77" s="2969"/>
      <c r="N77" s="2970"/>
      <c r="O77" s="2969"/>
      <c r="P77" s="2969"/>
      <c r="Q77" s="2969"/>
      <c r="S77" s="2970"/>
      <c r="T77" s="2969"/>
      <c r="U77" s="2969"/>
      <c r="V77" s="2969"/>
      <c r="X77" s="2961"/>
      <c r="Y77" s="2961"/>
      <c r="Z77" s="2961"/>
    </row>
    <row r="78" spans="1:26">
      <c r="A78" s="2897" t="s">
        <v>2608</v>
      </c>
      <c r="B78" s="2971">
        <f t="shared" ref="B78:C80" si="171">B79+(B$77-B$81)/4</f>
        <v>105</v>
      </c>
      <c r="C78" s="2971">
        <f t="shared" si="171"/>
        <v>106</v>
      </c>
      <c r="D78" s="2971">
        <f t="shared" si="134"/>
        <v>106</v>
      </c>
      <c r="E78" s="2971">
        <f t="shared" ref="E78:F80" si="172">E79+(E$77-E$81)/4</f>
        <v>104.5</v>
      </c>
      <c r="F78" s="2971">
        <f t="shared" si="172"/>
        <v>101.5</v>
      </c>
      <c r="G78" s="3535">
        <v>2002</v>
      </c>
      <c r="H78" s="2924">
        <v>3</v>
      </c>
      <c r="I78" s="2969"/>
      <c r="J78" s="2969"/>
      <c r="K78" s="2969"/>
      <c r="L78" s="2969"/>
      <c r="X78" s="2961"/>
      <c r="Y78" s="2961"/>
      <c r="Z78" s="2961"/>
    </row>
    <row r="79" spans="1:26">
      <c r="A79" s="2897" t="s">
        <v>2609</v>
      </c>
      <c r="B79" s="2971">
        <f t="shared" si="171"/>
        <v>104</v>
      </c>
      <c r="C79" s="2971">
        <f t="shared" si="171"/>
        <v>105</v>
      </c>
      <c r="D79" s="2971">
        <f t="shared" si="134"/>
        <v>105</v>
      </c>
      <c r="E79" s="2971">
        <f t="shared" si="172"/>
        <v>104</v>
      </c>
      <c r="F79" s="2971">
        <f t="shared" si="172"/>
        <v>101</v>
      </c>
      <c r="G79" s="3535">
        <v>2002</v>
      </c>
      <c r="H79" s="2912">
        <v>2</v>
      </c>
      <c r="I79" s="2969"/>
      <c r="J79" s="2969"/>
      <c r="K79" s="2969"/>
      <c r="L79" s="2969"/>
      <c r="X79" s="2961"/>
      <c r="Y79" s="2961"/>
      <c r="Z79" s="2961"/>
    </row>
    <row r="80" spans="1:26" s="2934" customFormat="1" ht="13.5" thickBot="1">
      <c r="A80" s="2930" t="s">
        <v>2610</v>
      </c>
      <c r="B80" s="2937">
        <f t="shared" si="171"/>
        <v>103</v>
      </c>
      <c r="C80" s="2937">
        <f t="shared" si="171"/>
        <v>104</v>
      </c>
      <c r="D80" s="2937">
        <f t="shared" si="134"/>
        <v>104</v>
      </c>
      <c r="E80" s="2937">
        <f t="shared" si="172"/>
        <v>103.5</v>
      </c>
      <c r="F80" s="2937">
        <f t="shared" si="172"/>
        <v>100.5</v>
      </c>
      <c r="G80" s="3536">
        <v>2002</v>
      </c>
      <c r="H80" s="2975">
        <v>1</v>
      </c>
      <c r="I80" s="2976"/>
      <c r="J80" s="2976"/>
      <c r="K80" s="2976"/>
      <c r="L80" s="2976"/>
      <c r="N80" s="2977"/>
      <c r="S80" s="2977"/>
      <c r="X80" s="2978"/>
      <c r="Y80" s="2978"/>
      <c r="Z80" s="2978"/>
    </row>
    <row r="81" spans="1:26" ht="13.5" thickBot="1">
      <c r="B81" s="2979">
        <v>102</v>
      </c>
      <c r="C81" s="2980">
        <v>103</v>
      </c>
      <c r="D81" s="2980">
        <f t="shared" si="134"/>
        <v>103</v>
      </c>
      <c r="E81" s="2980">
        <v>103</v>
      </c>
      <c r="F81" s="2981">
        <v>100</v>
      </c>
      <c r="I81" s="2969"/>
      <c r="J81" s="2969"/>
      <c r="K81" s="2969"/>
      <c r="L81" s="2969"/>
      <c r="N81" s="2970"/>
      <c r="O81" s="2969"/>
      <c r="P81" s="2969"/>
      <c r="Q81" s="2969"/>
      <c r="S81" s="2970"/>
      <c r="T81" s="2969"/>
      <c r="U81" s="2969"/>
      <c r="V81" s="2969"/>
      <c r="X81" s="2911"/>
      <c r="Y81" s="2911"/>
      <c r="Z81" s="2911"/>
    </row>
    <row r="83" spans="1:26" s="2983" customFormat="1">
      <c r="A83" s="2982" t="s">
        <v>2611</v>
      </c>
      <c r="G83" s="2984"/>
      <c r="N83" s="2984"/>
      <c r="S83" s="2984"/>
    </row>
    <row r="84" spans="1:26" s="2983" customFormat="1">
      <c r="A84" s="2983" t="s">
        <v>2612</v>
      </c>
      <c r="G84" s="2984"/>
      <c r="N84" s="2984"/>
      <c r="S84" s="2984"/>
    </row>
    <row r="85" spans="1:26" s="2983" customFormat="1">
      <c r="A85" s="2983" t="s">
        <v>2613</v>
      </c>
      <c r="G85" s="2984"/>
      <c r="I85" s="2985"/>
      <c r="J85" s="2985"/>
      <c r="K85" s="2985"/>
      <c r="L85" s="2985"/>
      <c r="N85" s="2986"/>
      <c r="O85" s="2985"/>
      <c r="P85" s="2985"/>
      <c r="Q85" s="2985"/>
      <c r="S85" s="2986"/>
      <c r="T85" s="2985"/>
      <c r="U85" s="2985"/>
      <c r="V85" s="2985"/>
    </row>
    <row r="86" spans="1:26" s="2983" customFormat="1">
      <c r="A86" s="2983" t="s">
        <v>2614</v>
      </c>
      <c r="G86" s="2984"/>
      <c r="N86" s="2984"/>
      <c r="S86" s="2984"/>
    </row>
    <row r="93" spans="1:26" ht="13.5" thickBot="1"/>
    <row r="94" spans="1:26">
      <c r="G94" s="2885"/>
      <c r="S94" s="2987" t="s">
        <v>2615</v>
      </c>
      <c r="T94" s="2988" t="s">
        <v>2616</v>
      </c>
      <c r="U94" s="2988" t="s">
        <v>2617</v>
      </c>
      <c r="V94" s="2988" t="s">
        <v>2618</v>
      </c>
    </row>
    <row r="95" spans="1:26">
      <c r="G95" s="2885"/>
      <c r="N95" s="2910"/>
      <c r="O95" s="2911"/>
      <c r="P95" s="2911"/>
      <c r="Q95" s="2911"/>
      <c r="S95" s="2989">
        <v>2006</v>
      </c>
      <c r="T95" s="2990">
        <v>15.1</v>
      </c>
      <c r="U95" s="2990">
        <v>7.43</v>
      </c>
      <c r="V95" s="2990">
        <v>26.26</v>
      </c>
    </row>
    <row r="96" spans="1:26">
      <c r="G96" s="2885"/>
      <c r="N96" s="2910"/>
      <c r="O96" s="2911"/>
      <c r="P96" s="2911"/>
      <c r="Q96" s="2911"/>
      <c r="S96" s="2991">
        <v>2005</v>
      </c>
      <c r="T96" s="2992">
        <v>13.9</v>
      </c>
      <c r="U96" s="2992">
        <v>7.49</v>
      </c>
      <c r="V96" s="2992">
        <v>24.92</v>
      </c>
    </row>
    <row r="97" spans="7:22">
      <c r="G97" s="2885"/>
      <c r="N97" s="2910"/>
      <c r="O97" s="2911"/>
      <c r="P97" s="2911"/>
      <c r="Q97" s="2911"/>
      <c r="S97" s="2989">
        <v>2004</v>
      </c>
      <c r="T97" s="2990">
        <v>9.48</v>
      </c>
      <c r="U97" s="2990">
        <v>7.2</v>
      </c>
      <c r="V97" s="2990">
        <v>14.68</v>
      </c>
    </row>
    <row r="98" spans="7:22">
      <c r="G98" s="2885"/>
      <c r="N98" s="2910"/>
      <c r="O98" s="2911"/>
      <c r="P98" s="2911"/>
      <c r="Q98" s="2911"/>
      <c r="S98" s="2991">
        <v>2003</v>
      </c>
      <c r="T98" s="2992">
        <v>4.5</v>
      </c>
      <c r="U98" s="2992">
        <v>6.12</v>
      </c>
      <c r="V98" s="2992">
        <v>2.34</v>
      </c>
    </row>
    <row r="99" spans="7:22" ht="13.5" thickBot="1">
      <c r="G99" s="2885"/>
      <c r="N99" s="2910"/>
      <c r="O99" s="2911"/>
      <c r="P99" s="2911"/>
      <c r="Q99" s="2911"/>
      <c r="S99" s="2993">
        <v>2002</v>
      </c>
      <c r="T99" s="2994">
        <v>3.59</v>
      </c>
      <c r="U99" s="2994">
        <v>4.54</v>
      </c>
      <c r="V99" s="2994">
        <v>2.5499999999999998</v>
      </c>
    </row>
    <row r="100" spans="7:22">
      <c r="G100" s="2885"/>
      <c r="N100" s="2910"/>
      <c r="O100" s="2911"/>
      <c r="P100" s="2911"/>
      <c r="Q100" s="2911"/>
    </row>
    <row r="101" spans="7:22">
      <c r="G101" s="2885"/>
      <c r="N101" s="2910"/>
      <c r="O101" s="2911"/>
      <c r="P101" s="2911"/>
      <c r="Q101" s="2911"/>
    </row>
    <row r="102" spans="7:22">
      <c r="G102" s="2885"/>
      <c r="N102" s="2910"/>
      <c r="O102" s="2911"/>
      <c r="P102" s="2911"/>
      <c r="Q102" s="2911"/>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c r="S110" s="2885"/>
    </row>
    <row r="111" spans="7:22">
      <c r="G111" s="2885"/>
      <c r="N111" s="2910"/>
      <c r="O111" s="2911"/>
      <c r="P111" s="2911"/>
      <c r="Q111" s="2911"/>
      <c r="S111" s="2885"/>
    </row>
    <row r="112" spans="7:22">
      <c r="G112" s="2885"/>
      <c r="N112" s="2910"/>
      <c r="O112" s="2911"/>
      <c r="P112" s="2911"/>
      <c r="Q112" s="2911"/>
      <c r="S112" s="2885"/>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9"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3" sqref="I3"/>
    </sheetView>
  </sheetViews>
  <sheetFormatPr defaultColWidth="8.875" defaultRowHeight="13.5"/>
  <cols>
    <col min="1" max="1" width="22.625" style="3245" customWidth="1"/>
    <col min="2" max="2" width="12.5" style="3245" customWidth="1"/>
    <col min="3" max="3" width="12.125" style="3245" customWidth="1"/>
    <col min="4" max="4" width="16.625" style="3245" customWidth="1"/>
    <col min="5" max="5" width="12.5" style="3245" customWidth="1"/>
    <col min="6" max="6" width="12.625" style="3245" customWidth="1"/>
    <col min="7" max="16384" width="8.875" style="3245"/>
  </cols>
  <sheetData>
    <row r="1" spans="1:14" ht="20.25">
      <c r="A1" s="3248" t="s">
        <v>2912</v>
      </c>
      <c r="B1" s="3243"/>
      <c r="C1" s="3243"/>
      <c r="D1" s="3243"/>
      <c r="E1" s="3243"/>
      <c r="F1" s="3243"/>
      <c r="G1" s="3244"/>
      <c r="H1" s="3244"/>
      <c r="I1" s="3244"/>
      <c r="J1" s="3244"/>
      <c r="K1" s="3244"/>
      <c r="L1" s="3244"/>
      <c r="M1" s="3244"/>
      <c r="N1" s="3244"/>
    </row>
    <row r="2" spans="1:14" ht="14.25">
      <c r="A2" s="3249" t="s">
        <v>2907</v>
      </c>
      <c r="B2" s="3254">
        <f ca="1">SUMIF(B7:B14,"&lt;&gt;#ref!",B7:B14)</f>
        <v>0</v>
      </c>
      <c r="C2" s="3249" t="s">
        <v>2908</v>
      </c>
      <c r="D2" s="3246"/>
      <c r="E2" s="3246"/>
      <c r="F2" s="3246"/>
      <c r="G2" s="3244"/>
      <c r="H2" s="3244"/>
      <c r="I2" s="3244"/>
      <c r="J2" s="3244"/>
      <c r="K2" s="3244"/>
      <c r="L2" s="3244"/>
      <c r="M2" s="3244"/>
      <c r="N2" s="3244"/>
    </row>
    <row r="3" spans="1:14" ht="14.25">
      <c r="A3" s="3249" t="s">
        <v>2937</v>
      </c>
      <c r="B3" s="3254" t="e">
        <f ca="1">ROUND(B2*10000/E3,0)</f>
        <v>#DIV/0!</v>
      </c>
      <c r="C3" s="3249" t="s">
        <v>2066</v>
      </c>
      <c r="D3" s="3249" t="s">
        <v>2909</v>
      </c>
      <c r="E3" s="3247">
        <f ca="1">SUMIF(E7:E14,"&lt;&gt;#ref!",E7:E14)</f>
        <v>0</v>
      </c>
      <c r="F3" s="3246"/>
      <c r="G3" s="3244"/>
      <c r="H3" s="3244"/>
      <c r="I3" s="3244"/>
      <c r="J3" s="3244"/>
      <c r="K3" s="3244"/>
      <c r="L3" s="3244"/>
      <c r="M3" s="3244"/>
      <c r="N3" s="3244"/>
    </row>
    <row r="4" spans="1:14" ht="14.25">
      <c r="A4" s="3249" t="s">
        <v>2915</v>
      </c>
      <c r="B4" s="3254" t="e">
        <f ca="1">ROUND(B2*10000/E4,0)</f>
        <v>#DIV/0!</v>
      </c>
      <c r="C4" s="3249" t="s">
        <v>2066</v>
      </c>
      <c r="D4" s="3249" t="s">
        <v>2916</v>
      </c>
      <c r="E4" s="3247">
        <f ca="1">SUMIF(F7:F14,"&lt;&gt;#ref!",F7:F14)</f>
        <v>0</v>
      </c>
      <c r="F4" s="3246"/>
      <c r="G4" s="3244"/>
      <c r="H4" s="3244"/>
      <c r="I4" s="3244"/>
      <c r="J4" s="3244"/>
      <c r="K4" s="3244"/>
      <c r="L4" s="3244"/>
      <c r="M4" s="3244"/>
      <c r="N4" s="3244"/>
    </row>
    <row r="5" spans="1:14" ht="14.25">
      <c r="A5" s="3250"/>
      <c r="B5" s="3246"/>
      <c r="C5" s="3246"/>
      <c r="D5" s="3246"/>
      <c r="E5" s="3246"/>
      <c r="F5" s="3246"/>
      <c r="G5" s="3244"/>
      <c r="H5" s="3244"/>
      <c r="I5" s="3244"/>
      <c r="J5" s="3244"/>
      <c r="K5" s="3244"/>
      <c r="L5" s="3244"/>
      <c r="M5" s="3244"/>
      <c r="N5" s="3244"/>
    </row>
    <row r="6" spans="1:14" ht="28.5">
      <c r="A6" s="3251" t="s">
        <v>2913</v>
      </c>
      <c r="B6" s="3249" t="s">
        <v>2910</v>
      </c>
      <c r="C6" s="2789"/>
      <c r="D6" s="3246"/>
      <c r="E6" s="3249" t="s">
        <v>2911</v>
      </c>
      <c r="F6" s="3249" t="s">
        <v>2914</v>
      </c>
      <c r="G6" s="3244"/>
      <c r="H6" s="3244"/>
      <c r="I6" s="3244"/>
      <c r="J6" s="3244"/>
      <c r="K6" s="3244"/>
      <c r="L6" s="3244"/>
      <c r="M6" s="3244"/>
      <c r="N6" s="3244"/>
    </row>
    <row r="7" spans="1:14" ht="14.25">
      <c r="A7" s="3252"/>
      <c r="B7" s="3254" t="e">
        <f ca="1">SUMIF(INDIRECT("'"&amp;A7&amp;"'"&amp;"!A:A"),"总价",INDIRECT("'"&amp;A7&amp;"'"&amp;"!B:B"))</f>
        <v>#REF!</v>
      </c>
      <c r="C7" s="3249" t="s">
        <v>2908</v>
      </c>
      <c r="D7" s="3246"/>
      <c r="E7" s="3247" t="e">
        <f ca="1">SUMIF(INDIRECT("'"&amp;A7&amp;"'"&amp;"!C:C"),"建筑面积",INDIRECT("'"&amp;A7&amp;"'"&amp;"!D:D"))</f>
        <v>#REF!</v>
      </c>
      <c r="F7" s="3247" t="e">
        <f ca="1">SUMIF(INDIRECT("'"&amp;A7&amp;"'"&amp;"!E:E"),"土地面积",INDIRECT("'"&amp;A7&amp;"'"&amp;"!F:F"))</f>
        <v>#REF!</v>
      </c>
      <c r="G7" s="3244"/>
      <c r="H7" s="3244"/>
      <c r="I7" s="3244"/>
      <c r="J7" s="3244"/>
      <c r="K7" s="3244"/>
      <c r="L7" s="3244"/>
      <c r="M7" s="3244"/>
      <c r="N7" s="3244"/>
    </row>
    <row r="8" spans="1:14" ht="14.25">
      <c r="A8" s="3252"/>
      <c r="B8" s="3254" t="e">
        <f t="shared" ref="B8:B14" ca="1" si="0">SUMIF(INDIRECT("'"&amp;A8&amp;"'"&amp;"!A:A"),"总价",INDIRECT("'"&amp;A8&amp;"'"&amp;"!B:B"))</f>
        <v>#REF!</v>
      </c>
      <c r="C8" s="3249" t="s">
        <v>2908</v>
      </c>
      <c r="D8" s="3246"/>
      <c r="E8" s="3247" t="e">
        <f t="shared" ref="E8:E14" ca="1" si="1">SUMIF(INDIRECT("'"&amp;A8&amp;"'"&amp;"!C:C"),"建筑面积",INDIRECT("'"&amp;A8&amp;"'"&amp;"!D:D"))</f>
        <v>#REF!</v>
      </c>
      <c r="F8" s="3247" t="e">
        <f t="shared" ref="F8:F14" ca="1" si="2">SUMIF(INDIRECT("'"&amp;A8&amp;"'"&amp;"!E:E"),"土地面积",INDIRECT("'"&amp;A8&amp;"'"&amp;"!F:F"))</f>
        <v>#REF!</v>
      </c>
      <c r="G8" s="3244"/>
      <c r="H8" s="3244"/>
      <c r="I8" s="3244"/>
      <c r="J8" s="3244"/>
      <c r="K8" s="3244"/>
      <c r="L8" s="3244"/>
      <c r="M8" s="3244"/>
      <c r="N8" s="3244"/>
    </row>
    <row r="9" spans="1:14" ht="14.25">
      <c r="A9" s="3252"/>
      <c r="B9" s="3254" t="e">
        <f t="shared" ca="1" si="0"/>
        <v>#REF!</v>
      </c>
      <c r="C9" s="3249" t="s">
        <v>2908</v>
      </c>
      <c r="D9" s="3246"/>
      <c r="E9" s="3247" t="e">
        <f t="shared" ca="1" si="1"/>
        <v>#REF!</v>
      </c>
      <c r="F9" s="3247" t="e">
        <f t="shared" ca="1" si="2"/>
        <v>#REF!</v>
      </c>
      <c r="G9" s="3244"/>
      <c r="H9" s="3244"/>
      <c r="I9" s="3244"/>
      <c r="J9" s="3244"/>
      <c r="K9" s="3244"/>
      <c r="L9" s="3244"/>
      <c r="M9" s="3244"/>
      <c r="N9" s="3244"/>
    </row>
    <row r="10" spans="1:14" ht="14.25">
      <c r="A10" s="3252"/>
      <c r="B10" s="3254" t="e">
        <f t="shared" ca="1" si="0"/>
        <v>#REF!</v>
      </c>
      <c r="C10" s="3249" t="s">
        <v>2908</v>
      </c>
      <c r="D10" s="3246"/>
      <c r="E10" s="3247" t="e">
        <f t="shared" ca="1" si="1"/>
        <v>#REF!</v>
      </c>
      <c r="F10" s="3247" t="e">
        <f t="shared" ca="1" si="2"/>
        <v>#REF!</v>
      </c>
      <c r="G10" s="3244"/>
      <c r="H10" s="3244"/>
      <c r="I10" s="3244"/>
      <c r="J10" s="3244"/>
      <c r="K10" s="3244"/>
      <c r="L10" s="3244"/>
      <c r="M10" s="3244"/>
      <c r="N10" s="3244"/>
    </row>
    <row r="11" spans="1:14" ht="14.25">
      <c r="A11" s="3252"/>
      <c r="B11" s="3254" t="e">
        <f t="shared" ca="1" si="0"/>
        <v>#REF!</v>
      </c>
      <c r="C11" s="3249" t="s">
        <v>2908</v>
      </c>
      <c r="D11" s="3246"/>
      <c r="E11" s="3247" t="e">
        <f t="shared" ca="1" si="1"/>
        <v>#REF!</v>
      </c>
      <c r="F11" s="3247" t="e">
        <f t="shared" ca="1" si="2"/>
        <v>#REF!</v>
      </c>
      <c r="G11" s="3244"/>
      <c r="H11" s="3244"/>
      <c r="I11" s="3244"/>
      <c r="J11" s="3244"/>
      <c r="K11" s="3244"/>
      <c r="L11" s="3244"/>
      <c r="M11" s="3244"/>
      <c r="N11" s="3244"/>
    </row>
    <row r="12" spans="1:14" ht="14.25">
      <c r="A12" s="3252"/>
      <c r="B12" s="3254" t="e">
        <f t="shared" ca="1" si="0"/>
        <v>#REF!</v>
      </c>
      <c r="C12" s="3249" t="s">
        <v>2908</v>
      </c>
      <c r="D12" s="3246"/>
      <c r="E12" s="3247" t="e">
        <f t="shared" ca="1" si="1"/>
        <v>#REF!</v>
      </c>
      <c r="F12" s="3247" t="e">
        <f t="shared" ca="1" si="2"/>
        <v>#REF!</v>
      </c>
      <c r="G12" s="3244"/>
      <c r="H12" s="3244"/>
      <c r="I12" s="3244"/>
      <c r="J12" s="3244"/>
      <c r="K12" s="3244"/>
      <c r="L12" s="3244"/>
      <c r="M12" s="3244"/>
      <c r="N12" s="3244"/>
    </row>
    <row r="13" spans="1:14" ht="14.25">
      <c r="A13" s="3252"/>
      <c r="B13" s="3254" t="e">
        <f t="shared" ca="1" si="0"/>
        <v>#REF!</v>
      </c>
      <c r="C13" s="3249" t="s">
        <v>2908</v>
      </c>
      <c r="D13" s="3246"/>
      <c r="E13" s="3247" t="e">
        <f t="shared" ca="1" si="1"/>
        <v>#REF!</v>
      </c>
      <c r="F13" s="3247" t="e">
        <f t="shared" ca="1" si="2"/>
        <v>#REF!</v>
      </c>
      <c r="G13" s="3244"/>
      <c r="H13" s="3244"/>
      <c r="I13" s="3244"/>
      <c r="J13" s="3244"/>
      <c r="K13" s="3244"/>
      <c r="L13" s="3244"/>
      <c r="M13" s="3244"/>
      <c r="N13" s="3244"/>
    </row>
    <row r="14" spans="1:14" ht="14.25">
      <c r="A14" s="3253"/>
      <c r="B14" s="3254" t="e">
        <f t="shared" ca="1" si="0"/>
        <v>#REF!</v>
      </c>
      <c r="C14" s="3249" t="s">
        <v>2908</v>
      </c>
      <c r="D14" s="3246"/>
      <c r="E14" s="3247" t="e">
        <f t="shared" ca="1" si="1"/>
        <v>#REF!</v>
      </c>
      <c r="F14" s="3247" t="e">
        <f t="shared" ca="1" si="2"/>
        <v>#REF!</v>
      </c>
      <c r="G14" s="3244"/>
      <c r="H14" s="3244"/>
      <c r="I14" s="3244"/>
      <c r="J14" s="3244"/>
      <c r="K14" s="3244"/>
      <c r="L14" s="3244"/>
      <c r="M14" s="3244"/>
      <c r="N14" s="3244"/>
    </row>
    <row r="15" spans="1:14">
      <c r="A15" s="3244"/>
      <c r="B15" s="3244"/>
      <c r="C15" s="3244"/>
      <c r="D15" s="3244"/>
      <c r="E15" s="3244"/>
      <c r="F15" s="3244"/>
      <c r="G15" s="3244"/>
      <c r="H15" s="3244"/>
      <c r="I15" s="3244"/>
      <c r="J15" s="3244"/>
      <c r="K15" s="3244"/>
      <c r="L15" s="3244"/>
      <c r="M15" s="3244"/>
      <c r="N15" s="3244"/>
    </row>
    <row r="16" spans="1:14">
      <c r="A16" s="3244"/>
      <c r="B16" s="3244"/>
      <c r="C16" s="3244"/>
      <c r="D16" s="3244"/>
      <c r="E16" s="3244"/>
      <c r="F16" s="3244"/>
      <c r="G16" s="3244"/>
      <c r="H16" s="3244"/>
      <c r="I16" s="3244"/>
      <c r="J16" s="3244"/>
      <c r="K16" s="3244"/>
      <c r="L16" s="3244"/>
      <c r="M16" s="3244"/>
      <c r="N16" s="3244"/>
    </row>
    <row r="17" spans="1:14">
      <c r="A17" s="3244"/>
      <c r="B17" s="3244"/>
      <c r="C17" s="3244"/>
      <c r="D17" s="3244"/>
      <c r="E17" s="3244"/>
      <c r="F17" s="3244"/>
      <c r="G17" s="3244"/>
      <c r="H17" s="3244"/>
      <c r="I17" s="3244"/>
      <c r="J17" s="3244"/>
      <c r="K17" s="3244"/>
      <c r="L17" s="3244"/>
      <c r="M17" s="3244"/>
      <c r="N17" s="3244"/>
    </row>
    <row r="18" spans="1:14">
      <c r="A18" s="3244"/>
      <c r="B18" s="3244"/>
      <c r="C18" s="3244"/>
      <c r="D18" s="3244"/>
      <c r="E18" s="3244"/>
      <c r="F18" s="3244"/>
      <c r="G18" s="3244"/>
      <c r="H18" s="3244"/>
      <c r="I18" s="3244"/>
      <c r="J18" s="3244"/>
      <c r="K18" s="3244"/>
      <c r="L18" s="3244"/>
      <c r="M18" s="3244"/>
      <c r="N18" s="3244"/>
    </row>
    <row r="19" spans="1:14">
      <c r="A19" s="3244"/>
      <c r="B19" s="3244"/>
      <c r="C19" s="3244"/>
      <c r="D19" s="3244"/>
      <c r="E19" s="3244"/>
      <c r="F19" s="3244"/>
      <c r="G19" s="3244"/>
      <c r="H19" s="3244"/>
      <c r="I19" s="3244"/>
      <c r="J19" s="3244"/>
      <c r="K19" s="3244"/>
      <c r="L19" s="3244"/>
      <c r="M19" s="3244"/>
      <c r="N19" s="3244"/>
    </row>
    <row r="20" spans="1:14">
      <c r="A20" s="3244"/>
      <c r="B20" s="3244"/>
      <c r="C20" s="3244"/>
      <c r="D20" s="3244"/>
      <c r="E20" s="3244"/>
      <c r="F20" s="3244"/>
      <c r="G20" s="3244"/>
      <c r="H20" s="3244"/>
      <c r="I20" s="3244"/>
      <c r="J20" s="3244"/>
      <c r="K20" s="3244"/>
      <c r="L20" s="3244"/>
      <c r="M20" s="3244"/>
      <c r="N20" s="3244"/>
    </row>
    <row r="21" spans="1:14">
      <c r="A21" s="3244"/>
      <c r="B21" s="3244"/>
      <c r="C21" s="3244"/>
      <c r="D21" s="3244"/>
      <c r="E21" s="3244"/>
      <c r="F21" s="3244"/>
      <c r="G21" s="3244"/>
      <c r="H21" s="3244"/>
      <c r="I21" s="3244"/>
      <c r="J21" s="3244"/>
      <c r="K21" s="3244"/>
      <c r="L21" s="3244"/>
      <c r="M21" s="3244"/>
      <c r="N21" s="3244"/>
    </row>
    <row r="22" spans="1:14">
      <c r="A22" s="3244"/>
      <c r="B22" s="3244"/>
      <c r="C22" s="3244"/>
      <c r="D22" s="3244"/>
      <c r="E22" s="3244"/>
      <c r="F22" s="3244"/>
      <c r="G22" s="3244"/>
      <c r="H22" s="3244"/>
      <c r="I22" s="3244"/>
      <c r="J22" s="3244"/>
      <c r="K22" s="3244"/>
      <c r="L22" s="3244"/>
      <c r="M22" s="3244"/>
      <c r="N22" s="3244"/>
    </row>
    <row r="23" spans="1:14">
      <c r="A23" s="3244"/>
      <c r="B23" s="3244"/>
      <c r="C23" s="3244"/>
      <c r="D23" s="3244"/>
      <c r="E23" s="3244"/>
      <c r="F23" s="3244"/>
      <c r="G23" s="3244"/>
      <c r="H23" s="3244"/>
      <c r="I23" s="3244"/>
      <c r="J23" s="3244"/>
      <c r="K23" s="3244"/>
      <c r="L23" s="3244"/>
      <c r="M23" s="3244"/>
      <c r="N23" s="3244"/>
    </row>
    <row r="24" spans="1:14">
      <c r="A24" s="3244"/>
      <c r="B24" s="3244"/>
      <c r="C24" s="3244"/>
      <c r="D24" s="3244"/>
      <c r="E24" s="3244"/>
      <c r="F24" s="3244"/>
      <c r="G24" s="3244"/>
      <c r="H24" s="3244"/>
      <c r="I24" s="3244"/>
      <c r="J24" s="3244"/>
      <c r="K24" s="3244"/>
      <c r="L24" s="3244"/>
      <c r="M24" s="3244"/>
      <c r="N24" s="3244"/>
    </row>
    <row r="25" spans="1:14">
      <c r="A25" s="3244"/>
      <c r="B25" s="3244"/>
      <c r="C25" s="3244"/>
      <c r="D25" s="3244"/>
      <c r="E25" s="3244"/>
      <c r="F25" s="3244"/>
      <c r="G25" s="3244"/>
      <c r="H25" s="3244"/>
      <c r="I25" s="3244"/>
      <c r="J25" s="3244"/>
      <c r="K25" s="3244"/>
      <c r="L25" s="3244"/>
      <c r="M25" s="3244"/>
      <c r="N25" s="3244"/>
    </row>
    <row r="26" spans="1:14">
      <c r="A26" s="3244"/>
      <c r="B26" s="3244"/>
      <c r="C26" s="3244"/>
      <c r="D26" s="3244"/>
      <c r="E26" s="3244"/>
      <c r="F26" s="3244"/>
      <c r="G26" s="3244"/>
      <c r="H26" s="3244"/>
      <c r="I26" s="3244"/>
      <c r="J26" s="3244"/>
      <c r="K26" s="3244"/>
      <c r="L26" s="3244"/>
      <c r="M26" s="3244"/>
      <c r="N26" s="3244"/>
    </row>
    <row r="27" spans="1:14">
      <c r="A27" s="3244"/>
      <c r="B27" s="3244"/>
      <c r="C27" s="3244"/>
      <c r="D27" s="3244"/>
      <c r="E27" s="3244"/>
      <c r="F27" s="3244"/>
      <c r="G27" s="3244"/>
      <c r="H27" s="3244"/>
      <c r="I27" s="3244"/>
      <c r="J27" s="3244"/>
      <c r="K27" s="3244"/>
      <c r="L27" s="3244"/>
      <c r="M27" s="3244"/>
      <c r="N27" s="3244"/>
    </row>
    <row r="28" spans="1:14">
      <c r="A28" s="3244"/>
      <c r="B28" s="3244"/>
      <c r="C28" s="3244"/>
      <c r="D28" s="3244"/>
      <c r="E28" s="3244"/>
      <c r="F28" s="3244"/>
      <c r="G28" s="3244"/>
      <c r="H28" s="3244"/>
      <c r="I28" s="3244"/>
      <c r="J28" s="3244"/>
      <c r="K28" s="3244"/>
      <c r="L28" s="3244"/>
      <c r="M28" s="3244"/>
      <c r="N28" s="3244"/>
    </row>
    <row r="29" spans="1:14">
      <c r="A29" s="3244"/>
      <c r="B29" s="3244"/>
      <c r="C29" s="3244"/>
      <c r="D29" s="3244"/>
      <c r="E29" s="3244"/>
      <c r="F29" s="3244"/>
      <c r="G29" s="3244"/>
      <c r="H29" s="3244"/>
      <c r="I29" s="3244"/>
      <c r="J29" s="3244"/>
      <c r="K29" s="3244"/>
      <c r="L29" s="3244"/>
      <c r="M29" s="3244"/>
      <c r="N29" s="3244"/>
    </row>
  </sheetData>
  <sheetProtection password="CEE9" sheet="1" objects="1" scenarios="1" formatCells="0" formatColumns="0" formatRows="0"/>
  <phoneticPr fontId="22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K37" sqref="K37"/>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125" style="1941" customWidth="1"/>
    <col min="17" max="17" width="13.625" style="1941" customWidth="1"/>
    <col min="18" max="18" width="22.125" style="1941" customWidth="1"/>
    <col min="19" max="19" width="1.5" style="1941" customWidth="1"/>
    <col min="20" max="25" width="9" style="1941"/>
    <col min="26" max="16384" width="9" style="1942"/>
  </cols>
  <sheetData>
    <row r="1" spans="1:25" s="1936" customFormat="1" ht="21">
      <c r="A1" s="762" t="s">
        <v>622</v>
      </c>
      <c r="B1" s="730"/>
      <c r="C1" s="763"/>
      <c r="D1" s="1932"/>
      <c r="E1" s="2241" t="s">
        <v>2358</v>
      </c>
      <c r="F1" s="2242">
        <f ca="1">J54</f>
        <v>-2</v>
      </c>
      <c r="G1" s="764">
        <f>MATCH(C1,'数据-取费表'!A6:A16,0)+5</f>
        <v>11</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8" t="s">
        <v>2442</v>
      </c>
      <c r="E7" s="2342"/>
      <c r="F7" s="2343"/>
      <c r="G7" s="1526"/>
      <c r="H7" s="771">
        <v>1</v>
      </c>
      <c r="I7" s="772" t="s">
        <v>2439</v>
      </c>
      <c r="J7" s="53">
        <f ca="1">J8+J12+J14</f>
        <v>0</v>
      </c>
      <c r="K7" s="2348" t="s">
        <v>2442</v>
      </c>
      <c r="L7" s="2342"/>
      <c r="M7" s="2343"/>
    </row>
    <row r="8" spans="1:25" ht="18" customHeight="1">
      <c r="A8" s="1744" t="s">
        <v>1814</v>
      </c>
      <c r="B8" s="3543" t="s">
        <v>2444</v>
      </c>
      <c r="C8" s="1739">
        <f ca="1">ROUND(F8*F10*F9*(1-F11)/10000,0)</f>
        <v>0</v>
      </c>
      <c r="D8" s="1736" t="s">
        <v>2515</v>
      </c>
      <c r="E8" s="61" t="s">
        <v>631</v>
      </c>
      <c r="F8" s="775">
        <f ca="1">INDIRECT("'数据-取费表'!u"&amp;$G$1)</f>
        <v>0</v>
      </c>
      <c r="G8" s="1526"/>
      <c r="H8" s="2356" t="s">
        <v>1814</v>
      </c>
      <c r="I8" s="3543" t="s">
        <v>2444</v>
      </c>
      <c r="J8" s="773">
        <f ca="1">ROUND(M8*M10*M9*(1-M11)/10000,0)</f>
        <v>0</v>
      </c>
      <c r="K8" s="339" t="s">
        <v>2515</v>
      </c>
      <c r="L8" s="774" t="s">
        <v>1728</v>
      </c>
      <c r="M8" s="775">
        <f ca="1">INDIRECT("'数据-取费表'!z"&amp;$G$1)</f>
        <v>0</v>
      </c>
    </row>
    <row r="9" spans="1:25" ht="18" customHeight="1">
      <c r="A9" s="2352"/>
      <c r="B9" s="3544"/>
      <c r="C9" s="1740"/>
      <c r="D9" s="1737"/>
      <c r="E9" s="61" t="s">
        <v>632</v>
      </c>
      <c r="F9" s="775">
        <f ca="1">IF(INDIRECT("'数据-取费表'!ah"&amp;$G$1)="",INDIRECT("'数据-取费表'!k"&amp;$G$1),INDIRECT("'数据-取费表'!ah"&amp;$G$1))</f>
        <v>0</v>
      </c>
      <c r="G9" s="1526"/>
      <c r="H9" s="2341"/>
      <c r="I9" s="3544"/>
      <c r="J9" s="778"/>
      <c r="K9" s="779"/>
      <c r="L9" s="774" t="s">
        <v>1729</v>
      </c>
      <c r="M9" s="775">
        <f ca="1">F9</f>
        <v>0</v>
      </c>
    </row>
    <row r="10" spans="1:25" ht="18" customHeight="1">
      <c r="A10" s="2345"/>
      <c r="B10" s="3545"/>
      <c r="C10" s="1740"/>
      <c r="D10" s="1737"/>
      <c r="E10" s="61" t="s">
        <v>633</v>
      </c>
      <c r="F10" s="775">
        <f ca="1">INDIRECT("'数据-取费表'!ai"&amp;$G$1)</f>
        <v>0</v>
      </c>
      <c r="G10" s="1526"/>
      <c r="H10" s="2341"/>
      <c r="I10" s="3545"/>
      <c r="J10" s="778"/>
      <c r="K10" s="779"/>
      <c r="L10" s="774" t="s">
        <v>1730</v>
      </c>
      <c r="M10" s="775">
        <f ca="1">INDIRECT("'数据-取费表'!ai"&amp;$G$1)</f>
        <v>0</v>
      </c>
    </row>
    <row r="11" spans="1:25" ht="18" customHeight="1">
      <c r="A11" s="776"/>
      <c r="B11" s="3546"/>
      <c r="C11" s="1740"/>
      <c r="D11" s="1737"/>
      <c r="E11" s="61" t="s">
        <v>634</v>
      </c>
      <c r="F11" s="784">
        <f ca="1">INDIRECT("'数据-取费表'!w"&amp;$G$1)</f>
        <v>0</v>
      </c>
      <c r="G11" s="1526"/>
      <c r="H11" s="2357"/>
      <c r="I11" s="3545"/>
      <c r="J11" s="778"/>
      <c r="K11" s="779"/>
      <c r="L11" s="785" t="s">
        <v>1731</v>
      </c>
      <c r="M11" s="786">
        <f ca="1">INDIRECT("'数据-取费表'!ab"&amp;$G$1)</f>
        <v>0</v>
      </c>
    </row>
    <row r="12" spans="1:25" ht="18" customHeight="1">
      <c r="A12" s="1744" t="s">
        <v>1815</v>
      </c>
      <c r="B12" s="2346" t="s">
        <v>2440</v>
      </c>
      <c r="C12" s="789">
        <f ca="1">ROUND(IF(F12="押一",C8/12*F13,IF(F12="押二",C8/12*2*F13,IF(F12="押三",C8/12*3*F13,C13*F13))),0)</f>
        <v>0</v>
      </c>
      <c r="D12" s="2353" t="s">
        <v>2934</v>
      </c>
      <c r="E12" s="2350" t="s">
        <v>2445</v>
      </c>
      <c r="F12" s="2464"/>
      <c r="G12" s="1526"/>
      <c r="H12" s="2413" t="s">
        <v>1815</v>
      </c>
      <c r="I12" s="2418" t="s">
        <v>2440</v>
      </c>
      <c r="J12" s="773">
        <f ca="1">ROUND(IF(M12="押一",J8/12*M13,IF(M12="押二",J8/12*2*M13,IF(M12="押三",J8/12*3*M13,J13*M13))),0)</f>
        <v>0</v>
      </c>
      <c r="K12" s="2353" t="s">
        <v>2934</v>
      </c>
      <c r="L12" s="2350" t="s">
        <v>2445</v>
      </c>
      <c r="M12" s="2464"/>
    </row>
    <row r="13" spans="1:25" ht="18" customHeight="1">
      <c r="A13" s="780"/>
      <c r="B13" s="2347" t="s">
        <v>2554</v>
      </c>
      <c r="C13" s="2351"/>
      <c r="D13" s="779"/>
      <c r="E13" s="2350" t="s">
        <v>2437</v>
      </c>
      <c r="F13" s="786">
        <f ca="1">'数据-取费表'!B39</f>
        <v>1.4999999999999999E-2</v>
      </c>
      <c r="G13" s="1526"/>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6"/>
      <c r="H14" s="2403" t="s">
        <v>2448</v>
      </c>
      <c r="I14" s="2416" t="s">
        <v>2441</v>
      </c>
      <c r="J14" s="2417"/>
      <c r="K14" s="2392"/>
      <c r="L14" s="2393"/>
      <c r="M14" s="2406"/>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2804</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0.05</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350</v>
      </c>
      <c r="G19" s="1527"/>
      <c r="H19" s="793" t="s">
        <v>2057</v>
      </c>
      <c r="I19" s="774" t="s">
        <v>650</v>
      </c>
      <c r="J19" s="3018">
        <f ca="1">ROUND(IF(AND(项目基本情况!B11="自然人",项目基本情况!B10="北京市"),J8*M19/(1+'数据-取费表'!C42),J20+J21+J22),0)</f>
        <v>0</v>
      </c>
      <c r="K19" s="1892" t="s">
        <v>651</v>
      </c>
      <c r="L19" s="1890" t="s">
        <v>652</v>
      </c>
      <c r="M19" s="3017"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0.01</v>
      </c>
      <c r="G22" s="1527"/>
      <c r="H22" s="1746" t="s">
        <v>1840</v>
      </c>
      <c r="I22" s="1736" t="s">
        <v>662</v>
      </c>
      <c r="J22" s="54">
        <f ca="1">ROUND(M22*M23/10000,0)</f>
        <v>0</v>
      </c>
      <c r="K22" s="803" t="s">
        <v>663</v>
      </c>
      <c r="L22" s="774" t="s">
        <v>664</v>
      </c>
      <c r="M22" s="632">
        <f>'数据-取费表'!B52</f>
        <v>3</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0.01</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3"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2" t="str">
        <f>IF(F25&lt;=1,"(建造成本+管理费用)×利率×(建设周期÷2)","(建造成本+管理费用)×((1+利率)^(建设周期÷2)-1)")</f>
        <v>(建造成本+管理费用)×((1+利率)^(建设周期÷2)-1)</v>
      </c>
      <c r="E25" s="774" t="s">
        <v>672</v>
      </c>
      <c r="F25" s="632">
        <f>'数据-取费表'!B20</f>
        <v>2</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5.0000000000000001E-4</v>
      </c>
      <c r="D26" s="2422"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3" t="s">
        <v>2801</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2802</v>
      </c>
      <c r="C31" s="2396">
        <f ca="1">ROUND((C21+C22+C25+C28)/(1-F23-C26-C29-C30),0)</f>
        <v>0</v>
      </c>
      <c r="D31" s="2397"/>
      <c r="E31" s="2398"/>
      <c r="F31" s="2399"/>
      <c r="G31" s="1527"/>
      <c r="H31" s="812" t="s">
        <v>1862</v>
      </c>
      <c r="I31" s="2724" t="s">
        <v>2803</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9"/>
      <c r="F32" s="2343"/>
      <c r="G32" s="1944"/>
      <c r="H32" s="1947"/>
      <c r="I32" s="1948"/>
      <c r="J32" s="1949"/>
      <c r="K32" s="1950"/>
      <c r="L32" s="1951"/>
      <c r="M32" s="1952"/>
    </row>
    <row r="33" spans="1:18" ht="18" customHeight="1">
      <c r="A33" s="793" t="s">
        <v>1866</v>
      </c>
      <c r="B33" s="774" t="s">
        <v>650</v>
      </c>
      <c r="C33" s="3018">
        <f ca="1">ROUND(IF(AND(项目基本情况!B11="自然人",项目基本情况!B10="北京市"),C8*F33/(1+'数据-取费表'!C42),C34+C35+C36),0)</f>
        <v>0</v>
      </c>
      <c r="D33" s="1892" t="s">
        <v>651</v>
      </c>
      <c r="E33" s="1890" t="s">
        <v>684</v>
      </c>
      <c r="F33" s="3017" t="str">
        <f>IF(项目基本情况!B11="企业","——",IF('数据-取费表'!B10="住宅",IF(F8*F9*F10/12/(1+'数据-取费表'!F30)&gt;100000,4%,2.5%),IF(F8*F9*F10/12/(1+'数据-取费表'!F30)&gt;100000,12%,7%)))</f>
        <v>——</v>
      </c>
      <c r="G33" s="1944"/>
      <c r="H33" s="3255" t="s">
        <v>2988</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3</v>
      </c>
      <c r="G36" s="1944"/>
      <c r="H36" s="1947"/>
      <c r="I36" s="3542"/>
      <c r="J36" s="1961"/>
      <c r="K36" s="1962"/>
      <c r="L36" s="1961"/>
      <c r="M36" s="1961"/>
    </row>
    <row r="37" spans="1:18" ht="18" customHeight="1">
      <c r="A37" s="804"/>
      <c r="B37" s="783"/>
      <c r="C37" s="69"/>
      <c r="D37" s="805"/>
      <c r="E37" s="774" t="s">
        <v>668</v>
      </c>
      <c r="F37" s="775">
        <f ca="1">INDIRECT("'数据-取费表'!r"&amp;$G$1)</f>
        <v>0</v>
      </c>
      <c r="G37" s="1944"/>
      <c r="H37" s="1947"/>
      <c r="I37" s="3542"/>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1"/>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1"/>
      <c r="J39" s="1899"/>
      <c r="K39" s="1963"/>
      <c r="L39" s="1959"/>
      <c r="M39" s="1959"/>
    </row>
    <row r="40" spans="1:18" ht="18" customHeight="1" thickBot="1">
      <c r="A40" s="2412" t="s">
        <v>1869</v>
      </c>
      <c r="B40" s="2398" t="s">
        <v>660</v>
      </c>
      <c r="C40" s="2396">
        <f ca="1">ROUND(C7*F40,1)</f>
        <v>0</v>
      </c>
      <c r="D40" s="2397" t="s">
        <v>677</v>
      </c>
      <c r="E40" s="2398" t="s">
        <v>643</v>
      </c>
      <c r="F40" s="2394">
        <f ca="1">INDIRECT("'数据-取费表'!Am"&amp;$G$1)</f>
        <v>0</v>
      </c>
      <c r="G40" s="1944"/>
      <c r="H40" s="1959"/>
      <c r="I40" s="3021"/>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4" t="s">
        <v>2923</v>
      </c>
      <c r="F43" s="2795">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50">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6" t="s">
        <v>2926</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10" t="str">
        <f ca="1">IF(M48="住宅",0,IF(L49&gt;J52,L61,J61))</f>
        <v>0</v>
      </c>
      <c r="O47" s="2248" t="s">
        <v>2394</v>
      </c>
      <c r="P47" s="1526"/>
      <c r="Q47" s="1534"/>
      <c r="R47" s="1526"/>
    </row>
    <row r="48" spans="1:18" s="1941" customFormat="1" ht="18" customHeight="1" thickBot="1">
      <c r="A48" s="1965"/>
      <c r="C48" s="1968"/>
      <c r="D48" s="1969"/>
      <c r="E48" s="1969"/>
      <c r="F48" s="1970"/>
      <c r="G48" s="1971"/>
      <c r="I48" s="2801" t="s">
        <v>2328</v>
      </c>
      <c r="J48" s="2235"/>
      <c r="K48" s="2807" t="s">
        <v>2333</v>
      </c>
      <c r="L48" s="2811">
        <f ca="1">INDIRECT("'数据-取费表'!d"&amp;$G$1)</f>
        <v>0</v>
      </c>
      <c r="M48" s="2793"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8" t="s">
        <v>2329</v>
      </c>
      <c r="J49" s="2236"/>
      <c r="K49" s="2808"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8" t="s">
        <v>2330</v>
      </c>
      <c r="J50" s="2237"/>
      <c r="K50" s="2809"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8" t="s">
        <v>2331</v>
      </c>
      <c r="J51" s="2805">
        <f>SUMPRODUCT((I64:I66=J48)*(J63:L63=J49)*(J64:L66))</f>
        <v>0</v>
      </c>
      <c r="K51" s="2809" t="s">
        <v>2337</v>
      </c>
      <c r="L51" s="2238"/>
      <c r="O51" s="2255" t="s">
        <v>2367</v>
      </c>
      <c r="P51" s="2253" t="s">
        <v>2391</v>
      </c>
      <c r="Q51" s="2254">
        <f ca="1">C31</f>
        <v>0</v>
      </c>
      <c r="R51" s="2253" t="s">
        <v>2364</v>
      </c>
    </row>
    <row r="52" spans="1:18" s="1941" customFormat="1" ht="18" customHeight="1" thickBot="1">
      <c r="A52" s="1977"/>
      <c r="F52" s="1966"/>
      <c r="I52" s="2802" t="s">
        <v>2332</v>
      </c>
      <c r="J52" s="2806">
        <f>IF(J50="",J51,J50+J51-YEAR('数据-取费表'!B3))</f>
        <v>0</v>
      </c>
      <c r="K52" s="2798" t="s">
        <v>2338</v>
      </c>
      <c r="L52" s="2812">
        <f ca="1">C45</f>
        <v>0</v>
      </c>
      <c r="O52" s="2255" t="s">
        <v>2368</v>
      </c>
      <c r="P52" s="2253" t="s">
        <v>2369</v>
      </c>
      <c r="Q52" s="2256" t="e">
        <f ca="1">J59</f>
        <v>#VALUE!</v>
      </c>
      <c r="R52" s="2257"/>
    </row>
    <row r="53" spans="1:18" s="1941" customFormat="1" ht="18" customHeight="1" thickBot="1">
      <c r="A53" s="1977"/>
      <c r="F53" s="1966"/>
      <c r="I53" s="2803" t="s">
        <v>2405</v>
      </c>
      <c r="J53" s="2239"/>
      <c r="K53" s="2803" t="s">
        <v>2404</v>
      </c>
      <c r="L53" s="2239"/>
      <c r="O53" s="2255" t="s">
        <v>2370</v>
      </c>
      <c r="P53" s="2253" t="s">
        <v>2371</v>
      </c>
      <c r="Q53" s="2256">
        <f>J53</f>
        <v>0</v>
      </c>
      <c r="R53" s="2257"/>
    </row>
    <row r="54" spans="1:18" s="1941" customFormat="1" ht="29.25" thickBot="1">
      <c r="A54" s="1977"/>
      <c r="I54" s="2804" t="s">
        <v>2938</v>
      </c>
      <c r="J54" s="2857">
        <f ca="1">IF(M48="住宅",MAX(J52,L49-'数据-取费表'!B20),MIN(J52,L49-'数据-取费表'!B20))</f>
        <v>-2</v>
      </c>
      <c r="K54" s="3547"/>
      <c r="L54" s="3548"/>
      <c r="O54" s="2255" t="s">
        <v>2372</v>
      </c>
      <c r="P54" s="2253" t="s">
        <v>2373</v>
      </c>
      <c r="Q54" s="2254">
        <f ca="1">J54</f>
        <v>-2</v>
      </c>
      <c r="R54" s="2253" t="s">
        <v>2374</v>
      </c>
    </row>
    <row r="55" spans="1:18" s="1941" customFormat="1" ht="18" customHeight="1" thickBot="1">
      <c r="A55" s="1977"/>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2" t="s">
        <v>2375</v>
      </c>
      <c r="P55" s="2253" t="s">
        <v>2392</v>
      </c>
      <c r="Q55" s="2254">
        <f ca="1">Q49+Q50</f>
        <v>0</v>
      </c>
      <c r="R55" s="2257" t="s">
        <v>2376</v>
      </c>
    </row>
    <row r="56" spans="1:18" s="1941" customFormat="1" ht="16.5" thickBot="1">
      <c r="A56" s="1977"/>
      <c r="B56" s="1978"/>
      <c r="C56" s="1978"/>
      <c r="I56" s="2815" t="s">
        <v>2339</v>
      </c>
      <c r="J56" s="2787" t="e">
        <f ca="1">ROUND(IF(J48="钢混",J58/J51,1-(1-2%)*(J51-J58)/J51),3)</f>
        <v>#VALUE!</v>
      </c>
      <c r="K56" s="2816" t="s">
        <v>2340</v>
      </c>
      <c r="L56" s="2240"/>
      <c r="O56" s="2258" t="s">
        <v>2395</v>
      </c>
      <c r="P56" s="1526"/>
      <c r="Q56" s="1534"/>
      <c r="R56" s="1526"/>
    </row>
    <row r="57" spans="1:18" s="1941" customFormat="1" ht="43.5" thickBot="1">
      <c r="A57" s="1977"/>
      <c r="B57" s="1978"/>
      <c r="C57" s="1978"/>
      <c r="I57" s="2817" t="s">
        <v>2341</v>
      </c>
      <c r="J57" s="2827" t="s">
        <v>1669</v>
      </c>
      <c r="K57" s="2798" t="s">
        <v>2346</v>
      </c>
      <c r="L57" s="1821">
        <f ca="1">IF(L49&lt;J52,"——",L49-J52)</f>
        <v>0</v>
      </c>
      <c r="O57" s="2249" t="s">
        <v>2359</v>
      </c>
      <c r="P57" s="2250" t="s">
        <v>2360</v>
      </c>
      <c r="Q57" s="2251" t="s">
        <v>2361</v>
      </c>
      <c r="R57" s="2250" t="s">
        <v>2362</v>
      </c>
    </row>
    <row r="58" spans="1:18" s="1941" customFormat="1" ht="29.25" thickBot="1">
      <c r="A58" s="1977"/>
      <c r="B58" s="1978"/>
      <c r="C58" s="1978"/>
      <c r="I58" s="2818" t="s">
        <v>2342</v>
      </c>
      <c r="J58" s="2819" t="str">
        <f ca="1">IF(OR(M48="住宅",J52&lt;L49,J57="是"),"——",J52-L49)</f>
        <v>——</v>
      </c>
      <c r="K58" s="2798"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8" t="s">
        <v>2343</v>
      </c>
      <c r="J59" s="2788" t="e">
        <f ca="1">IF(J56&lt;0.4,0.4,J56)</f>
        <v>#VALUE!</v>
      </c>
      <c r="K59" s="2798"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8" t="s">
        <v>2344</v>
      </c>
      <c r="J60" s="2819" t="str">
        <f ca="1">IF(OR(M48="住宅",J52&lt;L49,J57="是"),"——",ROUND(C30*J59,0))</f>
        <v>——</v>
      </c>
      <c r="K60" s="2798"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20" t="s">
        <v>2345</v>
      </c>
      <c r="J61" s="2821" t="str">
        <f ca="1">IF(OR(M48="住宅",J52&lt;L49,J57="是"),"0",ROUND(J60/(1+J53)^J54,0))</f>
        <v>0</v>
      </c>
      <c r="K61" s="2822" t="s">
        <v>2350</v>
      </c>
      <c r="L61" s="2821"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3" t="s">
        <v>2351</v>
      </c>
      <c r="J63" s="2824" t="s">
        <v>2352</v>
      </c>
      <c r="K63" s="2824" t="s">
        <v>2353</v>
      </c>
      <c r="L63" s="2824" t="s">
        <v>2334</v>
      </c>
      <c r="M63" s="2825" t="s">
        <v>2906</v>
      </c>
      <c r="O63" s="2255" t="s">
        <v>2372</v>
      </c>
      <c r="P63" s="2253" t="s">
        <v>2380</v>
      </c>
      <c r="Q63" s="2254">
        <f ca="1">L60</f>
        <v>0</v>
      </c>
      <c r="R63" s="2257" t="s">
        <v>2381</v>
      </c>
    </row>
    <row r="64" spans="1:18" s="1941" customFormat="1" ht="15.75" thickBot="1">
      <c r="A64" s="1977"/>
      <c r="B64" s="1978"/>
      <c r="C64" s="1978"/>
      <c r="I64" s="2823" t="s">
        <v>2354</v>
      </c>
      <c r="J64" s="2824">
        <v>70</v>
      </c>
      <c r="K64" s="2824">
        <v>50</v>
      </c>
      <c r="L64" s="2824">
        <v>80</v>
      </c>
      <c r="M64" s="2826">
        <v>0.02</v>
      </c>
      <c r="O64" s="2252" t="s">
        <v>2375</v>
      </c>
      <c r="P64" s="2253" t="s">
        <v>2392</v>
      </c>
      <c r="Q64" s="2254" t="e">
        <f ca="1">Q58+Q59</f>
        <v>#DIV/0!</v>
      </c>
      <c r="R64" s="2257" t="s">
        <v>2376</v>
      </c>
    </row>
    <row r="65" spans="1:18" s="1941" customFormat="1" ht="16.5" thickBot="1">
      <c r="A65" s="1977"/>
      <c r="B65" s="1978"/>
      <c r="C65" s="1978"/>
      <c r="I65" s="2823" t="s">
        <v>2355</v>
      </c>
      <c r="J65" s="2824">
        <v>50</v>
      </c>
      <c r="K65" s="2824">
        <v>35</v>
      </c>
      <c r="L65" s="2824">
        <v>60</v>
      </c>
      <c r="M65" s="835">
        <v>0</v>
      </c>
      <c r="O65" s="2258" t="s">
        <v>2399</v>
      </c>
      <c r="P65" s="1526"/>
      <c r="Q65" s="1534"/>
      <c r="R65" s="1526"/>
    </row>
    <row r="66" spans="1:18" s="1941" customFormat="1" ht="15.75" thickBot="1">
      <c r="A66" s="1977"/>
      <c r="B66" s="1978"/>
      <c r="C66" s="1978"/>
      <c r="I66" s="2823" t="s">
        <v>2356</v>
      </c>
      <c r="J66" s="2824">
        <v>40</v>
      </c>
      <c r="K66" s="2824">
        <v>30</v>
      </c>
      <c r="L66" s="2824">
        <v>50</v>
      </c>
      <c r="M66" s="2826">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64" priority="6">
      <formula>$F$12="自定义"</formula>
    </cfRule>
  </conditionalFormatting>
  <conditionalFormatting sqref="J13">
    <cfRule type="expression" dxfId="163" priority="5">
      <formula>$M$10="自定义"</formula>
    </cfRule>
  </conditionalFormatting>
  <conditionalFormatting sqref="K56">
    <cfRule type="expression" dxfId="162" priority="3">
      <formula>$L$48&gt;$J$51</formula>
    </cfRule>
  </conditionalFormatting>
  <conditionalFormatting sqref="I56">
    <cfRule type="expression" dxfId="161" priority="4">
      <formula>$J$51&gt;$L$48</formula>
    </cfRule>
  </conditionalFormatting>
  <conditionalFormatting sqref="I61">
    <cfRule type="expression" dxfId="160" priority="2">
      <formula>$J$51&gt;$L$48</formula>
    </cfRule>
  </conditionalFormatting>
  <conditionalFormatting sqref="K61">
    <cfRule type="expression" dxfId="15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8.875" defaultRowHeight="13.5"/>
  <cols>
    <col min="1" max="1" width="10.5" customWidth="1"/>
    <col min="2" max="2" width="12.875" customWidth="1"/>
    <col min="3" max="3" width="8.625" customWidth="1"/>
  </cols>
  <sheetData>
    <row r="1" spans="1:9" ht="14.25">
      <c r="A1" s="3565" t="s">
        <v>2452</v>
      </c>
      <c r="B1" s="3566"/>
      <c r="C1" s="3567"/>
      <c r="D1" s="3568">
        <f>SUM(I10,I15,I20,I21,I23)</f>
        <v>0</v>
      </c>
      <c r="E1" s="3568"/>
      <c r="F1" s="3568"/>
      <c r="G1" s="3568"/>
      <c r="H1" s="3568"/>
      <c r="I1" s="3569"/>
    </row>
    <row r="2" spans="1:9">
      <c r="A2" s="3555" t="s">
        <v>2453</v>
      </c>
      <c r="B2" s="3556" t="s">
        <v>2454</v>
      </c>
      <c r="C2" s="3556"/>
      <c r="D2" s="2359" t="s">
        <v>2455</v>
      </c>
      <c r="E2" s="2359" t="s">
        <v>2456</v>
      </c>
      <c r="F2" s="2359" t="s">
        <v>2457</v>
      </c>
      <c r="G2" s="2359" t="s">
        <v>2458</v>
      </c>
      <c r="H2" s="2359" t="s">
        <v>2459</v>
      </c>
      <c r="I2" s="2360" t="s">
        <v>2460</v>
      </c>
    </row>
    <row r="3" spans="1:9">
      <c r="A3" s="3555"/>
      <c r="B3" s="3556" t="s">
        <v>2461</v>
      </c>
      <c r="C3" s="3556"/>
      <c r="D3" s="2361"/>
      <c r="E3" s="2359"/>
      <c r="F3" s="2362"/>
      <c r="G3" s="2362"/>
      <c r="H3" s="2363"/>
      <c r="I3" s="2364">
        <f>ROUND(D3*E3*F3*G3*H3/10000,0)</f>
        <v>0</v>
      </c>
    </row>
    <row r="4" spans="1:9">
      <c r="A4" s="3555"/>
      <c r="B4" s="3556" t="s">
        <v>2462</v>
      </c>
      <c r="C4" s="3556"/>
      <c r="D4" s="2361"/>
      <c r="E4" s="2359"/>
      <c r="F4" s="2362"/>
      <c r="G4" s="2362"/>
      <c r="H4" s="2363"/>
      <c r="I4" s="2364">
        <f t="shared" ref="I4:I9" si="0">ROUND(D4*E4*F4*G4*H4/10000,0)</f>
        <v>0</v>
      </c>
    </row>
    <row r="5" spans="1:9">
      <c r="A5" s="3555"/>
      <c r="B5" s="3556" t="s">
        <v>2463</v>
      </c>
      <c r="C5" s="3556"/>
      <c r="D5" s="2361"/>
      <c r="E5" s="2359"/>
      <c r="F5" s="2362"/>
      <c r="G5" s="2362"/>
      <c r="H5" s="2363"/>
      <c r="I5" s="2364">
        <f t="shared" si="0"/>
        <v>0</v>
      </c>
    </row>
    <row r="6" spans="1:9">
      <c r="A6" s="3555"/>
      <c r="B6" s="3556" t="s">
        <v>2464</v>
      </c>
      <c r="C6" s="3556"/>
      <c r="D6" s="2361"/>
      <c r="E6" s="2359"/>
      <c r="F6" s="2362"/>
      <c r="G6" s="2362"/>
      <c r="H6" s="2363"/>
      <c r="I6" s="2364">
        <f t="shared" si="0"/>
        <v>0</v>
      </c>
    </row>
    <row r="7" spans="1:9">
      <c r="A7" s="3555"/>
      <c r="B7" s="3556" t="s">
        <v>2465</v>
      </c>
      <c r="C7" s="3556"/>
      <c r="D7" s="2361"/>
      <c r="E7" s="2359"/>
      <c r="F7" s="2362"/>
      <c r="G7" s="2362"/>
      <c r="H7" s="2363"/>
      <c r="I7" s="2364">
        <f t="shared" si="0"/>
        <v>0</v>
      </c>
    </row>
    <row r="8" spans="1:9">
      <c r="A8" s="3555"/>
      <c r="B8" s="3556" t="s">
        <v>2466</v>
      </c>
      <c r="C8" s="3556"/>
      <c r="D8" s="2361"/>
      <c r="E8" s="2359"/>
      <c r="F8" s="2362"/>
      <c r="G8" s="2362"/>
      <c r="H8" s="2363"/>
      <c r="I8" s="2364">
        <f t="shared" si="0"/>
        <v>0</v>
      </c>
    </row>
    <row r="9" spans="1:9">
      <c r="A9" s="3555"/>
      <c r="B9" s="3556" t="s">
        <v>2467</v>
      </c>
      <c r="C9" s="3556"/>
      <c r="D9" s="2361"/>
      <c r="E9" s="2359"/>
      <c r="F9" s="2362"/>
      <c r="G9" s="2362"/>
      <c r="H9" s="2363"/>
      <c r="I9" s="2364">
        <f t="shared" si="0"/>
        <v>0</v>
      </c>
    </row>
    <row r="10" spans="1:9">
      <c r="A10" s="3555"/>
      <c r="B10" s="3557" t="s">
        <v>2468</v>
      </c>
      <c r="C10" s="3557"/>
      <c r="D10" s="2365">
        <v>527</v>
      </c>
      <c r="E10" s="2365" t="e">
        <f>ROUND(D1*10000/D10/H9,0)</f>
        <v>#DIV/0!</v>
      </c>
      <c r="F10" s="2366"/>
      <c r="G10" s="2366"/>
      <c r="H10" s="2367"/>
      <c r="I10" s="2368">
        <f>SUM(I3:I9)</f>
        <v>0</v>
      </c>
    </row>
    <row r="11" spans="1:9" ht="14.25">
      <c r="A11" s="3555" t="s">
        <v>2469</v>
      </c>
      <c r="B11" s="3556" t="s">
        <v>2470</v>
      </c>
      <c r="C11" s="3556"/>
      <c r="D11" s="2361" t="s">
        <v>2471</v>
      </c>
      <c r="E11" s="2361" t="s">
        <v>2472</v>
      </c>
      <c r="F11" s="2362" t="s">
        <v>2473</v>
      </c>
      <c r="G11" s="2362" t="s">
        <v>2474</v>
      </c>
      <c r="H11" s="2369" t="s">
        <v>2475</v>
      </c>
      <c r="I11" s="2360" t="s">
        <v>2476</v>
      </c>
    </row>
    <row r="12" spans="1:9">
      <c r="A12" s="3555"/>
      <c r="B12" s="3556" t="s">
        <v>2477</v>
      </c>
      <c r="C12" s="3556"/>
      <c r="D12" s="2361"/>
      <c r="E12" s="2361"/>
      <c r="F12" s="2362"/>
      <c r="G12" s="2363"/>
      <c r="H12" s="2370"/>
      <c r="I12" s="2360">
        <f>ROUND(D12*E12*F12*G12/10000,0)</f>
        <v>0</v>
      </c>
    </row>
    <row r="13" spans="1:9">
      <c r="A13" s="3555"/>
      <c r="B13" s="3556" t="s">
        <v>2478</v>
      </c>
      <c r="C13" s="3556"/>
      <c r="D13" s="2361"/>
      <c r="E13" s="2361"/>
      <c r="F13" s="2362"/>
      <c r="G13" s="2363"/>
      <c r="H13" s="2370"/>
      <c r="I13" s="2360">
        <f>ROUND(D13*E13*F13*G13/10000,0)</f>
        <v>0</v>
      </c>
    </row>
    <row r="14" spans="1:9">
      <c r="A14" s="3555"/>
      <c r="B14" s="3556" t="s">
        <v>2479</v>
      </c>
      <c r="C14" s="3556"/>
      <c r="D14" s="2361"/>
      <c r="E14" s="2361"/>
      <c r="F14" s="2362"/>
      <c r="G14" s="2363"/>
      <c r="H14" s="2370"/>
      <c r="I14" s="2360">
        <f>ROUND(D14*E14*F14*G14/10000,0)</f>
        <v>0</v>
      </c>
    </row>
    <row r="15" spans="1:9">
      <c r="A15" s="3555"/>
      <c r="B15" s="3557" t="s">
        <v>2468</v>
      </c>
      <c r="C15" s="3557"/>
      <c r="D15" s="2365"/>
      <c r="E15" s="2365">
        <f>SUM(E12:E14)</f>
        <v>0</v>
      </c>
      <c r="F15" s="2366"/>
      <c r="G15" s="2363"/>
      <c r="H15" s="2370"/>
      <c r="I15" s="2371">
        <f>SUM(I12:I14)</f>
        <v>0</v>
      </c>
    </row>
    <row r="16" spans="1:9" ht="24">
      <c r="A16" s="3555" t="s">
        <v>2480</v>
      </c>
      <c r="B16" s="3556" t="s">
        <v>2481</v>
      </c>
      <c r="C16" s="3556"/>
      <c r="D16" s="2361" t="s">
        <v>2482</v>
      </c>
      <c r="E16" s="2372" t="s">
        <v>2483</v>
      </c>
      <c r="F16" s="2362" t="s">
        <v>2484</v>
      </c>
      <c r="G16" s="2363" t="s">
        <v>2474</v>
      </c>
      <c r="H16" s="2369" t="s">
        <v>2475</v>
      </c>
      <c r="I16" s="2360" t="s">
        <v>2476</v>
      </c>
    </row>
    <row r="17" spans="1:9" ht="14.25">
      <c r="A17" s="3555"/>
      <c r="B17" s="3556" t="s">
        <v>2485</v>
      </c>
      <c r="C17" s="3556"/>
      <c r="D17" s="2361"/>
      <c r="E17" s="2361"/>
      <c r="F17" s="2362"/>
      <c r="G17" s="2363"/>
      <c r="H17" s="2373"/>
      <c r="I17" s="2374">
        <f>ROUND(D17*E17*F17*G17/10000,0)</f>
        <v>0</v>
      </c>
    </row>
    <row r="18" spans="1:9" ht="14.25">
      <c r="A18" s="3555"/>
      <c r="B18" s="3556" t="s">
        <v>2486</v>
      </c>
      <c r="C18" s="3556"/>
      <c r="D18" s="2361"/>
      <c r="E18" s="2361"/>
      <c r="F18" s="2362"/>
      <c r="G18" s="2363"/>
      <c r="H18" s="2373"/>
      <c r="I18" s="2374">
        <f>ROUND(D18*E18*F18*G18/10000,0)</f>
        <v>0</v>
      </c>
    </row>
    <row r="19" spans="1:9" ht="14.25">
      <c r="A19" s="3555"/>
      <c r="B19" s="3556" t="s">
        <v>2487</v>
      </c>
      <c r="C19" s="3556"/>
      <c r="D19" s="2361"/>
      <c r="E19" s="2361"/>
      <c r="F19" s="2362"/>
      <c r="G19" s="2363"/>
      <c r="H19" s="2373"/>
      <c r="I19" s="2374">
        <f>ROUND(D19*E19*F19*G19/10000,0)</f>
        <v>0</v>
      </c>
    </row>
    <row r="20" spans="1:9">
      <c r="A20" s="3555"/>
      <c r="B20" s="3557" t="s">
        <v>2468</v>
      </c>
      <c r="C20" s="3557"/>
      <c r="D20" s="2365">
        <f>SUM(D17:D19)</f>
        <v>0</v>
      </c>
      <c r="E20" s="2365"/>
      <c r="F20" s="2366"/>
      <c r="G20" s="2363"/>
      <c r="H20" s="2370"/>
      <c r="I20" s="2371">
        <f>SUM(I17:I19)</f>
        <v>0</v>
      </c>
    </row>
    <row r="21" spans="1:9">
      <c r="A21" s="3555" t="s">
        <v>2488</v>
      </c>
      <c r="B21" s="3558"/>
      <c r="C21" s="3558"/>
      <c r="D21" s="3558"/>
      <c r="E21" s="3558"/>
      <c r="F21" s="3558"/>
      <c r="G21" s="3558"/>
      <c r="H21" s="2375">
        <v>0.1</v>
      </c>
      <c r="I21" s="2368">
        <f>ROUND(I10*H21,0)</f>
        <v>0</v>
      </c>
    </row>
    <row r="22" spans="1:9" ht="14.25">
      <c r="A22" s="3559" t="s">
        <v>2489</v>
      </c>
      <c r="B22" s="3560"/>
      <c r="C22" s="3561"/>
      <c r="D22" s="2376" t="s">
        <v>2490</v>
      </c>
      <c r="E22" s="2376" t="s">
        <v>2491</v>
      </c>
      <c r="F22" s="2377" t="s">
        <v>2492</v>
      </c>
      <c r="G22" s="2377" t="s">
        <v>2493</v>
      </c>
      <c r="H22" s="2369" t="s">
        <v>2494</v>
      </c>
      <c r="I22" s="2360" t="s">
        <v>2495</v>
      </c>
    </row>
    <row r="23" spans="1:9" ht="14.25" thickBot="1">
      <c r="A23" s="3562"/>
      <c r="B23" s="3563"/>
      <c r="C23" s="3564"/>
      <c r="D23" s="2378"/>
      <c r="E23" s="2378"/>
      <c r="F23" s="2378"/>
      <c r="G23" s="2379"/>
      <c r="H23" s="2380"/>
      <c r="I23" s="2381">
        <f>ROUND(E23*D23*F23*(1-G23)/10000,0)</f>
        <v>0</v>
      </c>
    </row>
    <row r="26" spans="1:9">
      <c r="A26" s="2382" t="s">
        <v>2496</v>
      </c>
      <c r="B26" s="2382"/>
      <c r="C26" s="2382"/>
      <c r="D26" s="2382"/>
      <c r="E26" s="3552">
        <f>C27-C30-C31-C32</f>
        <v>0</v>
      </c>
      <c r="F26" s="3552"/>
      <c r="G26" s="3552"/>
      <c r="H26" s="2755" t="s">
        <v>2822</v>
      </c>
    </row>
    <row r="27" spans="1:9">
      <c r="A27" s="2383">
        <v>1</v>
      </c>
      <c r="B27" s="2384" t="s">
        <v>2497</v>
      </c>
      <c r="C27" s="2384"/>
      <c r="D27" s="2384"/>
      <c r="E27" s="3553"/>
      <c r="F27" s="3553"/>
      <c r="G27" s="3553"/>
    </row>
    <row r="28" spans="1:9">
      <c r="A28" s="2385" t="s">
        <v>2498</v>
      </c>
      <c r="B28" s="2384" t="s">
        <v>2499</v>
      </c>
      <c r="C28" s="2384"/>
      <c r="D28" s="2384"/>
      <c r="E28" s="3553"/>
      <c r="F28" s="3553"/>
      <c r="G28" s="3553"/>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554"/>
      <c r="F32" s="3554"/>
      <c r="G32" s="3554"/>
    </row>
    <row r="33" spans="1:7" hidden="1">
      <c r="A33" s="3549" t="s">
        <v>2507</v>
      </c>
      <c r="B33" s="3550"/>
      <c r="C33" s="3550"/>
      <c r="D33" s="3551"/>
      <c r="E33" s="3552"/>
      <c r="F33" s="3552"/>
      <c r="G33" s="3552"/>
    </row>
    <row r="34" spans="1:7" hidden="1">
      <c r="A34" s="2387">
        <v>1</v>
      </c>
      <c r="B34" s="2384" t="s">
        <v>2508</v>
      </c>
      <c r="C34" s="2384"/>
      <c r="D34" s="2384"/>
      <c r="E34" s="3553"/>
      <c r="F34" s="3553"/>
      <c r="G34" s="3553"/>
    </row>
    <row r="35" spans="1:7" hidden="1">
      <c r="A35" s="2387">
        <v>2</v>
      </c>
      <c r="B35" s="2384" t="s">
        <v>2509</v>
      </c>
      <c r="C35" s="2384"/>
      <c r="D35" s="2384"/>
      <c r="E35" s="3553"/>
      <c r="F35" s="3553"/>
      <c r="G35" s="3553"/>
    </row>
    <row r="36" spans="1:7" hidden="1">
      <c r="A36" s="2387">
        <v>3</v>
      </c>
      <c r="B36" s="2384" t="s">
        <v>2510</v>
      </c>
      <c r="C36" s="2384"/>
      <c r="D36" s="2384"/>
      <c r="E36" s="3553"/>
      <c r="F36" s="3553"/>
      <c r="G36" s="3553"/>
    </row>
    <row r="37" spans="1:7" hidden="1">
      <c r="A37" s="2387">
        <v>4</v>
      </c>
      <c r="B37" s="2384" t="s">
        <v>2511</v>
      </c>
      <c r="C37" s="2384"/>
      <c r="D37" s="2384"/>
      <c r="E37" s="3553"/>
      <c r="F37" s="3553"/>
      <c r="G37" s="3553"/>
    </row>
    <row r="38" spans="1:7" hidden="1">
      <c r="A38" s="3549" t="s">
        <v>2512</v>
      </c>
      <c r="B38" s="3550"/>
      <c r="C38" s="3550"/>
      <c r="D38" s="3551"/>
      <c r="E38" s="3552"/>
      <c r="F38" s="3552"/>
      <c r="G38" s="355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F20" sqref="F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5" t="s">
        <v>597</v>
      </c>
      <c r="B1" s="734"/>
      <c r="C1" s="2062"/>
      <c r="D1" s="2062"/>
      <c r="E1" s="2062"/>
      <c r="F1" s="2062"/>
      <c r="G1" s="1989"/>
    </row>
    <row r="2" spans="1:25" s="1941" customFormat="1" ht="18" customHeight="1">
      <c r="A2" s="417" t="s">
        <v>461</v>
      </c>
      <c r="B2" s="419">
        <f ca="1">C23</f>
        <v>41320</v>
      </c>
      <c r="C2" s="3265"/>
      <c r="D2" s="3265"/>
      <c r="E2" s="3265"/>
      <c r="F2" s="3265"/>
      <c r="G2" s="3265"/>
    </row>
    <row r="3" spans="1:25" s="1941" customFormat="1" ht="18" customHeight="1">
      <c r="A3" s="1330" t="s">
        <v>1675</v>
      </c>
      <c r="B3" s="419">
        <f ca="1">ROUND(B2*10000/'数据-汇总表'!E3,0)</f>
        <v>1481</v>
      </c>
      <c r="C3" s="3265"/>
      <c r="D3" s="3265"/>
      <c r="E3" s="3265"/>
      <c r="F3" s="3265"/>
      <c r="G3" s="3265"/>
    </row>
    <row r="4" spans="1:25" s="1941" customFormat="1" ht="18" customHeight="1">
      <c r="A4" s="420" t="s">
        <v>462</v>
      </c>
      <c r="B4" s="421">
        <f ca="1">ROUND(B2*10000/'数据-汇总表'!D3,0)</f>
        <v>2576</v>
      </c>
      <c r="C4" s="3218"/>
      <c r="D4" s="3265"/>
      <c r="E4" s="3265"/>
      <c r="F4" s="3265"/>
      <c r="G4" s="3265"/>
    </row>
    <row r="5" spans="1:25" s="1941" customFormat="1" ht="18" customHeight="1" thickBot="1">
      <c r="A5" s="423"/>
      <c r="B5" s="424">
        <f ca="1">ROUND(B2/('数据-汇总表'!D3/666.67),0)</f>
        <v>172</v>
      </c>
      <c r="C5" s="425" t="s">
        <v>463</v>
      </c>
      <c r="D5" s="3265"/>
      <c r="E5" s="3265"/>
      <c r="F5" s="3265"/>
      <c r="G5" s="3265"/>
    </row>
    <row r="6" spans="1:25" s="2063" customFormat="1" ht="13.5" customHeight="1">
      <c r="A6" s="735"/>
      <c r="B6" s="736" t="s">
        <v>598</v>
      </c>
      <c r="C6" s="737" t="s">
        <v>599</v>
      </c>
      <c r="D6" s="737" t="s">
        <v>600</v>
      </c>
      <c r="E6" s="738" t="s">
        <v>601</v>
      </c>
      <c r="F6" s="738" t="s">
        <v>602</v>
      </c>
      <c r="G6" s="3264" t="s">
        <v>2990</v>
      </c>
    </row>
    <row r="7" spans="1:25" s="2063" customFormat="1" ht="13.5" customHeight="1">
      <c r="A7" s="2322">
        <v>1</v>
      </c>
      <c r="B7" s="739" t="s">
        <v>603</v>
      </c>
      <c r="C7" s="740">
        <f>C8+C9</f>
        <v>31302</v>
      </c>
      <c r="D7" s="740"/>
      <c r="E7" s="741"/>
      <c r="F7" s="741"/>
      <c r="G7" s="2331"/>
    </row>
    <row r="8" spans="1:25" s="2063" customFormat="1" ht="13.5" customHeight="1">
      <c r="A8" s="2322" t="s">
        <v>2422</v>
      </c>
      <c r="B8" s="2325" t="s">
        <v>2424</v>
      </c>
      <c r="C8" s="3268">
        <f t="shared" ref="C8:C9" si="0">ROUND(D8*E8/10000,0)</f>
        <v>31302</v>
      </c>
      <c r="D8" s="3268">
        <f>'数据-基础表'!B3</f>
        <v>278949</v>
      </c>
      <c r="E8" s="3269">
        <v>1122.1400000000001</v>
      </c>
      <c r="F8" s="741"/>
      <c r="G8" s="742"/>
    </row>
    <row r="9" spans="1:25" s="2063" customFormat="1" ht="13.5" customHeight="1">
      <c r="A9" s="2322" t="s">
        <v>2423</v>
      </c>
      <c r="B9" s="2325" t="s">
        <v>2425</v>
      </c>
      <c r="C9" s="3268">
        <f t="shared" si="0"/>
        <v>0</v>
      </c>
      <c r="D9" s="3268">
        <v>0</v>
      </c>
      <c r="E9" s="3269">
        <v>0</v>
      </c>
      <c r="F9" s="741"/>
      <c r="G9" s="742"/>
    </row>
    <row r="10" spans="1:25" s="2063" customFormat="1" ht="36">
      <c r="A10" s="2322">
        <v>2</v>
      </c>
      <c r="B10" s="739" t="s">
        <v>607</v>
      </c>
      <c r="C10" s="740">
        <f>C11+C14+C15</f>
        <v>837</v>
      </c>
      <c r="D10" s="750"/>
      <c r="E10" s="740"/>
      <c r="F10" s="751"/>
      <c r="G10" s="749" t="s">
        <v>608</v>
      </c>
    </row>
    <row r="11" spans="1:25" s="2063" customFormat="1" ht="13.5" customHeight="1">
      <c r="A11" s="2322" t="s">
        <v>2422</v>
      </c>
      <c r="B11" s="743" t="s">
        <v>604</v>
      </c>
      <c r="C11" s="744">
        <f>'数据-取费表'!B29</f>
        <v>0</v>
      </c>
      <c r="D11" s="745"/>
      <c r="E11" s="744"/>
      <c r="F11" s="746"/>
      <c r="G11" s="2330" t="s">
        <v>2433</v>
      </c>
    </row>
    <row r="12" spans="1:25" s="2063" customFormat="1" ht="13.5" customHeight="1">
      <c r="A12" s="2328" t="s">
        <v>2430</v>
      </c>
      <c r="B12" s="747" t="s">
        <v>605</v>
      </c>
      <c r="C12" s="748">
        <f>ROUND(D12*E12/10000,0)</f>
        <v>3105</v>
      </c>
      <c r="D12" s="3268">
        <f>'数据-汇总表'!E5</f>
        <v>194034</v>
      </c>
      <c r="E12" s="3268">
        <f>'数据-取费表'!B27</f>
        <v>160</v>
      </c>
      <c r="F12" s="746"/>
      <c r="G12" s="749"/>
    </row>
    <row r="13" spans="1:25" s="2063" customFormat="1" ht="13.5" customHeight="1">
      <c r="A13" s="2328" t="s">
        <v>2429</v>
      </c>
      <c r="B13" s="747" t="s">
        <v>606</v>
      </c>
      <c r="C13" s="748">
        <f>ROUND(D13*E13/10000,0)</f>
        <v>1698</v>
      </c>
      <c r="D13" s="3268">
        <f>'数据-汇总表'!E6</f>
        <v>84915</v>
      </c>
      <c r="E13" s="3268">
        <f>'数据-取费表'!B28</f>
        <v>200</v>
      </c>
      <c r="F13" s="746"/>
      <c r="G13" s="749"/>
    </row>
    <row r="14" spans="1:25" s="2063" customFormat="1" ht="13.5" customHeight="1">
      <c r="A14" s="2322" t="s">
        <v>2423</v>
      </c>
      <c r="B14" s="2327" t="s">
        <v>2426</v>
      </c>
      <c r="C14" s="3270">
        <f t="shared" ref="C14:C15" si="1">ROUND(D14*E14/10000,0)</f>
        <v>837</v>
      </c>
      <c r="D14" s="3268">
        <f>D8</f>
        <v>278949</v>
      </c>
      <c r="E14" s="3340">
        <f>'数据-取费表'!B30</f>
        <v>30</v>
      </c>
      <c r="F14" s="2326"/>
      <c r="G14" s="2329" t="s">
        <v>2431</v>
      </c>
    </row>
    <row r="15" spans="1:25" s="2063" customFormat="1" ht="13.5" customHeight="1">
      <c r="A15" s="2322" t="s">
        <v>2428</v>
      </c>
      <c r="B15" s="2327" t="s">
        <v>2427</v>
      </c>
      <c r="C15" s="3270">
        <f t="shared" si="1"/>
        <v>0</v>
      </c>
      <c r="D15" s="3268">
        <v>0</v>
      </c>
      <c r="E15" s="3269">
        <v>0</v>
      </c>
      <c r="F15" s="2326"/>
      <c r="G15" s="2329" t="s">
        <v>2432</v>
      </c>
    </row>
    <row r="16" spans="1:25" s="2064" customFormat="1" ht="48">
      <c r="A16" s="2322">
        <v>3</v>
      </c>
      <c r="B16" s="739" t="s">
        <v>609</v>
      </c>
      <c r="C16" s="3270">
        <f t="shared" ref="C16" si="2">ROUND(D16*E16/10000,0)</f>
        <v>0</v>
      </c>
      <c r="D16" s="3268">
        <v>0</v>
      </c>
      <c r="E16" s="3269">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9" t="s">
        <v>610</v>
      </c>
      <c r="C17" s="2424">
        <f ca="1">ROUND(IF('数据-取费表'!B19&lt;=1,((C7+C16)*'数据-取费表'!B19+C10*'数据-取费表'!B19/2)*F17,((C7+C16)*(POWER((1+F17),'数据-取费表'!B19)-1)+C10*(POWER((1+F17),'数据-取费表'!B19/2)-1))),0)</f>
        <v>3084</v>
      </c>
      <c r="D17" s="752"/>
      <c r="E17" s="753"/>
      <c r="F17" s="754">
        <f ca="1">存贷款利率!E3</f>
        <v>4.7500000000000001E-2</v>
      </c>
      <c r="G17" s="755" t="str">
        <f>IF('数据-取费表'!B19&lt;=1,"((１＋３)×土地开发期+２×(土地开发期÷２))×利率","((１＋３)×((1+利率)^土地开发期-1)+２×((1+利率)^(土地开发期÷２)-1)")</f>
        <v>((１＋３)×((1+利率)^土地开发期-1)+２×((1+利率)^(土地开发期÷２)-1)</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9" t="s">
        <v>611</v>
      </c>
      <c r="C18" s="740">
        <f>ROUND((C7+C10+C16)*F18,0)</f>
        <v>2571</v>
      </c>
      <c r="D18" s="752"/>
      <c r="E18" s="753"/>
      <c r="F18" s="1301">
        <v>0.08</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9" t="s">
        <v>613</v>
      </c>
      <c r="C19" s="740">
        <f ca="1">C7+C10+C16+C17+C18</f>
        <v>37794</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9" t="s">
        <v>615</v>
      </c>
      <c r="C20" s="740">
        <f ca="1">ROUND(C19*F20,0)</f>
        <v>11338</v>
      </c>
      <c r="D20" s="750"/>
      <c r="E20" s="740"/>
      <c r="F20" s="1301">
        <v>0.3</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9" t="s">
        <v>617</v>
      </c>
      <c r="C21" s="740">
        <f ca="1">C19+C20</f>
        <v>49132</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9" t="s">
        <v>619</v>
      </c>
      <c r="C22" s="740">
        <f ca="1">ROUND(C21*F22,0)</f>
        <v>41320</v>
      </c>
      <c r="D22" s="750"/>
      <c r="E22" s="740"/>
      <c r="F22" s="756">
        <f>'数据-取费表'!AP16</f>
        <v>0.84099999999999997</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35" customHeight="1" thickBot="1">
      <c r="A23" s="2324">
        <v>10</v>
      </c>
      <c r="B23" s="757" t="s">
        <v>621</v>
      </c>
      <c r="C23" s="758">
        <f ca="1">C22</f>
        <v>41320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7" customFormat="1">
      <c r="A24" s="3266"/>
      <c r="D24" s="1883"/>
      <c r="E24" s="1883"/>
    </row>
    <row r="25" spans="1:25" s="3267" customFormat="1">
      <c r="A25" s="3266"/>
      <c r="D25" s="1883"/>
      <c r="E25" s="1883"/>
    </row>
    <row r="26" spans="1:25" s="3267" customFormat="1">
      <c r="A26" s="3266"/>
      <c r="D26" s="1883"/>
      <c r="E26" s="1883"/>
    </row>
    <row r="27" spans="1:25" s="3267" customFormat="1">
      <c r="A27" s="3266"/>
      <c r="D27" s="1883"/>
      <c r="E27" s="1883"/>
    </row>
    <row r="28" spans="1:25" s="3267" customFormat="1">
      <c r="A28" s="3266"/>
      <c r="D28" s="1883"/>
      <c r="E28" s="1883"/>
    </row>
    <row r="29" spans="1:25" s="3267" customFormat="1">
      <c r="A29" s="3266"/>
      <c r="D29" s="1883"/>
      <c r="E29" s="1883"/>
    </row>
    <row r="30" spans="1:25" s="3267" customFormat="1">
      <c r="A30" s="3266"/>
      <c r="D30" s="1883"/>
      <c r="E30" s="1883"/>
    </row>
    <row r="31" spans="1:25" s="3267" customFormat="1">
      <c r="A31" s="3266"/>
      <c r="D31" s="1883"/>
      <c r="E31" s="1883"/>
    </row>
    <row r="32" spans="1:25" s="3267" customFormat="1">
      <c r="A32" s="3266"/>
      <c r="D32" s="1883"/>
      <c r="E32" s="1883"/>
    </row>
    <row r="33" spans="1:5" s="3267" customFormat="1">
      <c r="A33" s="3266"/>
      <c r="D33" s="1883"/>
      <c r="E33" s="1883"/>
    </row>
    <row r="34" spans="1:5" s="3267" customFormat="1">
      <c r="A34" s="3266"/>
      <c r="D34" s="1883"/>
      <c r="E34" s="1883"/>
    </row>
    <row r="35" spans="1:5" s="3267" customFormat="1">
      <c r="A35" s="3266"/>
      <c r="D35" s="1883"/>
      <c r="E35" s="1883"/>
    </row>
    <row r="36" spans="1:5" s="3267" customFormat="1">
      <c r="A36" s="3266"/>
      <c r="D36" s="1883"/>
      <c r="E36" s="1883"/>
    </row>
    <row r="37" spans="1:5" s="3267" customFormat="1">
      <c r="A37" s="3266"/>
      <c r="D37" s="1883"/>
      <c r="E37" s="1883"/>
    </row>
    <row r="38" spans="1:5" s="3267" customFormat="1">
      <c r="A38" s="3266"/>
      <c r="D38" s="1883"/>
      <c r="E38" s="1883"/>
    </row>
    <row r="39" spans="1:5" s="3267" customFormat="1">
      <c r="A39" s="3266"/>
      <c r="D39" s="1883"/>
      <c r="E39" s="1883"/>
    </row>
    <row r="40" spans="1:5" s="3267" customFormat="1">
      <c r="A40" s="3266"/>
      <c r="D40" s="1883"/>
      <c r="E40" s="1883"/>
    </row>
    <row r="41" spans="1:5" s="3267" customFormat="1">
      <c r="A41" s="3266"/>
      <c r="D41" s="1883"/>
      <c r="E41" s="1883"/>
    </row>
    <row r="42" spans="1:5" s="3267" customFormat="1">
      <c r="A42" s="3266"/>
      <c r="D42" s="1883"/>
      <c r="E42" s="1883"/>
    </row>
    <row r="43" spans="1:5" s="3267" customFormat="1">
      <c r="A43" s="3266"/>
      <c r="D43" s="1883"/>
      <c r="E43" s="1883"/>
    </row>
    <row r="44" spans="1:5" s="3267" customFormat="1">
      <c r="A44" s="3266"/>
      <c r="D44" s="1883"/>
      <c r="E44" s="1883"/>
    </row>
    <row r="45" spans="1:5" s="3267" customFormat="1">
      <c r="A45" s="3266"/>
      <c r="D45" s="1883"/>
      <c r="E45" s="1883"/>
    </row>
    <row r="46" spans="1:5" s="3267" customFormat="1">
      <c r="A46" s="3266"/>
      <c r="D46" s="1883"/>
      <c r="E46" s="1883"/>
    </row>
    <row r="47" spans="1:5" s="3267" customFormat="1">
      <c r="A47" s="3266"/>
      <c r="D47" s="1883"/>
      <c r="E47" s="1883"/>
    </row>
    <row r="48" spans="1:5" s="3267" customFormat="1">
      <c r="A48" s="3266"/>
      <c r="D48" s="1883"/>
      <c r="E48" s="1883"/>
    </row>
    <row r="49" spans="1:5" s="3267" customFormat="1">
      <c r="A49" s="3266"/>
      <c r="D49" s="1883"/>
      <c r="E49" s="1883"/>
    </row>
    <row r="50" spans="1:5" s="3267" customFormat="1">
      <c r="A50" s="3266"/>
      <c r="D50" s="1883"/>
      <c r="E50" s="1883"/>
    </row>
    <row r="51" spans="1:5" s="3267" customFormat="1">
      <c r="A51" s="3266"/>
      <c r="D51" s="1883"/>
      <c r="E51" s="1883"/>
    </row>
    <row r="52" spans="1:5" s="3267" customFormat="1">
      <c r="A52" s="3266"/>
      <c r="D52" s="1883"/>
      <c r="E52" s="1883"/>
    </row>
    <row r="53" spans="1:5" s="3267" customFormat="1">
      <c r="A53" s="3266"/>
      <c r="D53" s="1883"/>
      <c r="E53" s="1883"/>
    </row>
    <row r="54" spans="1:5" s="3267" customFormat="1">
      <c r="A54" s="3266"/>
      <c r="D54" s="1883"/>
      <c r="E54" s="1883"/>
    </row>
    <row r="55" spans="1:5" s="3267" customFormat="1">
      <c r="A55" s="3266"/>
      <c r="D55" s="1883"/>
      <c r="E55" s="1883"/>
    </row>
    <row r="56" spans="1:5" s="3267" customFormat="1">
      <c r="A56" s="3266"/>
      <c r="D56" s="1883"/>
      <c r="E56" s="1883"/>
    </row>
    <row r="57" spans="1:5" s="3267" customFormat="1">
      <c r="A57" s="3266"/>
      <c r="D57" s="1883"/>
      <c r="E57" s="1883"/>
    </row>
    <row r="58" spans="1:5" s="3267" customFormat="1">
      <c r="A58" s="3266"/>
      <c r="D58" s="1883"/>
      <c r="E58" s="1883"/>
    </row>
    <row r="59" spans="1:5" s="3267" customFormat="1">
      <c r="A59" s="3266"/>
      <c r="D59" s="1883"/>
      <c r="E59" s="1883"/>
    </row>
    <row r="60" spans="1:5" s="3267" customFormat="1">
      <c r="A60" s="3266"/>
      <c r="D60" s="1883"/>
      <c r="E60" s="1883"/>
    </row>
    <row r="61" spans="1:5" s="3267" customFormat="1">
      <c r="A61" s="3266"/>
      <c r="D61" s="1883"/>
      <c r="E61" s="1883"/>
    </row>
    <row r="62" spans="1:5" s="3267" customFormat="1">
      <c r="A62" s="3266"/>
      <c r="D62" s="1883"/>
      <c r="E62" s="1883"/>
    </row>
    <row r="63" spans="1:5" s="3267" customFormat="1">
      <c r="A63" s="3266"/>
      <c r="D63" s="1883"/>
      <c r="E63" s="1883"/>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160409平方米。根据《建设工程规划许可证》[]、《出让合同》[]，估价对象规划建筑面积为278949平方米。</v>
      </c>
    </row>
    <row r="7" spans="1:4" ht="56.25">
      <c r="A7" s="1709" t="s">
        <v>2727</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2020年10月21日</v>
      </c>
    </row>
    <row r="12" spans="1:4" ht="18.75">
      <c r="A12" s="1711" t="s">
        <v>2013</v>
      </c>
    </row>
    <row r="13" spans="1:4" ht="18.75">
      <c r="A13" s="1705" t="s">
        <v>2905</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根据《国有土地使用证》[]，估价对象（分摊）出让国有建设用地使用权面积为160409平方米。根据《建设工程规划许可证》[]、《出让合同》[]，估价对象规划建筑面积为278949平方米。</v>
      </c>
    </row>
    <row r="21" spans="1:1" ht="18.75">
      <c r="A21" s="1705" t="s">
        <v>2062</v>
      </c>
    </row>
    <row r="22" spans="1:1" ht="93.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20日、商业2060年10月20日、办公2060年10月20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18.75">
      <c r="A26" s="1705" t="str">
        <f>IF(项目基本情况!B9="市场价格","——",IF(项目基本情况!E8="抵押价格",定义!C54,IF(项目基本情况!E8="已注销",定义!C55,定义!C56)))</f>
        <v>——</v>
      </c>
    </row>
    <row r="27" spans="1:1" ht="18.7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5" t="str">
        <f>IF(项目基本情况!B9="市场价格","——",IF(项目基本情况!E9="——","",定义!C57))</f>
        <v>——</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D14" sqref="D14"/>
    </sheetView>
  </sheetViews>
  <sheetFormatPr defaultColWidth="6.625" defaultRowHeight="12.75"/>
  <cols>
    <col min="1" max="1" width="9.625" style="2005" customWidth="1"/>
    <col min="2" max="2" width="25.62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460</v>
      </c>
      <c r="B1" s="2525"/>
      <c r="C1" s="1985"/>
      <c r="D1" s="1985"/>
      <c r="E1" s="1985"/>
      <c r="F1" s="1985"/>
      <c r="G1" s="1985"/>
      <c r="H1" s="1985"/>
      <c r="I1" s="1985"/>
      <c r="J1" s="1985"/>
      <c r="K1" s="416">
        <f>MATCH(B1,'数据-取费表'!A6:A16,0)+5</f>
        <v>11</v>
      </c>
      <c r="L1" s="290"/>
      <c r="M1" s="290"/>
      <c r="N1" s="290"/>
      <c r="O1" s="290"/>
      <c r="P1" s="290"/>
      <c r="Q1" s="290"/>
      <c r="R1" s="290"/>
      <c r="S1" s="290"/>
      <c r="T1" s="290"/>
      <c r="U1" s="290"/>
      <c r="V1" s="290"/>
      <c r="W1" s="290"/>
      <c r="X1" s="290"/>
      <c r="Y1" s="290"/>
      <c r="Z1" s="290"/>
    </row>
    <row r="2" spans="1:31" s="1923" customFormat="1" ht="18" customHeight="1">
      <c r="A2" s="1982" t="s">
        <v>461</v>
      </c>
      <c r="B2" s="1986">
        <f ca="1">C36</f>
        <v>98098</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3517</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6115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408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4" t="s">
        <v>1832</v>
      </c>
      <c r="B6" s="2545"/>
      <c r="C6" s="2546">
        <f ca="1">SUM(C10:K10)</f>
        <v>326164</v>
      </c>
      <c r="D6" s="2545"/>
      <c r="E6" s="2545"/>
      <c r="F6" s="2545"/>
      <c r="G6" s="2545"/>
      <c r="H6" s="2545"/>
      <c r="I6" s="2545"/>
      <c r="J6" s="2545"/>
      <c r="K6" s="2547"/>
      <c r="L6" s="3194"/>
      <c r="M6" s="3194"/>
      <c r="N6" s="3194"/>
      <c r="O6" s="3194"/>
      <c r="P6" s="3194"/>
      <c r="Q6" s="3194"/>
      <c r="R6" s="3194"/>
      <c r="S6" s="3194"/>
      <c r="T6" s="3194"/>
      <c r="U6" s="3194"/>
      <c r="V6" s="3194"/>
      <c r="W6" s="3194"/>
      <c r="X6" s="3194"/>
      <c r="Y6" s="3194"/>
      <c r="Z6" s="3194"/>
    </row>
    <row r="7" spans="1:31" s="1994" customFormat="1" ht="25.5">
      <c r="A7" s="2548" t="s">
        <v>464</v>
      </c>
      <c r="B7" s="2549" t="s">
        <v>465</v>
      </c>
      <c r="C7" s="430" t="s">
        <v>914</v>
      </c>
      <c r="D7" s="430" t="s">
        <v>3376</v>
      </c>
      <c r="E7" s="430" t="s">
        <v>3377</v>
      </c>
      <c r="F7" s="430" t="s">
        <v>1668</v>
      </c>
      <c r="G7" s="430" t="s">
        <v>3371</v>
      </c>
      <c r="H7" s="430"/>
      <c r="I7" s="430"/>
      <c r="J7" s="430"/>
      <c r="K7" s="431"/>
      <c r="AA7" s="1993"/>
      <c r="AB7" s="1993"/>
      <c r="AC7" s="1993"/>
      <c r="AD7" s="1993"/>
      <c r="AE7" s="1993"/>
    </row>
    <row r="8" spans="1:31" s="1996" customFormat="1" ht="13.5" customHeight="1">
      <c r="A8" s="793" t="s">
        <v>1835</v>
      </c>
      <c r="B8" s="259" t="s">
        <v>466</v>
      </c>
      <c r="C8" s="2550"/>
      <c r="D8" s="2550"/>
      <c r="E8" s="2550"/>
      <c r="F8" s="2550"/>
      <c r="G8" s="2550"/>
      <c r="H8" s="2550"/>
      <c r="I8" s="2550"/>
      <c r="J8" s="2550"/>
      <c r="K8" s="2551"/>
      <c r="AA8" s="1995"/>
      <c r="AB8" s="1995"/>
      <c r="AC8" s="1995"/>
      <c r="AD8" s="1995"/>
      <c r="AE8" s="1995"/>
    </row>
    <row r="9" spans="1:31" s="1996" customFormat="1" ht="13.5" customHeight="1">
      <c r="A9" s="793" t="s">
        <v>1836</v>
      </c>
      <c r="B9" s="259" t="s">
        <v>467</v>
      </c>
      <c r="C9" s="435">
        <f>SUMIF('数据-汇总表'!$C19:$C33,'剩余法-待开发'!C7,'数据-汇总表'!$E19:$E33)</f>
        <v>155327</v>
      </c>
      <c r="D9" s="435">
        <f>SUMIF('数据-汇总表'!$C19:$C33,'剩余法-待开发'!D7,'数据-汇总表'!$E19:$E33)</f>
        <v>32206</v>
      </c>
      <c r="E9" s="435">
        <f>SUMIF('数据-汇总表'!$C19:$C33,'剩余法-待开发'!E7,'数据-汇总表'!$E19:$E33)</f>
        <v>16603</v>
      </c>
      <c r="F9" s="435">
        <f>SUMIF('数据-汇总表'!$C19:$C33,'剩余法-待开发'!F7,'数据-汇总表'!$E19:$E33)</f>
        <v>25604</v>
      </c>
      <c r="G9" s="435">
        <f>SUMIF('数据-汇总表'!$C19:$C33,'剩余法-待开发'!G7,'数据-汇总表'!$E19:$E33)</f>
        <v>38707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2" t="s">
        <v>1837</v>
      </c>
      <c r="B10" s="2538" t="s">
        <v>468</v>
      </c>
      <c r="C10" s="2741">
        <f ca="1">'不动产收益法-住宅'!B2</f>
        <v>194385</v>
      </c>
      <c r="D10" s="2741">
        <f ca="1">'不动产收益法-底商'!B2</f>
        <v>42205</v>
      </c>
      <c r="E10" s="2741">
        <f ca="1">'不动产收益法-独商'!B2</f>
        <v>16716</v>
      </c>
      <c r="F10" s="2553">
        <f ca="1">'不动产收益法-办公'!B2</f>
        <v>30818</v>
      </c>
      <c r="G10" s="2553">
        <f ca="1">'不动产收益法-公寓'!B2</f>
        <v>42040</v>
      </c>
      <c r="H10" s="2553"/>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4"/>
      <c r="M11" s="3194"/>
      <c r="N11" s="3194"/>
      <c r="O11" s="3194"/>
      <c r="P11" s="3194"/>
      <c r="Q11" s="3194"/>
      <c r="R11" s="3194"/>
      <c r="S11" s="3194"/>
      <c r="T11" s="3194"/>
      <c r="U11" s="3194"/>
      <c r="V11" s="3194"/>
      <c r="W11" s="3194"/>
      <c r="X11" s="3194"/>
      <c r="Y11" s="3194"/>
      <c r="Z11" s="3194"/>
    </row>
    <row r="12" spans="1:31" s="1966" customFormat="1" ht="13.5" customHeight="1">
      <c r="A12" s="2556" t="s">
        <v>464</v>
      </c>
      <c r="B12" s="2528" t="s">
        <v>465</v>
      </c>
      <c r="C12" s="2557" t="s">
        <v>469</v>
      </c>
      <c r="D12" s="2524" t="s">
        <v>470</v>
      </c>
      <c r="E12" s="2524" t="s">
        <v>471</v>
      </c>
      <c r="F12" s="2524" t="s">
        <v>472</v>
      </c>
      <c r="G12" s="2528"/>
      <c r="H12" s="2529"/>
      <c r="I12" s="2529"/>
      <c r="J12" s="2529"/>
      <c r="K12" s="2530"/>
      <c r="L12" s="3195"/>
      <c r="M12" s="3195"/>
      <c r="N12" s="3195"/>
      <c r="O12" s="3195"/>
      <c r="P12" s="3195"/>
      <c r="Q12" s="3195"/>
      <c r="R12" s="3195"/>
      <c r="S12" s="3195"/>
      <c r="T12" s="3195"/>
      <c r="U12" s="3195"/>
      <c r="V12" s="3195"/>
      <c r="W12" s="3195"/>
      <c r="X12" s="3195"/>
      <c r="Y12" s="3195"/>
      <c r="Z12" s="3195"/>
    </row>
    <row r="13" spans="1:31" s="1997" customFormat="1" ht="13.5" customHeight="1">
      <c r="A13" s="2558" t="s">
        <v>1838</v>
      </c>
      <c r="B13" s="2559" t="s">
        <v>473</v>
      </c>
      <c r="C13" s="444">
        <f ca="1">IF(B1="",'数据-取费表'!P16,INDIRECT("'数据-取费表'!p"&amp;$K$1)+INDIRECT("'数据-取费表'!t"&amp;$K$1))</f>
        <v>121928</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474</v>
      </c>
      <c r="C14" s="53">
        <f ca="1">ROUND(C13*F14,0)</f>
        <v>6096</v>
      </c>
      <c r="D14" s="2560"/>
      <c r="E14" s="2561"/>
      <c r="F14" s="2563">
        <f>'数据-取费表'!B33</f>
        <v>0.05</v>
      </c>
      <c r="G14" s="2528" t="s">
        <v>475</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476</v>
      </c>
      <c r="C15" s="53">
        <f ca="1">ROUND(IF(B1="",SUMIF('数据-取费表'!C:C,"住宅",'数据-取费表'!P:P)*F15,IF(INDIRECT("'数据-取费表'!c"&amp;$K$1)="住宅",INDIRECT("'数据-取费表'!P"&amp;$K$1)*F15,0)),0)</f>
        <v>3650</v>
      </c>
      <c r="D15" s="2560"/>
      <c r="E15" s="2561"/>
      <c r="F15" s="2563">
        <f>'数据-取费表'!B34</f>
        <v>0.05</v>
      </c>
      <c r="G15" s="2528" t="s">
        <v>477</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478</v>
      </c>
      <c r="C16" s="53">
        <f ca="1">ROUND(D16*E16/10000,0)</f>
        <v>9763</v>
      </c>
      <c r="D16" s="2560">
        <f ca="1">IF(B1="",'数据-汇总表'!E3,INDIRECT("'数据-取费表'!K"&amp;$K$1)+INDIRECT("'数据-取费表'!S"&amp;$K$1))</f>
        <v>278949</v>
      </c>
      <c r="E16" s="53">
        <f>'数据-取费表'!B35</f>
        <v>350</v>
      </c>
      <c r="F16" s="2563"/>
      <c r="G16" s="2528"/>
      <c r="H16" s="2529"/>
      <c r="I16" s="2529"/>
      <c r="J16" s="2529"/>
      <c r="K16" s="2530"/>
      <c r="AA16" s="1997"/>
      <c r="AB16" s="1997"/>
      <c r="AC16" s="1997"/>
      <c r="AD16" s="1997"/>
      <c r="AE16" s="1997"/>
    </row>
    <row r="17" spans="1:26" s="1997" customFormat="1" ht="13.5" customHeight="1">
      <c r="A17" s="2558" t="s">
        <v>1842</v>
      </c>
      <c r="B17" s="2559" t="s">
        <v>479</v>
      </c>
      <c r="C17" s="2564">
        <f ca="1">ROUND(C13*F17,0)</f>
        <v>1829</v>
      </c>
      <c r="D17" s="469"/>
      <c r="E17" s="2564"/>
      <c r="F17" s="2565">
        <f>'数据-取费表'!B36</f>
        <v>1.4999999999999999E-2</v>
      </c>
      <c r="G17" s="259" t="s">
        <v>480</v>
      </c>
      <c r="H17" s="2531"/>
      <c r="I17" s="2531"/>
      <c r="J17" s="2531"/>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481</v>
      </c>
      <c r="C18" s="2568">
        <f ca="1">SUM(C13:C17)</f>
        <v>143266</v>
      </c>
      <c r="D18" s="2569"/>
      <c r="E18" s="462"/>
      <c r="F18" s="462"/>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482</v>
      </c>
      <c r="C19" s="2524">
        <f ca="1">ROUND(D19*E19/10000,0)</f>
        <v>0</v>
      </c>
      <c r="D19" s="2570">
        <f ca="1">D16</f>
        <v>278949</v>
      </c>
      <c r="E19" s="2524">
        <f>'数据-取费表'!B32</f>
        <v>0</v>
      </c>
      <c r="F19" s="462"/>
      <c r="G19" s="2528" t="s">
        <v>483</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484</v>
      </c>
      <c r="C20" s="2524">
        <f ca="1">C21+C22-IF(B1="",'数据-取费表'!B29,IF(G20="已全部缴纳",C21+C22,H20))</f>
        <v>4803</v>
      </c>
      <c r="D20" s="2570"/>
      <c r="E20" s="2524"/>
      <c r="F20" s="2571"/>
      <c r="G20" s="2775" t="s">
        <v>3399</v>
      </c>
      <c r="H20" s="2526"/>
      <c r="I20" s="2527" t="s">
        <v>2631</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485</v>
      </c>
      <c r="C21" s="53">
        <f ca="1">ROUND(D21*E21/10000,0)</f>
        <v>3105</v>
      </c>
      <c r="D21" s="2560">
        <f ca="1">IF(B1="",'数据-汇总表'!E5,IF(INDIRECT("'数据-取费表'!c"&amp;$K$1)="住宅",INDIRECT("'数据-取费表'!k"&amp;$K$1),0))</f>
        <v>194034</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486</v>
      </c>
      <c r="C22" s="53">
        <f ca="1">ROUND(D22*E22/10000,0)</f>
        <v>1698</v>
      </c>
      <c r="D22" s="2560">
        <f ca="1">IF(B1="",'数据-汇总表'!E6,IF(INDIRECT("'数据-取费表'!c"&amp;$K$1)="住宅",INDIRECT("'数据-取费表'!s"&amp;$K$1),INDIRECT("'数据-取费表'!k"&amp;$K$1)+INDIRECT("'数据-取费表'!s"&amp;$K$1)))</f>
        <v>84915</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7" t="s">
        <v>2813</v>
      </c>
      <c r="C23" s="2568">
        <f ca="1">ROUND((C18+C19+C20)*F23,0)</f>
        <v>1481</v>
      </c>
      <c r="D23" s="462"/>
      <c r="E23" s="462"/>
      <c r="F23" s="2572">
        <f>'数据-取费表'!B37</f>
        <v>0.01</v>
      </c>
      <c r="G23" s="2528" t="s">
        <v>2414</v>
      </c>
      <c r="H23" s="2529"/>
      <c r="I23" s="2529"/>
      <c r="J23" s="2529"/>
      <c r="K23" s="2530"/>
      <c r="L23" s="3196"/>
      <c r="M23" s="3196"/>
      <c r="N23" s="3196"/>
      <c r="O23" s="1998"/>
      <c r="P23" s="1998"/>
      <c r="Q23" s="1998"/>
      <c r="R23" s="1998"/>
      <c r="S23" s="1998"/>
      <c r="T23" s="1998"/>
      <c r="U23" s="1998"/>
      <c r="V23" s="1998"/>
      <c r="W23" s="1998"/>
      <c r="X23" s="1998"/>
      <c r="Y23" s="1998"/>
      <c r="Z23" s="1998"/>
    </row>
    <row r="24" spans="1:26" s="1997" customFormat="1" ht="13.5" customHeight="1">
      <c r="A24" s="2566" t="s">
        <v>1849</v>
      </c>
      <c r="B24" s="2747" t="s">
        <v>2816</v>
      </c>
      <c r="C24" s="2568">
        <f ca="1">ROUND(C6*F24,0)</f>
        <v>3262</v>
      </c>
      <c r="D24" s="469"/>
      <c r="E24" s="467"/>
      <c r="F24" s="2572">
        <f>'数据-取费表'!B38</f>
        <v>0.01</v>
      </c>
      <c r="G24" s="2537" t="s">
        <v>493</v>
      </c>
      <c r="H24" s="2531"/>
      <c r="I24" s="2531"/>
      <c r="J24" s="2531"/>
      <c r="K24" s="277"/>
      <c r="L24" s="3196"/>
      <c r="M24" s="3196"/>
      <c r="N24" s="3196"/>
      <c r="O24" s="1998"/>
      <c r="P24" s="1998"/>
      <c r="Q24" s="1998"/>
      <c r="R24" s="1998"/>
      <c r="S24" s="1998"/>
      <c r="T24" s="1998"/>
      <c r="U24" s="1998"/>
      <c r="V24" s="1998"/>
      <c r="W24" s="1998"/>
      <c r="X24" s="1998"/>
      <c r="Y24" s="1998"/>
      <c r="Z24" s="1998"/>
    </row>
    <row r="25" spans="1:26" s="2000" customFormat="1" ht="13.5" customHeight="1">
      <c r="A25" s="2566" t="s">
        <v>1850</v>
      </c>
      <c r="B25" s="2747" t="s">
        <v>2814</v>
      </c>
      <c r="C25" s="3273">
        <f>F25</f>
        <v>3.0499999999999999E-2</v>
      </c>
      <c r="D25" s="456" t="s">
        <v>2808</v>
      </c>
      <c r="E25" s="463"/>
      <c r="F25" s="2572">
        <f>'数据-取费表'!B48+'数据-取费表'!B49</f>
        <v>3.0499999999999999E-2</v>
      </c>
      <c r="G25" s="2536" t="s">
        <v>2276</v>
      </c>
      <c r="H25" s="2529"/>
      <c r="I25" s="2529"/>
      <c r="J25" s="2529"/>
      <c r="K25" s="2530"/>
      <c r="L25" s="3197"/>
      <c r="M25" s="3197"/>
      <c r="N25" s="3197"/>
      <c r="O25" s="3197"/>
      <c r="P25" s="3197"/>
      <c r="Q25" s="3197"/>
      <c r="R25" s="3197"/>
      <c r="S25" s="3197"/>
      <c r="T25" s="3197"/>
      <c r="U25" s="3197"/>
      <c r="V25" s="3197"/>
      <c r="W25" s="3197"/>
      <c r="X25" s="3197"/>
      <c r="Y25" s="3197"/>
      <c r="Z25" s="3197"/>
    </row>
    <row r="26" spans="1:26" s="1999" customFormat="1" ht="13.5" customHeight="1">
      <c r="A26" s="2566" t="s">
        <v>1851</v>
      </c>
      <c r="B26" s="2748" t="s">
        <v>2815</v>
      </c>
      <c r="C26" s="2573">
        <f ca="1">C28</f>
        <v>7259</v>
      </c>
      <c r="D26" s="461">
        <f ca="1">C27</f>
        <v>0.1002</v>
      </c>
      <c r="E26" s="463" t="s">
        <v>489</v>
      </c>
      <c r="F26" s="465">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6"/>
      <c r="M26" s="3196"/>
      <c r="N26" s="3196"/>
      <c r="O26" s="3196"/>
      <c r="P26" s="3196"/>
      <c r="Q26" s="3196"/>
      <c r="R26" s="3196"/>
      <c r="S26" s="3196"/>
      <c r="T26" s="3196"/>
      <c r="U26" s="3196"/>
      <c r="V26" s="3196"/>
      <c r="W26" s="3196"/>
      <c r="X26" s="3196"/>
      <c r="Y26" s="3196"/>
      <c r="Z26" s="3196"/>
    </row>
    <row r="27" spans="1:26" s="2001" customFormat="1" ht="13.5" customHeight="1">
      <c r="A27" s="793" t="s">
        <v>1846</v>
      </c>
      <c r="B27" s="2574" t="s">
        <v>490</v>
      </c>
      <c r="C27" s="2575">
        <f ca="1">ROUND(IF('数据-取费表'!B22&lt;=1,(1+C25)*F26*'数据-取费表'!B24,(1+C25)*(POWER((1+F26),'数据-取费表'!B24)-1)),4)</f>
        <v>0.1002</v>
      </c>
      <c r="D27" s="466"/>
      <c r="E27" s="467"/>
      <c r="F27" s="468"/>
      <c r="G27" s="2423" t="str">
        <f>IF('数据-取费表'!B22&lt;=1,"（1+取得税费率/(1+5%)）×年利率×建设期","（1+取得税费率）/(1+5%)×((1+年利率)^建设期-1)")</f>
        <v>（1+取得税费率）/(1+5%)×((1+年利率)^建设期-1)</v>
      </c>
      <c r="H27" s="2531"/>
      <c r="I27" s="2531"/>
      <c r="J27" s="2531"/>
      <c r="K27" s="277"/>
      <c r="L27" s="3198"/>
      <c r="M27" s="3198"/>
      <c r="N27" s="3198"/>
      <c r="O27" s="3198"/>
      <c r="P27" s="3198"/>
      <c r="Q27" s="3198"/>
      <c r="R27" s="3198"/>
      <c r="S27" s="3198"/>
      <c r="T27" s="3198"/>
      <c r="U27" s="3198"/>
      <c r="V27" s="3198"/>
      <c r="W27" s="3198"/>
      <c r="X27" s="3198"/>
      <c r="Y27" s="3198"/>
      <c r="Z27" s="3198"/>
    </row>
    <row r="28" spans="1:26" s="2001" customFormat="1" ht="13.5" customHeight="1">
      <c r="A28" s="793" t="s">
        <v>1847</v>
      </c>
      <c r="B28" s="2574" t="s">
        <v>2817</v>
      </c>
      <c r="C28" s="2576">
        <f ca="1">ROUND(IF('数据-取费表'!B22&lt;=1,(C18+C19+C20+C23+C24)*F26*'数据-取费表'!B24/2,(C18+C19+C20+C23+C24)*(POWER((1+F26),'数据-取费表'!B24/2)-1)),0)</f>
        <v>7259</v>
      </c>
      <c r="D28" s="466"/>
      <c r="E28" s="467"/>
      <c r="F28" s="468"/>
      <c r="G28" s="2423" t="str">
        <f>IF('数据-取费表'!B22&lt;=1,"（1）-（4）项×年利率×建设期÷2","（1）-（4）项×((1+年利率)^(建设期÷2)-1)")</f>
        <v>（1）-（4）项×((1+年利率)^(建设期÷2)-1)</v>
      </c>
      <c r="H28" s="2531"/>
      <c r="I28" s="2531"/>
      <c r="J28" s="2531"/>
      <c r="K28" s="277"/>
      <c r="L28" s="3198"/>
      <c r="M28" s="3198"/>
      <c r="N28" s="3198"/>
      <c r="O28" s="3198"/>
      <c r="P28" s="3198"/>
      <c r="Q28" s="3198"/>
      <c r="R28" s="3198"/>
      <c r="S28" s="3198"/>
      <c r="T28" s="3198"/>
      <c r="U28" s="3198"/>
      <c r="V28" s="3198"/>
      <c r="W28" s="3198"/>
      <c r="X28" s="3198"/>
      <c r="Y28" s="3198"/>
      <c r="Z28" s="3198"/>
    </row>
    <row r="29" spans="1:26" s="2001" customFormat="1" ht="13.5" customHeight="1">
      <c r="A29" s="2577" t="s">
        <v>1852</v>
      </c>
      <c r="B29" s="2567" t="s">
        <v>491</v>
      </c>
      <c r="C29" s="2568">
        <f ca="1">ROUND(C6*F29/(1+'数据-取费表'!C42),0)</f>
        <v>17085</v>
      </c>
      <c r="D29" s="462"/>
      <c r="E29" s="462"/>
      <c r="F29" s="2749">
        <f>'数据-取费表'!B41</f>
        <v>5.5000000000000007E-2</v>
      </c>
      <c r="G29" s="2537" t="s">
        <v>492</v>
      </c>
      <c r="H29" s="2529"/>
      <c r="I29" s="2529"/>
      <c r="J29" s="2529"/>
      <c r="K29" s="2530"/>
      <c r="L29" s="3198"/>
      <c r="M29" s="3198"/>
      <c r="N29" s="3198"/>
      <c r="O29" s="3198"/>
      <c r="P29" s="3198"/>
      <c r="Q29" s="3198"/>
      <c r="R29" s="3198"/>
      <c r="S29" s="3198"/>
      <c r="T29" s="3198"/>
      <c r="U29" s="3198"/>
      <c r="V29" s="3198"/>
      <c r="W29" s="3198"/>
      <c r="X29" s="3198"/>
      <c r="Y29" s="3198"/>
      <c r="Z29" s="3198"/>
    </row>
    <row r="30" spans="1:26" s="2002" customFormat="1" ht="13.5" customHeight="1">
      <c r="A30" s="1563" t="s">
        <v>1853</v>
      </c>
      <c r="B30" s="2578" t="s">
        <v>494</v>
      </c>
      <c r="C30" s="2573">
        <f ca="1">C31</f>
        <v>177156</v>
      </c>
      <c r="D30" s="471">
        <f ca="1">C32</f>
        <v>0.13070000000000001</v>
      </c>
      <c r="E30" s="463" t="s">
        <v>489</v>
      </c>
      <c r="F30" s="465"/>
      <c r="G30" s="2536" t="s">
        <v>2932</v>
      </c>
      <c r="H30" s="2529"/>
      <c r="I30" s="2529"/>
      <c r="J30" s="2529"/>
      <c r="K30" s="2530"/>
      <c r="L30" s="3199"/>
      <c r="M30" s="3199"/>
      <c r="N30" s="3199"/>
      <c r="O30" s="3199"/>
      <c r="P30" s="3199"/>
      <c r="Q30" s="3199"/>
      <c r="R30" s="3199"/>
      <c r="S30" s="3199"/>
      <c r="T30" s="3199"/>
      <c r="U30" s="3199"/>
      <c r="V30" s="3199"/>
      <c r="W30" s="3199"/>
      <c r="X30" s="3199"/>
      <c r="Y30" s="3199"/>
      <c r="Z30" s="3199"/>
    </row>
    <row r="31" spans="1:26" s="2001" customFormat="1" ht="13.5" customHeight="1">
      <c r="A31" s="793" t="s">
        <v>1846</v>
      </c>
      <c r="B31" s="2574"/>
      <c r="C31" s="444">
        <f ca="1">C18+C19+C20+C23+C24+C26+C29</f>
        <v>177156</v>
      </c>
      <c r="D31" s="466"/>
      <c r="E31" s="467"/>
      <c r="F31" s="468"/>
      <c r="G31" s="259"/>
      <c r="H31" s="2531"/>
      <c r="I31" s="2531"/>
      <c r="J31" s="2531"/>
      <c r="K31" s="277"/>
      <c r="L31" s="3198"/>
      <c r="M31" s="3198"/>
      <c r="N31" s="3198"/>
      <c r="O31" s="3198"/>
      <c r="P31" s="3198"/>
      <c r="Q31" s="3198"/>
      <c r="R31" s="3198"/>
      <c r="S31" s="3198"/>
      <c r="T31" s="3198"/>
      <c r="U31" s="3198"/>
      <c r="V31" s="3198"/>
      <c r="W31" s="3198"/>
      <c r="X31" s="3198"/>
      <c r="Y31" s="3198"/>
      <c r="Z31" s="3198"/>
    </row>
    <row r="32" spans="1:26" s="2001" customFormat="1" ht="13.5" customHeight="1">
      <c r="A32" s="793" t="s">
        <v>1847</v>
      </c>
      <c r="B32" s="2574"/>
      <c r="C32" s="53">
        <f ca="1">ROUND(C25+D26,4)</f>
        <v>0.13070000000000001</v>
      </c>
      <c r="D32" s="466"/>
      <c r="E32" s="467"/>
      <c r="F32" s="468"/>
      <c r="G32" s="259"/>
      <c r="H32" s="2531"/>
      <c r="I32" s="2531"/>
      <c r="J32" s="2531"/>
      <c r="K32" s="277"/>
      <c r="L32" s="3198"/>
      <c r="M32" s="3198"/>
      <c r="N32" s="3198"/>
      <c r="O32" s="3198"/>
      <c r="P32" s="3198"/>
      <c r="Q32" s="3198"/>
      <c r="R32" s="3198"/>
      <c r="S32" s="3198"/>
      <c r="T32" s="3198"/>
      <c r="U32" s="3198"/>
      <c r="V32" s="3198"/>
      <c r="W32" s="3198"/>
      <c r="X32" s="3198"/>
      <c r="Y32" s="3198"/>
      <c r="Z32" s="3198"/>
    </row>
    <row r="33" spans="1:26" s="2003" customFormat="1" ht="13.5" customHeight="1">
      <c r="A33" s="2746" t="s">
        <v>2812</v>
      </c>
      <c r="B33" s="2744" t="s">
        <v>2810</v>
      </c>
      <c r="C33" s="472">
        <f ca="1">C35</f>
        <v>22922</v>
      </c>
      <c r="D33" s="461">
        <f ca="1">C34</f>
        <v>0.15459999999999999</v>
      </c>
      <c r="E33" s="463" t="s">
        <v>489</v>
      </c>
      <c r="F33" s="473">
        <f ca="1">IF(B1="",'数据-取费表'!Q16,INDIRECT("'数据-取费表'!q"&amp;$K$1))</f>
        <v>0.15</v>
      </c>
      <c r="G33" s="2532"/>
      <c r="H33" s="2533"/>
      <c r="I33" s="2533"/>
      <c r="J33" s="2533"/>
      <c r="K33" s="2534"/>
      <c r="L33" s="3200"/>
      <c r="M33" s="3200"/>
      <c r="N33" s="3200"/>
      <c r="O33" s="3200"/>
      <c r="P33" s="3200"/>
      <c r="Q33" s="3200"/>
      <c r="R33" s="3200"/>
      <c r="S33" s="3200"/>
      <c r="T33" s="3200"/>
      <c r="U33" s="3200"/>
      <c r="V33" s="3200"/>
      <c r="W33" s="3200"/>
      <c r="X33" s="3200"/>
      <c r="Y33" s="3200"/>
      <c r="Z33" s="3200"/>
    </row>
    <row r="34" spans="1:26" s="2004" customFormat="1" ht="13.5" customHeight="1">
      <c r="A34" s="369" t="s">
        <v>1846</v>
      </c>
      <c r="B34" s="2579" t="s">
        <v>495</v>
      </c>
      <c r="C34" s="466">
        <f ca="1">ROUND((1+C25)*F33,4)</f>
        <v>0.15459999999999999</v>
      </c>
      <c r="D34" s="466"/>
      <c r="E34" s="467"/>
      <c r="F34" s="474"/>
      <c r="G34" s="259" t="s">
        <v>2277</v>
      </c>
      <c r="H34" s="2531"/>
      <c r="I34" s="2531"/>
      <c r="J34" s="2531"/>
      <c r="K34" s="277"/>
      <c r="L34" s="3201"/>
      <c r="M34" s="3201"/>
      <c r="N34" s="3201"/>
      <c r="O34" s="3201"/>
      <c r="P34" s="3201"/>
      <c r="Q34" s="3201"/>
      <c r="R34" s="3201"/>
      <c r="S34" s="3201"/>
      <c r="T34" s="3201"/>
      <c r="U34" s="3201"/>
      <c r="V34" s="3201"/>
      <c r="W34" s="3201"/>
      <c r="X34" s="3201"/>
      <c r="Y34" s="3201"/>
      <c r="Z34" s="3201"/>
    </row>
    <row r="35" spans="1:26" s="2004" customFormat="1" ht="13.5" customHeight="1" thickBot="1">
      <c r="A35" s="1564" t="s">
        <v>1847</v>
      </c>
      <c r="B35" s="2745" t="s">
        <v>2818</v>
      </c>
      <c r="C35" s="1556">
        <f ca="1">ROUND((C18+C19+C20+C23+C24)*F33,0)</f>
        <v>22922</v>
      </c>
      <c r="D35" s="1557"/>
      <c r="E35" s="2580"/>
      <c r="F35" s="1558"/>
      <c r="G35" s="2538"/>
      <c r="H35" s="2539"/>
      <c r="I35" s="2539"/>
      <c r="J35" s="2539"/>
      <c r="K35" s="2540"/>
      <c r="L35" s="3201"/>
      <c r="M35" s="3201"/>
      <c r="N35" s="3201"/>
      <c r="O35" s="3201"/>
      <c r="P35" s="3201"/>
      <c r="Q35" s="3201"/>
      <c r="R35" s="3201"/>
      <c r="S35" s="3201"/>
      <c r="T35" s="3201"/>
      <c r="U35" s="3201"/>
      <c r="V35" s="3201"/>
      <c r="W35" s="3201"/>
      <c r="X35" s="3201"/>
      <c r="Y35" s="3201"/>
      <c r="Z35" s="3201"/>
    </row>
    <row r="36" spans="1:26" s="1966" customFormat="1" ht="13.5" customHeight="1" thickBot="1">
      <c r="A36" s="282" t="s">
        <v>1834</v>
      </c>
      <c r="B36" s="2542"/>
      <c r="C36" s="2581">
        <f ca="1">ROUND((C6-C30-C33)/(1+D30+D33),0)</f>
        <v>98098</v>
      </c>
      <c r="D36" s="2542"/>
      <c r="E36" s="2542"/>
      <c r="F36" s="2542"/>
      <c r="G36" s="2541" t="s">
        <v>2819</v>
      </c>
      <c r="H36" s="2542"/>
      <c r="I36" s="2542"/>
      <c r="J36" s="2542"/>
      <c r="K36" s="2543"/>
      <c r="L36" s="3195"/>
      <c r="M36" s="3195"/>
      <c r="N36" s="3195"/>
      <c r="O36" s="3195"/>
      <c r="P36" s="3195"/>
      <c r="Q36" s="3195"/>
      <c r="R36" s="3195"/>
      <c r="S36" s="3195"/>
      <c r="T36" s="3195"/>
      <c r="U36" s="3195"/>
      <c r="V36" s="3195"/>
      <c r="W36" s="3195"/>
      <c r="X36" s="3195"/>
      <c r="Y36" s="3195"/>
      <c r="Z36" s="3195"/>
    </row>
    <row r="37" spans="1:26" s="1996" customFormat="1">
      <c r="A37" s="3202"/>
      <c r="C37" s="3203"/>
      <c r="E37" s="3202"/>
    </row>
    <row r="38" spans="1:26" s="1996" customFormat="1" ht="12.75" customHeight="1">
      <c r="A38" s="3202"/>
      <c r="C38" s="3203"/>
      <c r="E38" s="3202"/>
    </row>
    <row r="39" spans="1:26" s="1996" customFormat="1">
      <c r="A39" s="3202"/>
      <c r="C39" s="3203"/>
      <c r="E39" s="3202"/>
    </row>
    <row r="40" spans="1:26" s="1996" customFormat="1">
      <c r="A40" s="3202"/>
      <c r="C40" s="3203"/>
      <c r="E40" s="3202"/>
    </row>
    <row r="41" spans="1:26" s="1996" customFormat="1">
      <c r="A41" s="3202"/>
      <c r="C41" s="3203"/>
      <c r="E41" s="3202"/>
    </row>
    <row r="42" spans="1:26" s="1996" customFormat="1">
      <c r="A42" s="3202"/>
      <c r="C42" s="3203"/>
      <c r="E42" s="3202"/>
    </row>
    <row r="43" spans="1:26" s="1996" customFormat="1">
      <c r="A43" s="3202"/>
      <c r="C43" s="3203"/>
      <c r="E43" s="3202"/>
    </row>
    <row r="44" spans="1:26" s="1996" customFormat="1">
      <c r="A44" s="3202"/>
      <c r="C44" s="3203"/>
      <c r="E44" s="3202"/>
    </row>
    <row r="45" spans="1:26" s="1996" customFormat="1">
      <c r="A45" s="3202"/>
      <c r="C45" s="3203"/>
      <c r="E45" s="3202"/>
    </row>
    <row r="46" spans="1:26" s="1996" customFormat="1">
      <c r="A46" s="3202"/>
      <c r="C46" s="3203"/>
      <c r="E46" s="3202"/>
    </row>
    <row r="47" spans="1:26" s="1996" customFormat="1">
      <c r="A47" s="3202"/>
      <c r="C47" s="3203"/>
      <c r="E47" s="3202"/>
    </row>
    <row r="48" spans="1:26" s="1996" customFormat="1">
      <c r="A48" s="3202"/>
      <c r="C48" s="3203"/>
      <c r="E48" s="3202"/>
    </row>
    <row r="49" spans="1:5" s="1996" customFormat="1">
      <c r="A49" s="3202"/>
      <c r="C49" s="3203"/>
      <c r="E49" s="3202"/>
    </row>
    <row r="50" spans="1:5" s="1996" customFormat="1">
      <c r="A50" s="3202"/>
      <c r="C50" s="3203"/>
      <c r="E50" s="3202"/>
    </row>
    <row r="51" spans="1:5" s="1996" customFormat="1">
      <c r="A51" s="3202"/>
      <c r="C51" s="3203"/>
      <c r="E51" s="3202"/>
    </row>
    <row r="52" spans="1:5" s="1996" customFormat="1">
      <c r="A52" s="3202"/>
      <c r="C52" s="3203"/>
      <c r="E52" s="3202"/>
    </row>
    <row r="53" spans="1:5" s="1996" customFormat="1">
      <c r="A53" s="3202"/>
      <c r="C53" s="3203"/>
      <c r="E53" s="3202"/>
    </row>
    <row r="54" spans="1:5" s="1996" customFormat="1">
      <c r="A54" s="3202"/>
      <c r="C54" s="3203"/>
      <c r="E54" s="3202"/>
    </row>
    <row r="55" spans="1:5" s="1996" customFormat="1">
      <c r="A55" s="3202"/>
      <c r="C55" s="3203"/>
      <c r="E55" s="3202"/>
    </row>
    <row r="56" spans="1:5" s="1996" customFormat="1">
      <c r="A56" s="3202"/>
      <c r="C56" s="3203"/>
      <c r="E56" s="3202"/>
    </row>
    <row r="57" spans="1:5" s="1996" customFormat="1">
      <c r="A57" s="3202"/>
      <c r="C57" s="3203"/>
      <c r="E57" s="3202"/>
    </row>
    <row r="58" spans="1:5" s="1996" customFormat="1">
      <c r="A58" s="3202"/>
      <c r="C58" s="3203"/>
      <c r="E58" s="3202"/>
    </row>
    <row r="59" spans="1:5" s="1996" customFormat="1">
      <c r="A59" s="3202"/>
      <c r="C59" s="3203"/>
      <c r="E59" s="3202"/>
    </row>
    <row r="60" spans="1:5" s="1996" customFormat="1">
      <c r="A60" s="3202"/>
      <c r="C60" s="3203"/>
      <c r="E60" s="3202"/>
    </row>
    <row r="61" spans="1:5" s="1996" customFormat="1">
      <c r="A61" s="3202"/>
      <c r="C61" s="3203"/>
      <c r="E61" s="3202"/>
    </row>
    <row r="62" spans="1:5" s="1996" customFormat="1">
      <c r="A62" s="3202"/>
      <c r="C62" s="3203"/>
      <c r="E62" s="3202"/>
    </row>
    <row r="63" spans="1:5" s="1996" customFormat="1">
      <c r="A63" s="3202"/>
      <c r="C63" s="3203"/>
      <c r="E63" s="3202"/>
    </row>
    <row r="64" spans="1:5" s="1996" customFormat="1">
      <c r="A64" s="3202"/>
      <c r="C64" s="3203"/>
      <c r="E64" s="3202"/>
    </row>
    <row r="65" spans="1:5" s="1996" customFormat="1">
      <c r="A65" s="3202"/>
      <c r="C65" s="3203"/>
      <c r="E65" s="3202"/>
    </row>
    <row r="66" spans="1:5" s="1996" customFormat="1">
      <c r="A66" s="3202"/>
      <c r="C66" s="3203"/>
      <c r="E66" s="3202"/>
    </row>
    <row r="67" spans="1:5" s="1996" customFormat="1">
      <c r="A67" s="3202"/>
      <c r="C67" s="3203"/>
      <c r="E67" s="3202"/>
    </row>
    <row r="68" spans="1:5" s="1996" customFormat="1">
      <c r="A68" s="3202"/>
      <c r="C68" s="3203"/>
      <c r="E68" s="3202"/>
    </row>
    <row r="69" spans="1:5" s="1996" customFormat="1">
      <c r="A69" s="3202"/>
      <c r="C69" s="3203"/>
      <c r="E69" s="3202"/>
    </row>
    <row r="70" spans="1:5" s="1996" customFormat="1">
      <c r="A70" s="3202"/>
      <c r="C70" s="3203"/>
      <c r="E70" s="3202"/>
    </row>
    <row r="71" spans="1:5" s="1996" customFormat="1">
      <c r="A71" s="3202"/>
      <c r="C71" s="3203"/>
      <c r="E71" s="3202"/>
    </row>
    <row r="72" spans="1:5" s="1996" customFormat="1">
      <c r="A72" s="3202"/>
      <c r="C72" s="3203"/>
      <c r="E72" s="3202"/>
    </row>
    <row r="73" spans="1:5" s="1996" customFormat="1">
      <c r="A73" s="3202"/>
      <c r="C73" s="3203"/>
      <c r="E73" s="3202"/>
    </row>
    <row r="74" spans="1:5" s="1996" customFormat="1">
      <c r="A74" s="3202"/>
      <c r="C74" s="3203"/>
      <c r="E74" s="3202"/>
    </row>
    <row r="75" spans="1:5" s="1996" customFormat="1">
      <c r="A75" s="3202"/>
      <c r="C75" s="3203"/>
      <c r="E75" s="3202"/>
    </row>
    <row r="76" spans="1:5" s="1996" customFormat="1">
      <c r="A76" s="3202"/>
      <c r="C76" s="3203"/>
      <c r="E76" s="3202"/>
    </row>
    <row r="77" spans="1:5" s="1996" customFormat="1">
      <c r="A77" s="3202"/>
      <c r="C77" s="3203"/>
      <c r="E77" s="3202"/>
    </row>
    <row r="78" spans="1:5" s="1996" customFormat="1">
      <c r="A78" s="3202"/>
      <c r="C78" s="3203"/>
      <c r="E78" s="3202"/>
    </row>
    <row r="79" spans="1:5" s="1996" customFormat="1">
      <c r="A79" s="3202"/>
      <c r="C79" s="3203"/>
      <c r="E79" s="3202"/>
    </row>
    <row r="80" spans="1:5" s="1996" customFormat="1">
      <c r="A80" s="3202"/>
      <c r="C80" s="3203"/>
      <c r="E80" s="3202"/>
    </row>
    <row r="81" spans="1:5" s="1996" customFormat="1">
      <c r="A81" s="3202"/>
      <c r="C81" s="3203"/>
      <c r="E81" s="3202"/>
    </row>
    <row r="82" spans="1:5" s="1996" customFormat="1">
      <c r="A82" s="3202"/>
      <c r="C82" s="3203"/>
      <c r="E82" s="3202"/>
    </row>
    <row r="83" spans="1:5" s="1996" customFormat="1">
      <c r="A83" s="3202"/>
      <c r="C83" s="3203"/>
      <c r="E83" s="3202"/>
    </row>
    <row r="84" spans="1:5" s="1996" customFormat="1">
      <c r="A84" s="3202"/>
      <c r="C84" s="3203"/>
      <c r="E84" s="3202"/>
    </row>
    <row r="85" spans="1:5" s="1996" customFormat="1">
      <c r="A85" s="3202"/>
      <c r="C85" s="3203"/>
      <c r="E85" s="3202"/>
    </row>
    <row r="86" spans="1:5" s="1996" customFormat="1">
      <c r="A86" s="3202"/>
      <c r="C86" s="3203"/>
      <c r="E86" s="3202"/>
    </row>
    <row r="87" spans="1:5" s="1996" customFormat="1">
      <c r="A87" s="3202"/>
      <c r="C87" s="3203"/>
      <c r="E87" s="3202"/>
    </row>
    <row r="88" spans="1:5" s="1996" customFormat="1">
      <c r="A88" s="3202"/>
      <c r="C88" s="3203"/>
      <c r="E88" s="3202"/>
    </row>
    <row r="89" spans="1:5" s="1996" customFormat="1">
      <c r="A89" s="3202"/>
      <c r="C89" s="3203"/>
      <c r="E89" s="3202"/>
    </row>
    <row r="90" spans="1:5" s="1996" customFormat="1">
      <c r="A90" s="3202"/>
      <c r="C90" s="3203"/>
      <c r="E90" s="3202"/>
    </row>
    <row r="91" spans="1:5" s="1996" customFormat="1">
      <c r="A91" s="3202"/>
      <c r="C91" s="3203"/>
      <c r="E91" s="3202"/>
    </row>
    <row r="92" spans="1:5" s="1996" customFormat="1">
      <c r="A92" s="3202"/>
      <c r="C92" s="3203"/>
      <c r="E92" s="3202"/>
    </row>
    <row r="93" spans="1:5" s="1996" customFormat="1">
      <c r="A93" s="3202"/>
      <c r="C93" s="3203"/>
      <c r="E93" s="3202"/>
    </row>
    <row r="94" spans="1:5" s="1996" customFormat="1">
      <c r="A94" s="3202"/>
      <c r="C94" s="3203"/>
      <c r="E94" s="3202"/>
    </row>
    <row r="95" spans="1:5" s="1996" customFormat="1">
      <c r="A95" s="3202"/>
      <c r="C95" s="3203"/>
      <c r="E95" s="3202"/>
    </row>
    <row r="96" spans="1:5" s="1996" customFormat="1">
      <c r="A96" s="3202"/>
      <c r="C96" s="3203"/>
      <c r="E96" s="3202"/>
    </row>
    <row r="97" spans="1:5" s="1996" customFormat="1">
      <c r="A97" s="3202"/>
      <c r="C97" s="3203"/>
      <c r="E97" s="3202"/>
    </row>
    <row r="98" spans="1:5" s="1996" customFormat="1">
      <c r="A98" s="3202"/>
      <c r="C98" s="3203"/>
      <c r="E98" s="3202"/>
    </row>
    <row r="99" spans="1:5" s="1996" customFormat="1">
      <c r="A99" s="3202"/>
      <c r="C99" s="3203"/>
      <c r="E99" s="3202"/>
    </row>
    <row r="100" spans="1:5" s="1996" customFormat="1">
      <c r="A100" s="3202"/>
      <c r="C100" s="3203"/>
      <c r="E100" s="3202"/>
    </row>
    <row r="101" spans="1:5" s="1996" customFormat="1">
      <c r="A101" s="3202"/>
      <c r="C101" s="3203"/>
      <c r="E101" s="3202"/>
    </row>
    <row r="102" spans="1:5" s="1996" customFormat="1">
      <c r="A102" s="3202"/>
      <c r="C102" s="3203"/>
      <c r="E102" s="3202"/>
    </row>
    <row r="103" spans="1:5" s="1996" customFormat="1">
      <c r="A103" s="3202"/>
      <c r="C103" s="3203"/>
      <c r="E103" s="3202"/>
    </row>
    <row r="104" spans="1:5" s="1996" customFormat="1">
      <c r="A104" s="3202"/>
      <c r="C104" s="3203"/>
      <c r="E104" s="3202"/>
    </row>
    <row r="105" spans="1:5" s="1996" customFormat="1">
      <c r="A105" s="3202"/>
      <c r="C105" s="3203"/>
      <c r="E105" s="3202"/>
    </row>
    <row r="106" spans="1:5" s="1996" customFormat="1">
      <c r="A106" s="3202"/>
      <c r="C106" s="3203"/>
      <c r="E106" s="3202"/>
    </row>
    <row r="107" spans="1:5" s="1996" customFormat="1">
      <c r="A107" s="3202"/>
      <c r="C107" s="3203"/>
      <c r="E107" s="3202"/>
    </row>
    <row r="108" spans="1:5" s="1996" customFormat="1">
      <c r="A108" s="3202"/>
      <c r="C108" s="3203"/>
      <c r="E108" s="3202"/>
    </row>
    <row r="109" spans="1:5" s="1996" customFormat="1">
      <c r="A109" s="3202"/>
      <c r="C109" s="3203"/>
      <c r="E109" s="3202"/>
    </row>
    <row r="110" spans="1:5" s="1996" customFormat="1">
      <c r="A110" s="3202"/>
      <c r="C110" s="3203"/>
      <c r="E110" s="3202"/>
    </row>
    <row r="111" spans="1:5" s="1996" customFormat="1">
      <c r="A111" s="3202"/>
      <c r="C111" s="3203"/>
      <c r="E111" s="3202"/>
    </row>
    <row r="112" spans="1:5" s="1996" customFormat="1">
      <c r="A112" s="3202"/>
      <c r="C112" s="3203"/>
      <c r="E112" s="3202"/>
    </row>
    <row r="113" spans="1:5" s="1996" customFormat="1">
      <c r="A113" s="3202"/>
      <c r="C113" s="3203"/>
      <c r="E113" s="3202"/>
    </row>
    <row r="114" spans="1:5" s="1996" customFormat="1">
      <c r="A114" s="3202"/>
      <c r="C114" s="3203"/>
      <c r="E114" s="3202"/>
    </row>
    <row r="115" spans="1:5" s="1996" customFormat="1">
      <c r="A115" s="3202"/>
      <c r="C115" s="3203"/>
      <c r="E115" s="3202"/>
    </row>
    <row r="116" spans="1:5" s="1996" customFormat="1">
      <c r="A116" s="3202"/>
      <c r="C116" s="3203"/>
      <c r="E116" s="3202"/>
    </row>
    <row r="117" spans="1:5" s="1996" customFormat="1">
      <c r="A117" s="3202"/>
      <c r="C117" s="3203"/>
      <c r="E117" s="3202"/>
    </row>
    <row r="118" spans="1:5" s="1996" customFormat="1">
      <c r="A118" s="3202"/>
      <c r="C118" s="3203"/>
      <c r="E118" s="3202"/>
    </row>
    <row r="119" spans="1:5" s="1996" customFormat="1">
      <c r="A119" s="3202"/>
      <c r="C119" s="3203"/>
      <c r="E119" s="3202"/>
    </row>
    <row r="120" spans="1:5" s="1996" customFormat="1">
      <c r="A120" s="3202"/>
      <c r="C120" s="3203"/>
      <c r="E120" s="3202"/>
    </row>
    <row r="121" spans="1:5" s="1996" customFormat="1">
      <c r="A121" s="3202"/>
      <c r="C121" s="3203"/>
      <c r="E121" s="3202"/>
    </row>
    <row r="122" spans="1:5" s="1996" customFormat="1">
      <c r="A122" s="3202"/>
      <c r="C122" s="3203"/>
      <c r="E122" s="3202"/>
    </row>
    <row r="123" spans="1:5" s="1996" customFormat="1">
      <c r="A123" s="3202"/>
      <c r="C123" s="3203"/>
      <c r="E123" s="3202"/>
    </row>
    <row r="124" spans="1:5" s="1996" customFormat="1">
      <c r="A124" s="3202"/>
      <c r="C124" s="3203"/>
      <c r="E124" s="3202"/>
    </row>
    <row r="125" spans="1:5" s="1996" customFormat="1">
      <c r="A125" s="3202"/>
      <c r="C125" s="3203"/>
      <c r="E125" s="3202"/>
    </row>
    <row r="126" spans="1:5" s="1996" customFormat="1">
      <c r="A126" s="3202"/>
      <c r="C126" s="3203"/>
      <c r="E126" s="3202"/>
    </row>
    <row r="127" spans="1:5" s="1996" customFormat="1">
      <c r="A127" s="3202"/>
      <c r="C127" s="3203"/>
      <c r="E127" s="3202"/>
    </row>
    <row r="128" spans="1:5" s="1996" customFormat="1">
      <c r="A128" s="3202"/>
      <c r="C128" s="3203"/>
      <c r="E128" s="3202"/>
    </row>
    <row r="129" spans="1:5" s="1996" customFormat="1">
      <c r="A129" s="3202"/>
      <c r="C129" s="3203"/>
      <c r="E129" s="3202"/>
    </row>
    <row r="130" spans="1:5" s="1996" customFormat="1">
      <c r="A130" s="3202"/>
      <c r="C130" s="3203"/>
      <c r="E130" s="3202"/>
    </row>
    <row r="131" spans="1:5" s="1996" customFormat="1">
      <c r="A131" s="3202"/>
      <c r="C131" s="3203"/>
      <c r="E131" s="3202"/>
    </row>
    <row r="132" spans="1:5" s="1996" customFormat="1">
      <c r="A132" s="3202"/>
      <c r="C132" s="3203"/>
      <c r="E132" s="3202"/>
    </row>
    <row r="133" spans="1:5" s="1996" customFormat="1">
      <c r="A133" s="3202"/>
      <c r="C133" s="3203"/>
      <c r="E133" s="3202"/>
    </row>
    <row r="134" spans="1:5" s="1996" customFormat="1">
      <c r="A134" s="3202"/>
      <c r="C134" s="3203"/>
      <c r="E134" s="3202"/>
    </row>
    <row r="135" spans="1:5" s="1996" customFormat="1">
      <c r="A135" s="3202"/>
      <c r="C135" s="3203"/>
      <c r="E135" s="3202"/>
    </row>
    <row r="136" spans="1:5" s="1996" customFormat="1">
      <c r="A136" s="3202"/>
      <c r="C136" s="3203"/>
      <c r="E136" s="3202"/>
    </row>
    <row r="137" spans="1:5" s="1996" customFormat="1">
      <c r="A137" s="3202"/>
      <c r="C137" s="3203"/>
      <c r="E137" s="3202"/>
    </row>
    <row r="138" spans="1:5" s="1996" customFormat="1">
      <c r="A138" s="3202"/>
      <c r="C138" s="3203"/>
      <c r="E138" s="3202"/>
    </row>
    <row r="139" spans="1:5" s="1996" customFormat="1">
      <c r="A139" s="3202"/>
      <c r="C139" s="3203"/>
      <c r="E139" s="3202"/>
    </row>
    <row r="140" spans="1:5" s="1996" customFormat="1">
      <c r="A140" s="3202"/>
      <c r="C140" s="3203"/>
      <c r="E140" s="3202"/>
    </row>
    <row r="141" spans="1:5" s="1996" customFormat="1">
      <c r="A141" s="3202"/>
      <c r="C141" s="3203"/>
      <c r="E141" s="3202"/>
    </row>
    <row r="142" spans="1:5" s="1996" customFormat="1">
      <c r="A142" s="3202"/>
      <c r="C142" s="3203"/>
      <c r="E142" s="3202"/>
    </row>
    <row r="143" spans="1:5" s="1996" customFormat="1">
      <c r="A143" s="3202"/>
      <c r="C143" s="3203"/>
      <c r="E143" s="3202"/>
    </row>
    <row r="144" spans="1:5" s="1996" customFormat="1">
      <c r="A144" s="3202"/>
      <c r="C144" s="3203"/>
      <c r="E144" s="3202"/>
    </row>
    <row r="145" spans="1:5" s="1996" customFormat="1">
      <c r="A145" s="3202"/>
      <c r="C145" s="3203"/>
      <c r="E145" s="3202"/>
    </row>
    <row r="146" spans="1:5" s="1996" customFormat="1">
      <c r="A146" s="3202"/>
      <c r="C146" s="3203"/>
      <c r="E146" s="3202"/>
    </row>
    <row r="147" spans="1:5" s="1996" customFormat="1">
      <c r="A147" s="3202"/>
      <c r="C147" s="3203"/>
      <c r="E147" s="3202"/>
    </row>
    <row r="148" spans="1:5" s="1996" customFormat="1">
      <c r="A148" s="3202"/>
      <c r="C148" s="3203"/>
      <c r="E148" s="3202"/>
    </row>
    <row r="149" spans="1:5" s="1996" customFormat="1">
      <c r="A149" s="3202"/>
      <c r="C149" s="3203"/>
      <c r="E149" s="3202"/>
    </row>
    <row r="150" spans="1:5" s="1996" customFormat="1">
      <c r="A150" s="3202"/>
      <c r="C150" s="3203"/>
      <c r="E150" s="3202"/>
    </row>
    <row r="151" spans="1:5" s="1996" customFormat="1">
      <c r="A151" s="3202"/>
      <c r="C151" s="3203"/>
      <c r="E151" s="3202"/>
    </row>
    <row r="152" spans="1:5" s="1996" customFormat="1">
      <c r="A152" s="3202"/>
      <c r="C152" s="3203"/>
      <c r="E152" s="3202"/>
    </row>
    <row r="153" spans="1:5" s="1996" customFormat="1">
      <c r="A153" s="3202"/>
      <c r="C153" s="3203"/>
      <c r="E153" s="3202"/>
    </row>
    <row r="154" spans="1:5" s="1996" customFormat="1">
      <c r="A154" s="3202"/>
      <c r="C154" s="3203"/>
      <c r="E154" s="3202"/>
    </row>
    <row r="155" spans="1:5" s="1996" customFormat="1">
      <c r="A155" s="3202"/>
      <c r="C155" s="3203"/>
      <c r="E155" s="3202"/>
    </row>
    <row r="156" spans="1:5" s="1996" customFormat="1">
      <c r="A156" s="3202"/>
      <c r="C156" s="3203"/>
      <c r="E156" s="3202"/>
    </row>
    <row r="157" spans="1:5" s="1996" customFormat="1">
      <c r="A157" s="3202"/>
      <c r="C157" s="3203"/>
      <c r="E157" s="3202"/>
    </row>
    <row r="158" spans="1:5" s="1996" customFormat="1">
      <c r="A158" s="3202"/>
      <c r="C158" s="3203"/>
      <c r="E158" s="3202"/>
    </row>
    <row r="159" spans="1:5" s="1996" customFormat="1">
      <c r="A159" s="3202"/>
      <c r="C159" s="3203"/>
      <c r="E159" s="3202"/>
    </row>
    <row r="160" spans="1:5" s="1996" customFormat="1">
      <c r="A160" s="3202"/>
      <c r="C160" s="3203"/>
      <c r="E160" s="3202"/>
    </row>
    <row r="161" spans="1:5" s="1996" customFormat="1">
      <c r="A161" s="3202"/>
      <c r="C161" s="3203"/>
      <c r="E161" s="3202"/>
    </row>
    <row r="162" spans="1:5" s="1996" customFormat="1">
      <c r="A162" s="3202"/>
      <c r="C162" s="3203"/>
      <c r="E162" s="3202"/>
    </row>
    <row r="163" spans="1:5" s="1996" customFormat="1">
      <c r="A163" s="3202"/>
      <c r="C163" s="3203"/>
      <c r="E163" s="3202"/>
    </row>
    <row r="164" spans="1:5" s="1996" customFormat="1">
      <c r="A164" s="3202"/>
      <c r="C164" s="3203"/>
      <c r="E164" s="3202"/>
    </row>
    <row r="165" spans="1:5" s="1996" customFormat="1">
      <c r="A165" s="3202"/>
      <c r="C165" s="3203"/>
      <c r="E165" s="3202"/>
    </row>
    <row r="166" spans="1:5" s="1996" customFormat="1">
      <c r="A166" s="3202"/>
      <c r="C166" s="3203"/>
      <c r="E166" s="3202"/>
    </row>
    <row r="167" spans="1:5" s="1996" customFormat="1">
      <c r="A167" s="3202"/>
      <c r="C167" s="3203"/>
      <c r="E167" s="3202"/>
    </row>
    <row r="168" spans="1:5" s="1996" customFormat="1">
      <c r="A168" s="3202"/>
      <c r="C168" s="3203"/>
      <c r="E168" s="3202"/>
    </row>
    <row r="169" spans="1:5" s="1996" customFormat="1">
      <c r="A169" s="3202"/>
      <c r="C169" s="3203"/>
      <c r="E169" s="3202"/>
    </row>
    <row r="170" spans="1:5" s="1996" customFormat="1">
      <c r="A170" s="3202"/>
      <c r="C170" s="3203"/>
      <c r="E170" s="3202"/>
    </row>
    <row r="171" spans="1:5" s="1996" customFormat="1">
      <c r="A171" s="3202"/>
      <c r="C171" s="3203"/>
      <c r="E171" s="3202"/>
    </row>
    <row r="172" spans="1:5" s="1996" customFormat="1">
      <c r="A172" s="3202"/>
      <c r="C172" s="3203"/>
      <c r="E172" s="3202"/>
    </row>
    <row r="173" spans="1:5" s="1996" customFormat="1">
      <c r="A173" s="3202"/>
      <c r="C173" s="3203"/>
      <c r="E173" s="3202"/>
    </row>
    <row r="174" spans="1:5" s="1996" customFormat="1">
      <c r="A174" s="3202"/>
      <c r="C174" s="3203"/>
      <c r="E174" s="3202"/>
    </row>
    <row r="175" spans="1:5" s="1996" customFormat="1">
      <c r="A175" s="3202"/>
      <c r="C175" s="3203"/>
      <c r="E175" s="3202"/>
    </row>
    <row r="176" spans="1:5" s="1996" customFormat="1">
      <c r="A176" s="3202"/>
      <c r="C176" s="3203"/>
      <c r="E176" s="3202"/>
    </row>
    <row r="177" spans="1:5" s="1996" customFormat="1">
      <c r="A177" s="3202"/>
      <c r="C177" s="3203"/>
      <c r="E177" s="3202"/>
    </row>
    <row r="178" spans="1:5" s="1996" customFormat="1">
      <c r="A178" s="3202"/>
      <c r="C178" s="3203"/>
      <c r="E178" s="3202"/>
    </row>
    <row r="179" spans="1:5" s="1996" customFormat="1">
      <c r="A179" s="3202"/>
      <c r="C179" s="3203"/>
      <c r="E179" s="3202"/>
    </row>
    <row r="180" spans="1:5" s="1996" customFormat="1">
      <c r="A180" s="3202"/>
      <c r="C180" s="3203"/>
      <c r="E180" s="3202"/>
    </row>
    <row r="181" spans="1:5" s="1996" customFormat="1">
      <c r="A181" s="3202"/>
      <c r="C181" s="3203"/>
      <c r="E181" s="3202"/>
    </row>
    <row r="182" spans="1:5" s="1996" customFormat="1">
      <c r="A182" s="3202"/>
      <c r="C182" s="3203"/>
      <c r="E182" s="3202"/>
    </row>
    <row r="183" spans="1:5" s="1996" customFormat="1">
      <c r="A183" s="3202"/>
      <c r="C183" s="3203"/>
      <c r="E183" s="3202"/>
    </row>
    <row r="184" spans="1:5" s="1996" customFormat="1">
      <c r="A184" s="3202"/>
      <c r="C184" s="3203"/>
      <c r="E184" s="3202"/>
    </row>
    <row r="185" spans="1:5" s="1996" customFormat="1">
      <c r="A185" s="3202"/>
      <c r="C185" s="3203"/>
      <c r="E185" s="3202"/>
    </row>
    <row r="186" spans="1:5" s="1996" customFormat="1">
      <c r="A186" s="3202"/>
      <c r="C186" s="3203"/>
      <c r="E186" s="3202"/>
    </row>
    <row r="187" spans="1:5" s="1996" customFormat="1">
      <c r="A187" s="3202"/>
      <c r="C187" s="3203"/>
      <c r="E187" s="3202"/>
    </row>
    <row r="188" spans="1:5" s="1996" customFormat="1">
      <c r="A188" s="3202"/>
      <c r="C188" s="3203"/>
      <c r="E188" s="3202"/>
    </row>
    <row r="189" spans="1:5" s="1996" customFormat="1">
      <c r="A189" s="3202"/>
      <c r="C189" s="3203"/>
      <c r="E189" s="3202"/>
    </row>
    <row r="190" spans="1:5" s="1996" customFormat="1">
      <c r="A190" s="3202"/>
      <c r="C190" s="3203"/>
      <c r="E190" s="3202"/>
    </row>
    <row r="191" spans="1:5" s="1996" customFormat="1">
      <c r="A191" s="3202"/>
      <c r="C191" s="3203"/>
      <c r="E191" s="3202"/>
    </row>
    <row r="192" spans="1:5" s="1996" customFormat="1">
      <c r="A192" s="3202"/>
      <c r="C192" s="3203"/>
      <c r="E192" s="3202"/>
    </row>
    <row r="193" spans="1:5" s="1996" customFormat="1">
      <c r="A193" s="3202"/>
      <c r="C193" s="3203"/>
      <c r="E193" s="3202"/>
    </row>
    <row r="194" spans="1:5" s="1996" customFormat="1">
      <c r="A194" s="3202"/>
      <c r="C194" s="3203"/>
      <c r="E194" s="3202"/>
    </row>
    <row r="195" spans="1:5" s="1996" customFormat="1">
      <c r="A195" s="3202"/>
      <c r="C195" s="3203"/>
      <c r="E195" s="3202"/>
    </row>
    <row r="196" spans="1:5" s="1996" customFormat="1">
      <c r="A196" s="3202"/>
      <c r="C196" s="3203"/>
      <c r="E196" s="3202"/>
    </row>
    <row r="197" spans="1:5" s="1996" customFormat="1">
      <c r="A197" s="3202"/>
      <c r="C197" s="3203"/>
      <c r="E197" s="3202"/>
    </row>
    <row r="198" spans="1:5" s="1996" customFormat="1">
      <c r="A198" s="3202"/>
      <c r="C198" s="3203"/>
      <c r="E198" s="3202"/>
    </row>
    <row r="199" spans="1:5" s="1996" customFormat="1">
      <c r="A199" s="3202"/>
      <c r="C199" s="3203"/>
      <c r="E199" s="3202"/>
    </row>
    <row r="200" spans="1:5" s="1996" customFormat="1">
      <c r="A200" s="3202"/>
      <c r="C200" s="3203"/>
      <c r="E200" s="3202"/>
    </row>
    <row r="201" spans="1:5" s="1996" customFormat="1">
      <c r="A201" s="3202"/>
      <c r="C201" s="3203"/>
      <c r="E201" s="3202"/>
    </row>
    <row r="202" spans="1:5" s="1996" customFormat="1">
      <c r="A202" s="3202"/>
      <c r="C202" s="3203"/>
      <c r="E202" s="3202"/>
    </row>
    <row r="203" spans="1:5" s="1996" customFormat="1">
      <c r="A203" s="3202"/>
      <c r="C203" s="3203"/>
      <c r="E203" s="3202"/>
    </row>
    <row r="204" spans="1:5" s="1996" customFormat="1">
      <c r="A204" s="3202"/>
      <c r="C204" s="3203"/>
      <c r="E204" s="3202"/>
    </row>
    <row r="205" spans="1:5" s="1996" customFormat="1">
      <c r="A205" s="3202"/>
      <c r="C205" s="3203"/>
      <c r="E205" s="3202"/>
    </row>
    <row r="206" spans="1:5" s="1996" customFormat="1">
      <c r="A206" s="3202"/>
      <c r="C206" s="3203"/>
      <c r="E206" s="3202"/>
    </row>
    <row r="207" spans="1:5" s="1996" customFormat="1">
      <c r="A207" s="3202"/>
      <c r="C207" s="3203"/>
      <c r="E207" s="3202"/>
    </row>
    <row r="208" spans="1:5" s="1996" customFormat="1">
      <c r="A208" s="3202"/>
      <c r="C208" s="3203"/>
      <c r="E208" s="3202"/>
    </row>
    <row r="209" spans="1:5" s="1996" customFormat="1">
      <c r="A209" s="3202"/>
      <c r="C209" s="3203"/>
      <c r="E209" s="3202"/>
    </row>
    <row r="210" spans="1:5" s="1996" customFormat="1">
      <c r="A210" s="3202"/>
      <c r="C210" s="3203"/>
      <c r="E210" s="3202"/>
    </row>
    <row r="211" spans="1:5" s="1996" customFormat="1">
      <c r="A211" s="3202"/>
      <c r="C211" s="3203"/>
      <c r="E211" s="3202"/>
    </row>
    <row r="212" spans="1:5" s="1996" customFormat="1">
      <c r="A212" s="3202"/>
      <c r="C212" s="3203"/>
      <c r="E212" s="3202"/>
    </row>
    <row r="213" spans="1:5" s="1996" customFormat="1">
      <c r="A213" s="3202"/>
      <c r="C213" s="3203"/>
      <c r="E213" s="3202"/>
    </row>
    <row r="214" spans="1:5" s="1996" customFormat="1">
      <c r="A214" s="3202"/>
      <c r="C214" s="3203"/>
      <c r="E214" s="3202"/>
    </row>
    <row r="215" spans="1:5" s="1996" customFormat="1">
      <c r="A215" s="3202"/>
      <c r="C215" s="3203"/>
      <c r="E215" s="3202"/>
    </row>
    <row r="216" spans="1:5" s="1996" customFormat="1">
      <c r="A216" s="3202"/>
      <c r="C216" s="3203"/>
      <c r="E216" s="3202"/>
    </row>
    <row r="217" spans="1:5" s="1996" customFormat="1">
      <c r="A217" s="3202"/>
      <c r="C217" s="3203"/>
      <c r="E217" s="3202"/>
    </row>
    <row r="218" spans="1:5" s="1996" customFormat="1">
      <c r="A218" s="3202"/>
      <c r="C218" s="3203"/>
      <c r="E218" s="3202"/>
    </row>
    <row r="219" spans="1:5" s="1996" customFormat="1">
      <c r="A219" s="3202"/>
      <c r="C219" s="3203"/>
      <c r="E219" s="3202"/>
    </row>
    <row r="220" spans="1:5" s="1996" customFormat="1">
      <c r="A220" s="3202"/>
      <c r="C220" s="3203"/>
      <c r="E220" s="3202"/>
    </row>
    <row r="221" spans="1:5" s="1996" customFormat="1">
      <c r="A221" s="3202"/>
      <c r="C221" s="3203"/>
      <c r="E221" s="3202"/>
    </row>
    <row r="222" spans="1:5" s="1996" customFormat="1">
      <c r="A222" s="3202"/>
      <c r="C222" s="3203"/>
      <c r="E222" s="3202"/>
    </row>
    <row r="223" spans="1:5" s="1996" customFormat="1">
      <c r="A223" s="3202"/>
      <c r="C223" s="3203"/>
      <c r="E223" s="3202"/>
    </row>
    <row r="224" spans="1:5" s="1996" customFormat="1">
      <c r="A224" s="3202"/>
      <c r="C224" s="3203"/>
      <c r="E224" s="3202"/>
    </row>
    <row r="225" spans="1:5" s="1996" customFormat="1">
      <c r="A225" s="3202"/>
      <c r="C225" s="3203"/>
      <c r="E225" s="3202"/>
    </row>
    <row r="226" spans="1:5" s="1996" customFormat="1">
      <c r="A226" s="3202"/>
      <c r="C226" s="3203"/>
      <c r="E226" s="3202"/>
    </row>
    <row r="227" spans="1:5" s="1996" customFormat="1">
      <c r="A227" s="3202"/>
      <c r="C227" s="3203"/>
      <c r="E227" s="3202"/>
    </row>
    <row r="228" spans="1:5" s="1996" customFormat="1">
      <c r="A228" s="3202"/>
      <c r="C228" s="3203"/>
      <c r="E228" s="3202"/>
    </row>
    <row r="229" spans="1:5" s="1996" customFormat="1">
      <c r="A229" s="3202"/>
      <c r="C229" s="3203"/>
      <c r="E229" s="3202"/>
    </row>
    <row r="230" spans="1:5" s="1996" customFormat="1">
      <c r="A230" s="3202"/>
      <c r="C230" s="3203"/>
      <c r="E230" s="3202"/>
    </row>
    <row r="231" spans="1:5" s="1996" customFormat="1">
      <c r="A231" s="3202"/>
      <c r="C231" s="3203"/>
      <c r="E231" s="3202"/>
    </row>
    <row r="232" spans="1:5" s="1996" customFormat="1">
      <c r="A232" s="3202"/>
      <c r="C232" s="3203"/>
      <c r="E232" s="3202"/>
    </row>
    <row r="233" spans="1:5" s="1996" customFormat="1">
      <c r="A233" s="3202"/>
      <c r="C233" s="3203"/>
      <c r="E233" s="3202"/>
    </row>
    <row r="234" spans="1:5" s="1996" customFormat="1">
      <c r="A234" s="3202"/>
      <c r="C234" s="3203"/>
      <c r="E234" s="3202"/>
    </row>
    <row r="235" spans="1:5" s="1996" customFormat="1">
      <c r="A235" s="3202"/>
      <c r="C235" s="3203"/>
      <c r="E235" s="3202"/>
    </row>
    <row r="236" spans="1:5" s="1996" customFormat="1">
      <c r="A236" s="3202"/>
      <c r="C236" s="3203"/>
      <c r="E236" s="3202"/>
    </row>
    <row r="237" spans="1:5" s="1996" customFormat="1">
      <c r="A237" s="3202"/>
      <c r="C237" s="3203"/>
      <c r="E237" s="3202"/>
    </row>
    <row r="238" spans="1:5" s="1996" customFormat="1">
      <c r="A238" s="3202"/>
      <c r="C238" s="3203"/>
      <c r="E238" s="3202"/>
    </row>
    <row r="239" spans="1:5" s="1996" customFormat="1">
      <c r="A239" s="3202"/>
      <c r="C239" s="3203"/>
      <c r="E239" s="3202"/>
    </row>
    <row r="240" spans="1:5" s="1996" customFormat="1">
      <c r="A240" s="3202"/>
      <c r="C240" s="3203"/>
      <c r="E240" s="3202"/>
    </row>
    <row r="241" spans="1:5" s="1996" customFormat="1">
      <c r="A241" s="3202"/>
      <c r="C241" s="3203"/>
      <c r="E241" s="3202"/>
    </row>
    <row r="242" spans="1:5" s="1996" customFormat="1">
      <c r="A242" s="3202"/>
      <c r="C242" s="3203"/>
      <c r="E242" s="3202"/>
    </row>
    <row r="243" spans="1:5" s="1996" customFormat="1">
      <c r="A243" s="3202"/>
      <c r="C243" s="3203"/>
      <c r="E243" s="3202"/>
    </row>
    <row r="244" spans="1:5" s="1996" customFormat="1">
      <c r="A244" s="3202"/>
      <c r="C244" s="3203"/>
      <c r="E244" s="3202"/>
    </row>
    <row r="245" spans="1:5" s="1996" customFormat="1">
      <c r="A245" s="3202"/>
      <c r="C245" s="3203"/>
      <c r="E245" s="3202"/>
    </row>
    <row r="246" spans="1:5" s="1996" customFormat="1">
      <c r="A246" s="3202"/>
      <c r="C246" s="3203"/>
      <c r="E246" s="3202"/>
    </row>
    <row r="247" spans="1:5" s="1996" customFormat="1">
      <c r="A247" s="3202"/>
      <c r="C247" s="3203"/>
      <c r="E247" s="3202"/>
    </row>
    <row r="248" spans="1:5" s="1996" customFormat="1">
      <c r="A248" s="3202"/>
      <c r="C248" s="3203"/>
      <c r="E248" s="3202"/>
    </row>
    <row r="249" spans="1:5" s="1996" customFormat="1">
      <c r="A249" s="3202"/>
      <c r="C249" s="3203"/>
      <c r="E249" s="3202"/>
    </row>
    <row r="250" spans="1:5" s="1996" customFormat="1">
      <c r="A250" s="3202"/>
      <c r="C250" s="3203"/>
      <c r="E250" s="3202"/>
    </row>
    <row r="251" spans="1:5" s="1996" customFormat="1">
      <c r="A251" s="3202"/>
      <c r="C251" s="3203"/>
      <c r="E251" s="3202"/>
    </row>
    <row r="252" spans="1:5" s="1996" customFormat="1">
      <c r="A252" s="3202"/>
      <c r="C252" s="3203"/>
      <c r="E252" s="3202"/>
    </row>
    <row r="253" spans="1:5" s="1996" customFormat="1">
      <c r="A253" s="3202"/>
      <c r="C253" s="3203"/>
      <c r="E253" s="3202"/>
    </row>
    <row r="254" spans="1:5" s="1996" customFormat="1">
      <c r="A254" s="3202"/>
      <c r="C254" s="3203"/>
      <c r="E254" s="3202"/>
    </row>
    <row r="255" spans="1:5" s="1996" customFormat="1">
      <c r="A255" s="3202"/>
      <c r="C255" s="3203"/>
      <c r="E255" s="3202"/>
    </row>
    <row r="256" spans="1:5" s="1996" customFormat="1">
      <c r="A256" s="3202"/>
      <c r="C256" s="3203"/>
      <c r="E256" s="3202"/>
    </row>
    <row r="257" spans="1:5" s="1996" customFormat="1">
      <c r="A257" s="3202"/>
      <c r="C257" s="3203"/>
      <c r="E257" s="3202"/>
    </row>
    <row r="258" spans="1:5" s="1996" customFormat="1">
      <c r="A258" s="3202"/>
      <c r="C258" s="3203"/>
      <c r="E258" s="3202"/>
    </row>
    <row r="259" spans="1:5" s="1996" customFormat="1">
      <c r="A259" s="3202"/>
      <c r="C259" s="3203"/>
      <c r="E259" s="3202"/>
    </row>
    <row r="260" spans="1:5" s="1996" customFormat="1">
      <c r="A260" s="3202"/>
      <c r="C260" s="3203"/>
      <c r="E260" s="3202"/>
    </row>
    <row r="261" spans="1:5" s="1996" customFormat="1">
      <c r="A261" s="3202"/>
      <c r="C261" s="3203"/>
      <c r="E261" s="3202"/>
    </row>
    <row r="262" spans="1:5" s="1996" customFormat="1">
      <c r="A262" s="3202"/>
      <c r="C262" s="3203"/>
      <c r="E262" s="3202"/>
    </row>
    <row r="263" spans="1:5" s="1996" customFormat="1">
      <c r="A263" s="3202"/>
      <c r="C263" s="3203"/>
      <c r="E263" s="3202"/>
    </row>
    <row r="264" spans="1:5" s="1996" customFormat="1">
      <c r="A264" s="3202"/>
      <c r="C264" s="3203"/>
      <c r="E264" s="3202"/>
    </row>
    <row r="265" spans="1:5" s="1996" customFormat="1">
      <c r="A265" s="3202"/>
      <c r="C265" s="3203"/>
      <c r="E265" s="3202"/>
    </row>
    <row r="266" spans="1:5" s="1996" customFormat="1">
      <c r="A266" s="3202"/>
      <c r="C266" s="3203"/>
      <c r="E266" s="3202"/>
    </row>
    <row r="267" spans="1:5" s="1996" customFormat="1">
      <c r="A267" s="3202"/>
      <c r="C267" s="3203"/>
      <c r="E267" s="3202"/>
    </row>
    <row r="268" spans="1:5" s="1996" customFormat="1">
      <c r="A268" s="3202"/>
      <c r="C268" s="3203"/>
      <c r="E268" s="3202"/>
    </row>
    <row r="269" spans="1:5" s="1996" customFormat="1">
      <c r="A269" s="3202"/>
      <c r="C269" s="3203"/>
      <c r="E269" s="3202"/>
    </row>
    <row r="270" spans="1:5" s="1996" customFormat="1">
      <c r="A270" s="3202"/>
      <c r="C270" s="3203"/>
      <c r="E270" s="3202"/>
    </row>
    <row r="271" spans="1:5" s="1996" customFormat="1">
      <c r="A271" s="3202"/>
      <c r="C271" s="3203"/>
      <c r="E271" s="3202"/>
    </row>
    <row r="272" spans="1:5" s="1996" customFormat="1">
      <c r="A272" s="3202"/>
      <c r="C272" s="3203"/>
      <c r="E272" s="3202"/>
    </row>
    <row r="273" spans="1:5" s="1996" customFormat="1">
      <c r="A273" s="3202"/>
      <c r="C273" s="3203"/>
      <c r="E273" s="3202"/>
    </row>
    <row r="274" spans="1:5" s="1996" customFormat="1">
      <c r="A274" s="3202"/>
      <c r="C274" s="3203"/>
      <c r="E274" s="3202"/>
    </row>
    <row r="275" spans="1:5" s="1996" customFormat="1">
      <c r="A275" s="3202"/>
      <c r="C275" s="3203"/>
      <c r="E275" s="3202"/>
    </row>
    <row r="276" spans="1:5" s="1996" customFormat="1">
      <c r="A276" s="3202"/>
      <c r="C276" s="3203"/>
      <c r="E276" s="3202"/>
    </row>
    <row r="277" spans="1:5" s="1996" customFormat="1">
      <c r="A277" s="3202"/>
      <c r="C277" s="3203"/>
      <c r="E277" s="3202"/>
    </row>
    <row r="278" spans="1:5" s="1996" customFormat="1">
      <c r="A278" s="3202"/>
      <c r="C278" s="3203"/>
      <c r="E278" s="3202"/>
    </row>
    <row r="279" spans="1:5" s="1996" customFormat="1">
      <c r="A279" s="3202"/>
      <c r="C279" s="3203"/>
      <c r="E279" s="3202"/>
    </row>
    <row r="280" spans="1:5" s="1996" customFormat="1">
      <c r="A280" s="3202"/>
      <c r="C280" s="3203"/>
      <c r="E280" s="3202"/>
    </row>
    <row r="281" spans="1:5" s="1996" customFormat="1">
      <c r="A281" s="3202"/>
      <c r="C281" s="3203"/>
      <c r="E281" s="3202"/>
    </row>
    <row r="282" spans="1:5" s="1996" customFormat="1">
      <c r="A282" s="3202"/>
      <c r="C282" s="3203"/>
      <c r="E282" s="3202"/>
    </row>
    <row r="283" spans="1:5" s="1996" customFormat="1">
      <c r="A283" s="3202"/>
      <c r="C283" s="3203"/>
      <c r="E283" s="3202"/>
    </row>
    <row r="284" spans="1:5" s="1996" customFormat="1">
      <c r="A284" s="3202"/>
      <c r="C284" s="3203"/>
      <c r="E284" s="3202"/>
    </row>
    <row r="285" spans="1:5" s="1996" customFormat="1">
      <c r="A285" s="3202"/>
      <c r="C285" s="3203"/>
      <c r="E285" s="3202"/>
    </row>
    <row r="286" spans="1:5" s="1996" customFormat="1">
      <c r="A286" s="3202"/>
      <c r="C286" s="3203"/>
      <c r="E286" s="3202"/>
    </row>
    <row r="287" spans="1:5" s="1996" customFormat="1">
      <c r="A287" s="3202"/>
      <c r="C287" s="3203"/>
      <c r="E287" s="3202"/>
    </row>
    <row r="288" spans="1:5" s="1996" customFormat="1">
      <c r="A288" s="3202"/>
      <c r="C288" s="3203"/>
      <c r="E288" s="3202"/>
    </row>
    <row r="289" spans="1:5" s="1996" customFormat="1">
      <c r="A289" s="3202"/>
      <c r="C289" s="3203"/>
      <c r="E289" s="3202"/>
    </row>
    <row r="290" spans="1:5" s="1996" customFormat="1">
      <c r="A290" s="3202"/>
      <c r="C290" s="3203"/>
      <c r="E290" s="3202"/>
    </row>
    <row r="291" spans="1:5" s="1996" customFormat="1">
      <c r="A291" s="3202"/>
      <c r="C291" s="3203"/>
      <c r="E291" s="3202"/>
    </row>
    <row r="292" spans="1:5" s="1996" customFormat="1">
      <c r="A292" s="3202"/>
      <c r="C292" s="3203"/>
      <c r="E292" s="3202"/>
    </row>
    <row r="293" spans="1:5" s="1996" customFormat="1">
      <c r="A293" s="3202"/>
      <c r="C293" s="3203"/>
      <c r="E293" s="3202"/>
    </row>
    <row r="294" spans="1:5" s="1996" customFormat="1">
      <c r="A294" s="3202"/>
      <c r="C294" s="3203"/>
      <c r="E294" s="3202"/>
    </row>
    <row r="295" spans="1:5" s="1996" customFormat="1">
      <c r="A295" s="3202"/>
      <c r="C295" s="3203"/>
      <c r="E295" s="3202"/>
    </row>
    <row r="296" spans="1:5" s="1996" customFormat="1">
      <c r="A296" s="3202"/>
      <c r="C296" s="3203"/>
      <c r="E296" s="3202"/>
    </row>
    <row r="297" spans="1:5" s="1996" customFormat="1">
      <c r="A297" s="3202"/>
      <c r="C297" s="3203"/>
      <c r="E297" s="3202"/>
    </row>
    <row r="298" spans="1:5" s="1996" customFormat="1">
      <c r="A298" s="3202"/>
      <c r="C298" s="3203"/>
      <c r="E298" s="3202"/>
    </row>
    <row r="299" spans="1:5" s="1996" customFormat="1">
      <c r="A299" s="3202"/>
      <c r="C299" s="3203"/>
      <c r="E299" s="3202"/>
    </row>
    <row r="300" spans="1:5" s="1996" customFormat="1">
      <c r="A300" s="3202"/>
      <c r="C300" s="3203"/>
      <c r="E300" s="3202"/>
    </row>
    <row r="301" spans="1:5" s="1996" customFormat="1">
      <c r="A301" s="3202"/>
      <c r="C301" s="3203"/>
      <c r="E301" s="3202"/>
    </row>
    <row r="302" spans="1:5" s="1996" customFormat="1">
      <c r="A302" s="3202"/>
      <c r="C302" s="3203"/>
      <c r="E302" s="3202"/>
    </row>
    <row r="303" spans="1:5" s="1996" customFormat="1">
      <c r="A303" s="3202"/>
      <c r="C303" s="3203"/>
      <c r="E303" s="3202"/>
    </row>
    <row r="304" spans="1:5" s="1996" customFormat="1">
      <c r="A304" s="3202"/>
      <c r="C304" s="3203"/>
      <c r="E304" s="3202"/>
    </row>
    <row r="305" spans="1:5" s="1996" customFormat="1">
      <c r="A305" s="3202"/>
      <c r="C305" s="3203"/>
      <c r="E305" s="3202"/>
    </row>
    <row r="306" spans="1:5" s="1996" customFormat="1">
      <c r="A306" s="3202"/>
      <c r="C306" s="3203"/>
      <c r="E306" s="3202"/>
    </row>
    <row r="307" spans="1:5" s="1996" customFormat="1">
      <c r="A307" s="3202"/>
      <c r="C307" s="3203"/>
      <c r="E307" s="3202"/>
    </row>
    <row r="308" spans="1:5" s="1996" customFormat="1">
      <c r="A308" s="3202"/>
      <c r="C308" s="3203"/>
      <c r="E308" s="3202"/>
    </row>
    <row r="309" spans="1:5" s="1996" customFormat="1">
      <c r="A309" s="3202"/>
      <c r="C309" s="3203"/>
      <c r="E309" s="3202"/>
    </row>
    <row r="310" spans="1:5" s="1996" customFormat="1">
      <c r="A310" s="3202"/>
      <c r="C310" s="3203"/>
      <c r="E310" s="3202"/>
    </row>
    <row r="311" spans="1:5" s="1996" customFormat="1">
      <c r="A311" s="3202"/>
      <c r="C311" s="3203"/>
      <c r="E311" s="3202"/>
    </row>
    <row r="312" spans="1:5" s="1996" customFormat="1">
      <c r="A312" s="3202"/>
      <c r="C312" s="3203"/>
      <c r="E312" s="3202"/>
    </row>
    <row r="313" spans="1:5" s="1996" customFormat="1">
      <c r="A313" s="3202"/>
      <c r="C313" s="3203"/>
      <c r="E313" s="3202"/>
    </row>
    <row r="314" spans="1:5" s="1996" customFormat="1">
      <c r="A314" s="3202"/>
      <c r="C314" s="3203"/>
      <c r="E314" s="3202"/>
    </row>
    <row r="315" spans="1:5" s="1996" customFormat="1">
      <c r="A315" s="3202"/>
      <c r="C315" s="3203"/>
      <c r="E315" s="3202"/>
    </row>
    <row r="316" spans="1:5" s="1996" customFormat="1">
      <c r="A316" s="3202"/>
      <c r="C316" s="3203"/>
      <c r="E316" s="3202"/>
    </row>
    <row r="317" spans="1:5" s="1996" customFormat="1">
      <c r="A317" s="3202"/>
      <c r="C317" s="3203"/>
      <c r="E317" s="3202"/>
    </row>
    <row r="318" spans="1:5" s="1996" customFormat="1">
      <c r="A318" s="3202"/>
      <c r="C318" s="3203"/>
      <c r="E318" s="3202"/>
    </row>
    <row r="319" spans="1:5" s="1996" customFormat="1">
      <c r="A319" s="3202"/>
      <c r="C319" s="3203"/>
      <c r="E319" s="3202"/>
    </row>
    <row r="320" spans="1:5" s="1996" customFormat="1">
      <c r="A320" s="3202"/>
      <c r="C320" s="3203"/>
      <c r="E320" s="3202"/>
    </row>
    <row r="321" spans="1:5" s="1996" customFormat="1">
      <c r="A321" s="3202"/>
      <c r="C321" s="3203"/>
      <c r="E321" s="3202"/>
    </row>
    <row r="322" spans="1:5" s="1996" customFormat="1">
      <c r="A322" s="3202"/>
      <c r="C322" s="3203"/>
      <c r="E322" s="3202"/>
    </row>
    <row r="323" spans="1:5" s="1996" customFormat="1">
      <c r="A323" s="3202"/>
      <c r="C323" s="3203"/>
      <c r="E323" s="3202"/>
    </row>
    <row r="324" spans="1:5" s="1996" customFormat="1">
      <c r="A324" s="3202"/>
      <c r="C324" s="3203"/>
      <c r="E324" s="3202"/>
    </row>
    <row r="325" spans="1:5" s="1996" customFormat="1">
      <c r="A325" s="3202"/>
      <c r="C325" s="3203"/>
      <c r="E325" s="3202"/>
    </row>
    <row r="326" spans="1:5" s="1996" customFormat="1">
      <c r="A326" s="3202"/>
      <c r="C326" s="3203"/>
      <c r="E326" s="3202"/>
    </row>
    <row r="327" spans="1:5" s="1996" customFormat="1">
      <c r="A327" s="3202"/>
      <c r="C327" s="3203"/>
      <c r="E327" s="3202"/>
    </row>
    <row r="328" spans="1:5" s="1996" customFormat="1">
      <c r="A328" s="3202"/>
      <c r="C328" s="3203"/>
      <c r="E328" s="3202"/>
    </row>
    <row r="329" spans="1:5" s="1996" customFormat="1">
      <c r="A329" s="3202"/>
      <c r="C329" s="3203"/>
      <c r="E329" s="3202"/>
    </row>
    <row r="330" spans="1:5" s="1996" customFormat="1">
      <c r="A330" s="3202"/>
      <c r="C330" s="3203"/>
      <c r="E330" s="3202"/>
    </row>
    <row r="331" spans="1:5" s="1996" customFormat="1">
      <c r="A331" s="3202"/>
      <c r="C331" s="3203"/>
      <c r="E331" s="3202"/>
    </row>
    <row r="332" spans="1:5" s="1996" customFormat="1">
      <c r="A332" s="3202"/>
      <c r="C332" s="3203"/>
      <c r="E332" s="3202"/>
    </row>
    <row r="333" spans="1:5" s="1996" customFormat="1">
      <c r="A333" s="3202"/>
      <c r="C333" s="3203"/>
      <c r="E333" s="3202"/>
    </row>
    <row r="334" spans="1:5" s="1996" customFormat="1">
      <c r="A334" s="3202"/>
      <c r="C334" s="3203"/>
      <c r="E334" s="3202"/>
    </row>
    <row r="335" spans="1:5" s="1996" customFormat="1">
      <c r="A335" s="3202"/>
      <c r="C335" s="3203"/>
      <c r="E335" s="3202"/>
    </row>
    <row r="336" spans="1:5" s="1996" customFormat="1">
      <c r="A336" s="3202"/>
      <c r="C336" s="3203"/>
      <c r="E336" s="3202"/>
    </row>
    <row r="337" spans="1:5" s="1996" customFormat="1">
      <c r="A337" s="3202"/>
      <c r="C337" s="3203"/>
      <c r="E337" s="3202"/>
    </row>
    <row r="338" spans="1:5" s="1996" customFormat="1">
      <c r="A338" s="3202"/>
      <c r="C338" s="3203"/>
      <c r="E338" s="3202"/>
    </row>
    <row r="339" spans="1:5" s="1996" customFormat="1">
      <c r="A339" s="3202"/>
      <c r="C339" s="3203"/>
      <c r="E339" s="3202"/>
    </row>
    <row r="340" spans="1:5" s="1996" customFormat="1">
      <c r="A340" s="3202"/>
      <c r="C340" s="3203"/>
      <c r="E340" s="3202"/>
    </row>
    <row r="341" spans="1:5" s="1996" customFormat="1">
      <c r="A341" s="3202"/>
      <c r="C341" s="3203"/>
      <c r="E341" s="3202"/>
    </row>
    <row r="342" spans="1:5" s="1996" customFormat="1">
      <c r="A342" s="3202"/>
      <c r="C342" s="3203"/>
      <c r="E342" s="3202"/>
    </row>
    <row r="343" spans="1:5" s="1996" customFormat="1">
      <c r="A343" s="3202"/>
      <c r="C343" s="3203"/>
      <c r="E343" s="3202"/>
    </row>
    <row r="344" spans="1:5" s="1996" customFormat="1">
      <c r="A344" s="3202"/>
      <c r="C344" s="3203"/>
      <c r="E344" s="3202"/>
    </row>
    <row r="345" spans="1:5" s="1996" customFormat="1">
      <c r="A345" s="3202"/>
      <c r="C345" s="3203"/>
      <c r="E345" s="3202"/>
    </row>
    <row r="346" spans="1:5" s="1996" customFormat="1">
      <c r="A346" s="3202"/>
      <c r="C346" s="3203"/>
      <c r="E346" s="3202"/>
    </row>
    <row r="347" spans="1:5" s="1996" customFormat="1">
      <c r="A347" s="3202"/>
      <c r="C347" s="3203"/>
      <c r="E347" s="3202"/>
    </row>
    <row r="348" spans="1:5" s="1996" customFormat="1">
      <c r="A348" s="3202"/>
      <c r="C348" s="3203"/>
      <c r="E348" s="3202"/>
    </row>
    <row r="349" spans="1:5" s="1996" customFormat="1">
      <c r="A349" s="3202"/>
      <c r="C349" s="3203"/>
      <c r="E349" s="3202"/>
    </row>
    <row r="350" spans="1:5" s="1996" customFormat="1">
      <c r="A350" s="3202"/>
      <c r="C350" s="3203"/>
      <c r="E350" s="3202"/>
    </row>
    <row r="351" spans="1:5" s="1996" customFormat="1">
      <c r="A351" s="3202"/>
      <c r="C351" s="3203"/>
      <c r="E351" s="3202"/>
    </row>
    <row r="352" spans="1:5" s="1996" customFormat="1">
      <c r="A352" s="3202"/>
      <c r="C352" s="3203"/>
      <c r="E352" s="3202"/>
    </row>
    <row r="353" spans="1:5" s="1996" customFormat="1">
      <c r="A353" s="3202"/>
      <c r="C353" s="3203"/>
      <c r="E353" s="3202"/>
    </row>
    <row r="354" spans="1:5" s="1996" customFormat="1">
      <c r="A354" s="3202"/>
      <c r="C354" s="3203"/>
      <c r="E354" s="3202"/>
    </row>
    <row r="355" spans="1:5" s="1996" customFormat="1">
      <c r="A355" s="3202"/>
      <c r="C355" s="3203"/>
      <c r="E355" s="3202"/>
    </row>
    <row r="356" spans="1:5" s="1996" customFormat="1">
      <c r="A356" s="3202"/>
      <c r="C356" s="3203"/>
      <c r="E356" s="3202"/>
    </row>
    <row r="357" spans="1:5" s="1996" customFormat="1">
      <c r="A357" s="3202"/>
      <c r="C357" s="3203"/>
      <c r="E357" s="3202"/>
    </row>
    <row r="358" spans="1:5" s="1996" customFormat="1">
      <c r="A358" s="3202"/>
      <c r="C358" s="3203"/>
      <c r="E358" s="3202"/>
    </row>
    <row r="359" spans="1:5" s="1996" customFormat="1">
      <c r="A359" s="3202"/>
      <c r="C359" s="3203"/>
      <c r="E359" s="3202"/>
    </row>
    <row r="360" spans="1:5" s="1996" customFormat="1">
      <c r="A360" s="3202"/>
      <c r="C360" s="3203"/>
      <c r="E360" s="3202"/>
    </row>
    <row r="361" spans="1:5" s="1996" customFormat="1">
      <c r="A361" s="3202"/>
      <c r="C361" s="3203"/>
      <c r="E361" s="3202"/>
    </row>
    <row r="362" spans="1:5" s="1996" customFormat="1">
      <c r="A362" s="3202"/>
      <c r="C362" s="3203"/>
      <c r="E362" s="3202"/>
    </row>
    <row r="363" spans="1:5" s="1996" customFormat="1">
      <c r="A363" s="3202"/>
      <c r="C363" s="3203"/>
      <c r="E363" s="3202"/>
    </row>
    <row r="364" spans="1:5" s="1996" customFormat="1">
      <c r="A364" s="3202"/>
      <c r="C364" s="3203"/>
      <c r="E364" s="3202"/>
    </row>
    <row r="365" spans="1:5" s="1996" customFormat="1">
      <c r="A365" s="3202"/>
      <c r="C365" s="3203"/>
      <c r="E365" s="3202"/>
    </row>
    <row r="366" spans="1:5" s="1996" customFormat="1">
      <c r="A366" s="3202"/>
      <c r="C366" s="3203"/>
      <c r="E366" s="3202"/>
    </row>
    <row r="367" spans="1:5" s="1996" customFormat="1">
      <c r="A367" s="3202"/>
      <c r="C367" s="3203"/>
      <c r="E367" s="3202"/>
    </row>
    <row r="368" spans="1:5" s="1996" customFormat="1">
      <c r="A368" s="3202"/>
      <c r="C368" s="3203"/>
      <c r="E368" s="3202"/>
    </row>
    <row r="369" spans="1:5" s="1996" customFormat="1">
      <c r="A369" s="3202"/>
      <c r="C369" s="3203"/>
      <c r="E369" s="3202"/>
    </row>
    <row r="370" spans="1:5" s="1996" customFormat="1">
      <c r="A370" s="3202"/>
      <c r="C370" s="3203"/>
      <c r="E370" s="3202"/>
    </row>
    <row r="371" spans="1:5" s="1996" customFormat="1">
      <c r="A371" s="3202"/>
      <c r="C371" s="3203"/>
      <c r="E371" s="3202"/>
    </row>
    <row r="372" spans="1:5" s="1996" customFormat="1">
      <c r="A372" s="3202"/>
      <c r="C372" s="3203"/>
      <c r="E372" s="3202"/>
    </row>
    <row r="373" spans="1:5" s="1996" customFormat="1">
      <c r="A373" s="3202"/>
      <c r="C373" s="3203"/>
      <c r="E373" s="3202"/>
    </row>
    <row r="374" spans="1:5" s="1996" customFormat="1">
      <c r="A374" s="3202"/>
      <c r="C374" s="3203"/>
      <c r="E374" s="3202"/>
    </row>
    <row r="375" spans="1:5" s="1996" customFormat="1">
      <c r="A375" s="3202"/>
      <c r="C375" s="3203"/>
      <c r="E375" s="3202"/>
    </row>
    <row r="376" spans="1:5" s="1996" customFormat="1">
      <c r="A376" s="3202"/>
      <c r="C376" s="3203"/>
      <c r="E376" s="3202"/>
    </row>
    <row r="377" spans="1:5" s="1996" customFormat="1">
      <c r="A377" s="3202"/>
      <c r="C377" s="3203"/>
      <c r="E377" s="3202"/>
    </row>
    <row r="378" spans="1:5" s="1996" customFormat="1">
      <c r="A378" s="3202"/>
      <c r="C378" s="3203"/>
      <c r="E378" s="3202"/>
    </row>
    <row r="379" spans="1:5" s="1996" customFormat="1">
      <c r="A379" s="3202"/>
      <c r="C379" s="3203"/>
      <c r="E379" s="3202"/>
    </row>
    <row r="380" spans="1:5" s="1996" customFormat="1">
      <c r="A380" s="3202"/>
      <c r="C380" s="3203"/>
      <c r="E380" s="3202"/>
    </row>
    <row r="381" spans="1:5" s="1996" customFormat="1">
      <c r="A381" s="3202"/>
      <c r="C381" s="3203"/>
      <c r="E381" s="3202"/>
    </row>
    <row r="382" spans="1:5" s="1996" customFormat="1">
      <c r="A382" s="3202"/>
      <c r="C382" s="3203"/>
      <c r="E382" s="3202"/>
    </row>
    <row r="383" spans="1:5" s="1996" customFormat="1">
      <c r="A383" s="3202"/>
      <c r="C383" s="3203"/>
      <c r="E383" s="3202"/>
    </row>
    <row r="384" spans="1:5" s="1996" customFormat="1">
      <c r="A384" s="3202"/>
      <c r="C384" s="3203"/>
      <c r="E384" s="3202"/>
    </row>
    <row r="385" spans="1:5" s="1996" customFormat="1">
      <c r="A385" s="3202"/>
      <c r="C385" s="3203"/>
      <c r="E385" s="3202"/>
    </row>
    <row r="386" spans="1:5" s="1996" customFormat="1">
      <c r="A386" s="3202"/>
      <c r="C386" s="3203"/>
      <c r="E386" s="3202"/>
    </row>
    <row r="387" spans="1:5" s="1996" customFormat="1">
      <c r="A387" s="3202"/>
      <c r="C387" s="3203"/>
      <c r="E387" s="3202"/>
    </row>
    <row r="388" spans="1:5" s="1996" customFormat="1">
      <c r="A388" s="3202"/>
      <c r="C388" s="3203"/>
      <c r="E388" s="3202"/>
    </row>
    <row r="389" spans="1:5" s="1996" customFormat="1">
      <c r="A389" s="3202"/>
      <c r="C389" s="3203"/>
      <c r="E389" s="3202"/>
    </row>
    <row r="390" spans="1:5" s="1996" customFormat="1">
      <c r="A390" s="3202"/>
      <c r="C390" s="3203"/>
      <c r="E390" s="3202"/>
    </row>
    <row r="391" spans="1:5" s="1996" customFormat="1">
      <c r="A391" s="3202"/>
      <c r="C391" s="3203"/>
      <c r="E391" s="3202"/>
    </row>
    <row r="392" spans="1:5" s="1996" customFormat="1">
      <c r="A392" s="3202"/>
      <c r="C392" s="3203"/>
      <c r="E392" s="3202"/>
    </row>
    <row r="393" spans="1:5" s="1996" customFormat="1">
      <c r="A393" s="3202"/>
      <c r="C393" s="3203"/>
      <c r="E393" s="3202"/>
    </row>
    <row r="394" spans="1:5" s="1996" customFormat="1">
      <c r="A394" s="3202"/>
      <c r="C394" s="3203"/>
      <c r="E394" s="3202"/>
    </row>
    <row r="395" spans="1:5" s="1996" customFormat="1">
      <c r="A395" s="3202"/>
      <c r="C395" s="3203"/>
      <c r="E395" s="3202"/>
    </row>
    <row r="396" spans="1:5" s="1996" customFormat="1">
      <c r="A396" s="3202"/>
      <c r="C396" s="3203"/>
      <c r="E396" s="3202"/>
    </row>
    <row r="397" spans="1:5" s="1996" customFormat="1">
      <c r="A397" s="3202"/>
      <c r="C397" s="3203"/>
      <c r="E397" s="3202"/>
    </row>
    <row r="398" spans="1:5" s="1996" customFormat="1">
      <c r="A398" s="3202"/>
      <c r="C398" s="3203"/>
      <c r="E398" s="3202"/>
    </row>
    <row r="399" spans="1:5" s="1996" customFormat="1">
      <c r="A399" s="3202"/>
      <c r="C399" s="3203"/>
      <c r="E399" s="3202"/>
    </row>
    <row r="400" spans="1:5" s="1996" customFormat="1">
      <c r="A400" s="3202"/>
      <c r="C400" s="3203"/>
      <c r="E400" s="3202"/>
    </row>
    <row r="401" spans="1:5" s="1996" customFormat="1">
      <c r="A401" s="3202"/>
      <c r="C401" s="3203"/>
      <c r="E401" s="3202"/>
    </row>
    <row r="402" spans="1:5" s="1996" customFormat="1">
      <c r="A402" s="3202"/>
      <c r="C402" s="3203"/>
      <c r="E402" s="3202"/>
    </row>
    <row r="403" spans="1:5" s="1996" customFormat="1">
      <c r="A403" s="3202"/>
      <c r="C403" s="3203"/>
      <c r="E403" s="3202"/>
    </row>
    <row r="404" spans="1:5" s="1996" customFormat="1">
      <c r="A404" s="3202"/>
      <c r="C404" s="3203"/>
      <c r="E404" s="3202"/>
    </row>
    <row r="405" spans="1:5" s="1996" customFormat="1">
      <c r="A405" s="3202"/>
      <c r="C405" s="3203"/>
      <c r="E405" s="3202"/>
    </row>
    <row r="406" spans="1:5" s="1996" customFormat="1">
      <c r="A406" s="3202"/>
      <c r="C406" s="3203"/>
      <c r="E406" s="3202"/>
    </row>
    <row r="407" spans="1:5" s="1996" customFormat="1">
      <c r="A407" s="3202"/>
      <c r="C407" s="3203"/>
      <c r="E407" s="3202"/>
    </row>
    <row r="408" spans="1:5" s="1996" customFormat="1">
      <c r="A408" s="3202"/>
      <c r="C408" s="3203"/>
      <c r="E408" s="3202"/>
    </row>
    <row r="409" spans="1:5" s="1996" customFormat="1">
      <c r="A409" s="3202"/>
      <c r="C409" s="3203"/>
      <c r="E409" s="3202"/>
    </row>
    <row r="410" spans="1:5" s="1996" customFormat="1">
      <c r="A410" s="3202"/>
      <c r="C410" s="3203"/>
      <c r="E410" s="3202"/>
    </row>
    <row r="411" spans="1:5" s="1996" customFormat="1">
      <c r="A411" s="3202"/>
      <c r="C411" s="3203"/>
      <c r="E411" s="3202"/>
    </row>
    <row r="412" spans="1:5" s="1996" customFormat="1">
      <c r="A412" s="3202"/>
      <c r="C412" s="3203"/>
      <c r="E412" s="3202"/>
    </row>
    <row r="413" spans="1:5" s="1996" customFormat="1">
      <c r="A413" s="3202"/>
      <c r="C413" s="3203"/>
      <c r="E413" s="3202"/>
    </row>
    <row r="414" spans="1:5" s="1996" customFormat="1">
      <c r="A414" s="3202"/>
      <c r="C414" s="3203"/>
      <c r="E414" s="3202"/>
    </row>
    <row r="415" spans="1:5" s="1996" customFormat="1">
      <c r="A415" s="3202"/>
      <c r="C415" s="3203"/>
      <c r="E415" s="3202"/>
    </row>
    <row r="416" spans="1:5" s="1996" customFormat="1">
      <c r="A416" s="3202"/>
      <c r="C416" s="3203"/>
      <c r="E416" s="3202"/>
    </row>
    <row r="417" spans="1:5" s="1996" customFormat="1">
      <c r="A417" s="3202"/>
      <c r="C417" s="3203"/>
      <c r="E417" s="3202"/>
    </row>
    <row r="418" spans="1:5" s="1996" customFormat="1">
      <c r="A418" s="3202"/>
      <c r="C418" s="3203"/>
      <c r="E418" s="3202"/>
    </row>
    <row r="419" spans="1:5" s="1996" customFormat="1">
      <c r="A419" s="3202"/>
      <c r="C419" s="3203"/>
      <c r="E419" s="3202"/>
    </row>
    <row r="420" spans="1:5" s="1996" customFormat="1">
      <c r="A420" s="3202"/>
      <c r="C420" s="3203"/>
      <c r="E420" s="3202"/>
    </row>
    <row r="421" spans="1:5" s="1996" customFormat="1">
      <c r="A421" s="3202"/>
      <c r="C421" s="3203"/>
      <c r="E421" s="3202"/>
    </row>
    <row r="422" spans="1:5" s="1996" customFormat="1">
      <c r="A422" s="3202"/>
      <c r="C422" s="3203"/>
      <c r="E422" s="3202"/>
    </row>
    <row r="423" spans="1:5" s="1996" customFormat="1">
      <c r="A423" s="3202"/>
      <c r="C423" s="3203"/>
      <c r="E423" s="3202"/>
    </row>
    <row r="424" spans="1:5" s="1996" customFormat="1">
      <c r="A424" s="3202"/>
      <c r="C424" s="3203"/>
      <c r="E424" s="3202"/>
    </row>
    <row r="425" spans="1:5" s="1996" customFormat="1">
      <c r="A425" s="3202"/>
      <c r="C425" s="3203"/>
      <c r="E425" s="3202"/>
    </row>
    <row r="426" spans="1:5" s="1996" customFormat="1">
      <c r="A426" s="3202"/>
      <c r="C426" s="3203"/>
      <c r="E426" s="3202"/>
    </row>
    <row r="427" spans="1:5" s="1996" customFormat="1">
      <c r="A427" s="3202"/>
      <c r="C427" s="3203"/>
      <c r="E427" s="3202"/>
    </row>
    <row r="428" spans="1:5" s="1996" customFormat="1">
      <c r="A428" s="3202"/>
      <c r="C428" s="3203"/>
      <c r="E428" s="3202"/>
    </row>
    <row r="429" spans="1:5" s="1996" customFormat="1">
      <c r="A429" s="3202"/>
      <c r="C429" s="3203"/>
      <c r="E429" s="3202"/>
    </row>
    <row r="430" spans="1:5" s="1996" customFormat="1">
      <c r="A430" s="3202"/>
      <c r="C430" s="3203"/>
      <c r="E430" s="3202"/>
    </row>
    <row r="431" spans="1:5" s="1996" customFormat="1">
      <c r="A431" s="3202"/>
      <c r="C431" s="3203"/>
      <c r="E431" s="3202"/>
    </row>
    <row r="432" spans="1:5" s="1996" customFormat="1">
      <c r="A432" s="3202"/>
      <c r="C432" s="3203"/>
      <c r="E432" s="3202"/>
    </row>
    <row r="433" spans="1:5" s="1996" customFormat="1">
      <c r="A433" s="3202"/>
      <c r="C433" s="3203"/>
      <c r="E433" s="3202"/>
    </row>
    <row r="434" spans="1:5" s="1996" customFormat="1">
      <c r="A434" s="3202"/>
      <c r="C434" s="3203"/>
      <c r="E434" s="3202"/>
    </row>
    <row r="435" spans="1:5" s="1996" customFormat="1">
      <c r="A435" s="3202"/>
      <c r="C435" s="3203"/>
      <c r="E435" s="3202"/>
    </row>
    <row r="436" spans="1:5" s="1996" customFormat="1">
      <c r="A436" s="3202"/>
      <c r="C436" s="3203"/>
      <c r="E436" s="3202"/>
    </row>
    <row r="437" spans="1:5" s="1996" customFormat="1">
      <c r="A437" s="3202"/>
      <c r="C437" s="3203"/>
      <c r="E437" s="3202"/>
    </row>
    <row r="438" spans="1:5" s="1996" customFormat="1">
      <c r="A438" s="3202"/>
      <c r="C438" s="3203"/>
      <c r="E438" s="3202"/>
    </row>
    <row r="439" spans="1:5" s="1996" customFormat="1">
      <c r="A439" s="3202"/>
      <c r="C439" s="3203"/>
      <c r="E439" s="3202"/>
    </row>
    <row r="440" spans="1:5" s="1996" customFormat="1">
      <c r="A440" s="3202"/>
      <c r="C440" s="3203"/>
      <c r="E440" s="3202"/>
    </row>
    <row r="441" spans="1:5" s="1996" customFormat="1">
      <c r="A441" s="3202"/>
      <c r="C441" s="3203"/>
      <c r="E441" s="3202"/>
    </row>
    <row r="442" spans="1:5" s="1996" customFormat="1">
      <c r="A442" s="3202"/>
      <c r="C442" s="3203"/>
      <c r="E442" s="3202"/>
    </row>
    <row r="443" spans="1:5" s="1996" customFormat="1">
      <c r="A443" s="3202"/>
      <c r="C443" s="3203"/>
      <c r="E443" s="3202"/>
    </row>
    <row r="444" spans="1:5" s="1996" customFormat="1">
      <c r="A444" s="3202"/>
      <c r="C444" s="3203"/>
      <c r="E444" s="3202"/>
    </row>
    <row r="445" spans="1:5" s="1996" customFormat="1">
      <c r="A445" s="3202"/>
      <c r="C445" s="3203"/>
      <c r="E445" s="3202"/>
    </row>
    <row r="446" spans="1:5" s="1996" customFormat="1">
      <c r="A446" s="3202"/>
      <c r="C446" s="3203"/>
      <c r="E446" s="3202"/>
    </row>
    <row r="447" spans="1:5" s="1996" customFormat="1">
      <c r="A447" s="3202"/>
      <c r="C447" s="3203"/>
      <c r="E447" s="3202"/>
    </row>
    <row r="448" spans="1:5" s="1996" customFormat="1">
      <c r="A448" s="3202"/>
      <c r="C448" s="3203"/>
      <c r="E448" s="3202"/>
    </row>
    <row r="449" spans="1:5" s="1996" customFormat="1">
      <c r="A449" s="3202"/>
      <c r="C449" s="3203"/>
      <c r="E449" s="3202"/>
    </row>
    <row r="450" spans="1:5" s="1996" customFormat="1">
      <c r="A450" s="3202"/>
      <c r="C450" s="3203"/>
      <c r="E450" s="3202"/>
    </row>
    <row r="451" spans="1:5" s="1996" customFormat="1">
      <c r="A451" s="3202"/>
      <c r="C451" s="3203"/>
      <c r="E451" s="3202"/>
    </row>
    <row r="452" spans="1:5" s="1996" customFormat="1">
      <c r="A452" s="3202"/>
      <c r="C452" s="3203"/>
      <c r="E452" s="3202"/>
    </row>
    <row r="453" spans="1:5" s="1996" customFormat="1">
      <c r="A453" s="3202"/>
      <c r="C453" s="3203"/>
      <c r="E453" s="3202"/>
    </row>
    <row r="454" spans="1:5" s="1996" customFormat="1">
      <c r="A454" s="3202"/>
      <c r="C454" s="3203"/>
      <c r="E454" s="3202"/>
    </row>
    <row r="455" spans="1:5" s="1996" customFormat="1">
      <c r="A455" s="3202"/>
      <c r="C455" s="3203"/>
      <c r="E455" s="3202"/>
    </row>
    <row r="456" spans="1:5" s="1996" customFormat="1">
      <c r="A456" s="3202"/>
      <c r="C456" s="3203"/>
      <c r="E456" s="3202"/>
    </row>
    <row r="457" spans="1:5" s="1996" customFormat="1">
      <c r="A457" s="3202"/>
      <c r="C457" s="3203"/>
      <c r="E457" s="3202"/>
    </row>
    <row r="458" spans="1:5" s="1996" customFormat="1">
      <c r="A458" s="3202"/>
      <c r="C458" s="3203"/>
      <c r="E458" s="3202"/>
    </row>
    <row r="459" spans="1:5" s="1996" customFormat="1">
      <c r="A459" s="3202"/>
      <c r="C459" s="3203"/>
      <c r="E459" s="3202"/>
    </row>
    <row r="460" spans="1:5" s="1996" customFormat="1">
      <c r="A460" s="3202"/>
      <c r="C460" s="3203"/>
      <c r="E460" s="3202"/>
    </row>
    <row r="461" spans="1:5" s="1996" customFormat="1">
      <c r="A461" s="3202"/>
      <c r="C461" s="3203"/>
      <c r="E461" s="3202"/>
    </row>
    <row r="462" spans="1:5" s="1996" customFormat="1">
      <c r="A462" s="3202"/>
      <c r="C462" s="3203"/>
      <c r="E462" s="3202"/>
    </row>
    <row r="463" spans="1:5" s="1996" customFormat="1">
      <c r="A463" s="3202"/>
      <c r="C463" s="3203"/>
      <c r="E463" s="3202"/>
    </row>
    <row r="464" spans="1:5" s="1996" customFormat="1">
      <c r="A464" s="3202"/>
      <c r="C464" s="3203"/>
      <c r="E464" s="3202"/>
    </row>
    <row r="465" spans="1:5" s="1996" customFormat="1">
      <c r="A465" s="3202"/>
      <c r="C465" s="3203"/>
      <c r="E465" s="3202"/>
    </row>
    <row r="466" spans="1:5" s="1996" customFormat="1">
      <c r="A466" s="3202"/>
      <c r="C466" s="3203"/>
      <c r="E466" s="3202"/>
    </row>
    <row r="467" spans="1:5" s="1996" customFormat="1">
      <c r="A467" s="3202"/>
      <c r="C467" s="3203"/>
      <c r="E467" s="3202"/>
    </row>
    <row r="468" spans="1:5" s="1996" customFormat="1">
      <c r="A468" s="3202"/>
      <c r="C468" s="3203"/>
      <c r="E468" s="3202"/>
    </row>
    <row r="469" spans="1:5" s="1996" customFormat="1">
      <c r="A469" s="3202"/>
      <c r="C469" s="3203"/>
      <c r="E469" s="3202"/>
    </row>
    <row r="470" spans="1:5" s="1996" customFormat="1">
      <c r="A470" s="3202"/>
      <c r="C470" s="3203"/>
      <c r="E470" s="3202"/>
    </row>
    <row r="471" spans="1:5" s="1996" customFormat="1">
      <c r="A471" s="3202"/>
      <c r="C471" s="3203"/>
      <c r="E471" s="3202"/>
    </row>
    <row r="472" spans="1:5" s="1996" customFormat="1">
      <c r="A472" s="3202"/>
      <c r="C472" s="3203"/>
      <c r="E472" s="3202"/>
    </row>
    <row r="473" spans="1:5" s="1996" customFormat="1">
      <c r="A473" s="3202"/>
      <c r="C473" s="3203"/>
      <c r="E473" s="3202"/>
    </row>
    <row r="474" spans="1:5" s="1996" customFormat="1">
      <c r="A474" s="3202"/>
      <c r="C474" s="3203"/>
      <c r="E474" s="3202"/>
    </row>
    <row r="475" spans="1:5" s="1996" customFormat="1">
      <c r="A475" s="3202"/>
      <c r="C475" s="3203"/>
      <c r="E475" s="3202"/>
    </row>
    <row r="476" spans="1:5" s="1996" customFormat="1">
      <c r="A476" s="3202"/>
      <c r="C476" s="3203"/>
      <c r="E476" s="3202"/>
    </row>
    <row r="477" spans="1:5" s="1996" customFormat="1">
      <c r="A477" s="3202"/>
      <c r="C477" s="3203"/>
      <c r="E477" s="3202"/>
    </row>
    <row r="478" spans="1:5" s="1996" customFormat="1">
      <c r="A478" s="3202"/>
      <c r="C478" s="3203"/>
      <c r="E478" s="3202"/>
    </row>
    <row r="479" spans="1:5" s="1996" customFormat="1">
      <c r="A479" s="3202"/>
      <c r="C479" s="3203"/>
      <c r="E479" s="3202"/>
    </row>
    <row r="480" spans="1:5" s="1996" customFormat="1">
      <c r="A480" s="3202"/>
      <c r="C480" s="3203"/>
      <c r="E480" s="3202"/>
    </row>
    <row r="481" spans="1:5" s="1996" customFormat="1">
      <c r="A481" s="3202"/>
      <c r="C481" s="3203"/>
      <c r="E481" s="3202"/>
    </row>
    <row r="482" spans="1:5" s="1996" customFormat="1">
      <c r="A482" s="3202"/>
      <c r="C482" s="3203"/>
      <c r="E482" s="3202"/>
    </row>
    <row r="483" spans="1:5" s="1996" customFormat="1">
      <c r="A483" s="3202"/>
      <c r="C483" s="3203"/>
      <c r="E483" s="3202"/>
    </row>
    <row r="484" spans="1:5" s="1996" customFormat="1">
      <c r="A484" s="3202"/>
      <c r="C484" s="3203"/>
      <c r="E484" s="3202"/>
    </row>
    <row r="485" spans="1:5" s="1996" customFormat="1">
      <c r="A485" s="3202"/>
      <c r="C485" s="3203"/>
      <c r="E485" s="3202"/>
    </row>
    <row r="486" spans="1:5" s="1996" customFormat="1">
      <c r="A486" s="3202"/>
      <c r="C486" s="3203"/>
      <c r="E486" s="3202"/>
    </row>
    <row r="487" spans="1:5" s="1996" customFormat="1">
      <c r="A487" s="3202"/>
      <c r="C487" s="3203"/>
      <c r="E487" s="3202"/>
    </row>
    <row r="488" spans="1:5" s="1996" customFormat="1">
      <c r="A488" s="3202"/>
      <c r="C488" s="3203"/>
      <c r="E488" s="3202"/>
    </row>
    <row r="489" spans="1:5" s="1996" customFormat="1">
      <c r="A489" s="3202"/>
      <c r="C489" s="3203"/>
      <c r="E489" s="3202"/>
    </row>
    <row r="490" spans="1:5" s="1996" customFormat="1">
      <c r="A490" s="3202"/>
      <c r="C490" s="3203"/>
      <c r="E490" s="3202"/>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85" zoomScaleNormal="60" zoomScaleSheetLayoutView="85" workbookViewId="0">
      <selection activeCell="D33" sqref="D33"/>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914</v>
      </c>
      <c r="D1" s="2797" t="s">
        <v>943</v>
      </c>
      <c r="E1" s="2241" t="s">
        <v>2358</v>
      </c>
      <c r="F1" s="2242">
        <f ca="1">J53</f>
        <v>70</v>
      </c>
      <c r="G1" s="3256">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194385</v>
      </c>
      <c r="C2" s="3261"/>
      <c r="D2" s="3262"/>
      <c r="E2" s="3263"/>
      <c r="F2" s="3263"/>
      <c r="G2" s="3257"/>
      <c r="H2" s="1939"/>
      <c r="I2" s="1939"/>
      <c r="J2" s="1939"/>
      <c r="K2" s="1940"/>
      <c r="L2" s="1939"/>
      <c r="M2" s="1939"/>
    </row>
    <row r="3" spans="1:33" ht="18" customHeight="1" thickBot="1">
      <c r="A3" s="822" t="s">
        <v>1717</v>
      </c>
      <c r="B3" s="823">
        <f ca="1">IF(ISERROR(B2*10000/F43),0,ROUND(B2*10000/F43,0))</f>
        <v>12515</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10246</v>
      </c>
      <c r="D5" s="2348" t="s">
        <v>2442</v>
      </c>
      <c r="E5" s="2342"/>
      <c r="F5" s="2343"/>
      <c r="G5" s="1944"/>
      <c r="H5" s="771">
        <v>1</v>
      </c>
      <c r="I5" s="772" t="s">
        <v>2439</v>
      </c>
      <c r="J5" s="55">
        <f ca="1">J6+J10+J12</f>
        <v>0</v>
      </c>
      <c r="K5" s="2348" t="s">
        <v>2442</v>
      </c>
      <c r="L5" s="2342"/>
      <c r="M5" s="2343"/>
    </row>
    <row r="6" spans="1:33" ht="18" customHeight="1">
      <c r="A6" s="1744" t="s">
        <v>1814</v>
      </c>
      <c r="B6" s="3543" t="s">
        <v>2444</v>
      </c>
      <c r="C6" s="773">
        <f ca="1">ROUND(F6*F8*F7*(1-F9)/10000,0)</f>
        <v>10233</v>
      </c>
      <c r="D6" s="2349" t="s">
        <v>2443</v>
      </c>
      <c r="E6" s="774" t="s">
        <v>1728</v>
      </c>
      <c r="F6" s="775">
        <f ca="1">INDIRECT("'数据-取费表'!u"&amp;$G$1)</f>
        <v>1.9</v>
      </c>
      <c r="G6" s="1944"/>
      <c r="H6" s="2356" t="s">
        <v>2449</v>
      </c>
      <c r="I6" s="3543" t="s">
        <v>2444</v>
      </c>
      <c r="J6" s="773">
        <f ca="1">ROUND(M6*M8*M7*(1-M9)/10000,0)</f>
        <v>0</v>
      </c>
      <c r="K6" s="339" t="s">
        <v>1727</v>
      </c>
      <c r="L6" s="774" t="s">
        <v>1728</v>
      </c>
      <c r="M6" s="775">
        <f ca="1">INDIRECT("'数据-取费表'!z"&amp;$G$1)</f>
        <v>0</v>
      </c>
    </row>
    <row r="7" spans="1:33" ht="18" customHeight="1">
      <c r="A7" s="2352"/>
      <c r="B7" s="3544"/>
      <c r="C7" s="778"/>
      <c r="D7" s="779"/>
      <c r="E7" s="774" t="s">
        <v>1729</v>
      </c>
      <c r="F7" s="775">
        <f ca="1">IF(INDIRECT("'数据-取费表'!ah"&amp;$G$1)="",INDIRECT("'数据-取费表'!k"&amp;$G$1),INDIRECT("'数据-取费表'!ah"&amp;$G$1))</f>
        <v>155327</v>
      </c>
      <c r="G7" s="1944"/>
      <c r="H7" s="2341"/>
      <c r="I7" s="3544"/>
      <c r="J7" s="778"/>
      <c r="K7" s="779"/>
      <c r="L7" s="774" t="s">
        <v>1729</v>
      </c>
      <c r="M7" s="775">
        <f ca="1">F7</f>
        <v>155327</v>
      </c>
    </row>
    <row r="8" spans="1:33" ht="18" customHeight="1">
      <c r="A8" s="2345"/>
      <c r="B8" s="3545"/>
      <c r="C8" s="778"/>
      <c r="D8" s="779"/>
      <c r="E8" s="774" t="s">
        <v>1730</v>
      </c>
      <c r="F8" s="775">
        <f ca="1">INDIRECT("'数据-取费表'!ai"&amp;$G$1)</f>
        <v>365</v>
      </c>
      <c r="G8" s="1944"/>
      <c r="H8" s="2341"/>
      <c r="I8" s="3545"/>
      <c r="J8" s="778"/>
      <c r="K8" s="779"/>
      <c r="L8" s="774" t="s">
        <v>1730</v>
      </c>
      <c r="M8" s="775">
        <f ca="1">INDIRECT("'数据-取费表'!ai"&amp;$G$1)</f>
        <v>365</v>
      </c>
    </row>
    <row r="9" spans="1:33" ht="18" customHeight="1">
      <c r="A9" s="776"/>
      <c r="B9" s="3546"/>
      <c r="C9" s="778"/>
      <c r="D9" s="779"/>
      <c r="E9" s="774" t="s">
        <v>1731</v>
      </c>
      <c r="F9" s="784">
        <f ca="1">INDIRECT("'数据-取费表'!w"&amp;$G$1)</f>
        <v>0.05</v>
      </c>
      <c r="G9" s="1944"/>
      <c r="H9" s="2357"/>
      <c r="I9" s="3545"/>
      <c r="J9" s="778"/>
      <c r="K9" s="779"/>
      <c r="L9" s="785" t="s">
        <v>1731</v>
      </c>
      <c r="M9" s="786">
        <f ca="1">INDIRECT("'数据-取费表'!ab"&amp;$G$1)</f>
        <v>0</v>
      </c>
    </row>
    <row r="10" spans="1:33" ht="18" customHeight="1">
      <c r="A10" s="1744" t="s">
        <v>2447</v>
      </c>
      <c r="B10" s="2346" t="s">
        <v>2440</v>
      </c>
      <c r="C10" s="789">
        <f ca="1">ROUND(IF(F10="押一",C6/12*F11,IF(F10="押二",C6/12*2*F11,IF(F10="押三",C6/12*3*F11,C11*F11))),0)</f>
        <v>13</v>
      </c>
      <c r="D10" s="2353" t="s">
        <v>2934</v>
      </c>
      <c r="E10" s="2350" t="s">
        <v>2445</v>
      </c>
      <c r="F10" s="2464" t="s">
        <v>3401</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2446</v>
      </c>
      <c r="F11" s="786">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115459</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75131</v>
      </c>
      <c r="D14" s="1892" t="s">
        <v>1735</v>
      </c>
      <c r="E14" s="1893"/>
      <c r="F14" s="795"/>
      <c r="G14" s="1944"/>
      <c r="H14" s="1577" t="s">
        <v>1820</v>
      </c>
      <c r="I14" s="2110" t="s">
        <v>2805</v>
      </c>
      <c r="J14" s="53">
        <f ca="1">C29</f>
        <v>115459</v>
      </c>
      <c r="K14" s="26"/>
      <c r="L14" s="791"/>
      <c r="M14" s="792"/>
    </row>
    <row r="15" spans="1:33" s="1946" customFormat="1" ht="18" customHeight="1" thickBot="1">
      <c r="A15" s="1576" t="s">
        <v>1875</v>
      </c>
      <c r="B15" s="774" t="s">
        <v>641</v>
      </c>
      <c r="C15" s="53">
        <f ca="1">ROUND(C14*F15,0)</f>
        <v>3757</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3650</v>
      </c>
      <c r="D16" s="774" t="s">
        <v>1736</v>
      </c>
      <c r="E16" s="774" t="s">
        <v>1737</v>
      </c>
      <c r="F16" s="799">
        <f ca="1">IF(INDIRECT("'数据-取费表'!c"&amp;$G$1)="住宅",'数据-取费表'!B34,0)</f>
        <v>0.05</v>
      </c>
      <c r="G16" s="1944"/>
      <c r="H16" s="1743" t="s">
        <v>1738</v>
      </c>
      <c r="I16" s="1741" t="s">
        <v>1739</v>
      </c>
      <c r="J16" s="782">
        <f ca="1">ROUND(J17+J22+J23+J24,0)</f>
        <v>2153</v>
      </c>
      <c r="K16" s="1735" t="s">
        <v>1740</v>
      </c>
      <c r="L16" s="2338"/>
      <c r="M16" s="2343"/>
    </row>
    <row r="17" spans="1:33" s="1946" customFormat="1" ht="18" customHeight="1">
      <c r="A17" s="1576" t="s">
        <v>1877</v>
      </c>
      <c r="B17" s="774" t="s">
        <v>647</v>
      </c>
      <c r="C17" s="53">
        <f ca="1">ROUND(F17*(F43+INDIRECT("'数据-取费表'!S"&amp;$G$1))/10000,0)</f>
        <v>5649</v>
      </c>
      <c r="D17" s="774" t="s">
        <v>1741</v>
      </c>
      <c r="E17" s="774" t="s">
        <v>1742</v>
      </c>
      <c r="F17" s="56">
        <f>'数据-取费表'!B35</f>
        <v>350</v>
      </c>
      <c r="G17" s="3258"/>
      <c r="H17" s="1577" t="s">
        <v>1820</v>
      </c>
      <c r="I17" s="774" t="s">
        <v>650</v>
      </c>
      <c r="J17" s="3018">
        <f ca="1">ROUND(IF(AND(项目基本情况!B11="自然人",项目基本情况!B10="北京市"),J6*M17/(1+'数据-取费表'!C42),J18+J19+J20),0)</f>
        <v>998</v>
      </c>
      <c r="K17" s="2337" t="s">
        <v>1743</v>
      </c>
      <c r="L17" s="2336"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1127</v>
      </c>
      <c r="D18" s="774" t="s">
        <v>1736</v>
      </c>
      <c r="E18" s="774" t="s">
        <v>1737</v>
      </c>
      <c r="F18" s="799">
        <f>'数据-取费表'!B36</f>
        <v>1.4999999999999999E-2</v>
      </c>
      <c r="G18" s="3258"/>
      <c r="H18" s="1576" t="s">
        <v>1874</v>
      </c>
      <c r="I18" s="774" t="s">
        <v>1745</v>
      </c>
      <c r="J18" s="53">
        <f ca="1">ROUND(J6*M18/(1+'数据-取费表'!C42),1)</f>
        <v>0</v>
      </c>
      <c r="K18" s="2336"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89314</v>
      </c>
      <c r="D19" s="259" t="s">
        <v>1747</v>
      </c>
      <c r="E19" s="1895"/>
      <c r="F19" s="56"/>
      <c r="G19" s="1944"/>
      <c r="H19" s="1576" t="s">
        <v>1875</v>
      </c>
      <c r="I19" s="774" t="s">
        <v>1748</v>
      </c>
      <c r="J19" s="53">
        <f ca="1">IF(K19="按租金收入计税",ROUND(J6*M19/(1+'数据-取费表'!C42),1),ROUND(C29*F33*0.7,1))</f>
        <v>969.9</v>
      </c>
      <c r="K19" s="800" t="s">
        <v>659</v>
      </c>
      <c r="L19" s="774" t="s">
        <v>1737</v>
      </c>
      <c r="M19" s="799">
        <f>IF(K19="按租金收入计税",'数据-取费表'!B51,'数据-取费表'!B50)</f>
        <v>1.2E-2</v>
      </c>
    </row>
    <row r="20" spans="1:33" s="1946" customFormat="1" ht="18" customHeight="1">
      <c r="A20" s="1577" t="s">
        <v>1879</v>
      </c>
      <c r="B20" s="774" t="s">
        <v>660</v>
      </c>
      <c r="C20" s="53">
        <f ca="1">ROUND(C19*F20,0)</f>
        <v>893</v>
      </c>
      <c r="D20" s="801" t="s">
        <v>1749</v>
      </c>
      <c r="E20" s="774" t="s">
        <v>1737</v>
      </c>
      <c r="F20" s="799">
        <f>'数据-取费表'!B37</f>
        <v>0.01</v>
      </c>
      <c r="G20" s="3258"/>
      <c r="H20" s="1579" t="s">
        <v>1870</v>
      </c>
      <c r="I20" s="339" t="s">
        <v>1750</v>
      </c>
      <c r="J20" s="54">
        <f ca="1">ROUND(M20*M21/10000,0)</f>
        <v>28</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92814.78</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1155</v>
      </c>
      <c r="K22" s="2336" t="s">
        <v>1759</v>
      </c>
      <c r="L22" s="774" t="s">
        <v>1737</v>
      </c>
      <c r="M22" s="806">
        <f ca="1">INDIRECT("'数据-取费表'!Ak"&amp;$G$1)</f>
        <v>0.01</v>
      </c>
    </row>
    <row r="23" spans="1:33" s="1946" customFormat="1" ht="18" customHeight="1">
      <c r="A23" s="1576" t="s">
        <v>1821</v>
      </c>
      <c r="B23" s="774" t="s">
        <v>2516</v>
      </c>
      <c r="C23" s="53">
        <f ca="1">ROUND(IF('数据-取费表'!B22&lt;=1,(C19+C20)*F24*F23/2,(C19+C20)*(POWER((1+F24),F23/2)-1)),0)</f>
        <v>4285</v>
      </c>
      <c r="D23" s="2422"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2336" t="s">
        <v>1761</v>
      </c>
      <c r="L23" s="774" t="s">
        <v>1737</v>
      </c>
      <c r="M23" s="807">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5.0000000000000001E-4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2" t="s">
        <v>2801</v>
      </c>
      <c r="J25" s="782">
        <f ca="1">J5-J16</f>
        <v>-2153</v>
      </c>
      <c r="K25" s="2400" t="s">
        <v>1767</v>
      </c>
      <c r="L25" s="2401"/>
      <c r="M25" s="2402"/>
    </row>
    <row r="26" spans="1:33" ht="18" customHeight="1">
      <c r="A26" s="1576" t="s">
        <v>1821</v>
      </c>
      <c r="B26" s="774" t="s">
        <v>2421</v>
      </c>
      <c r="C26" s="53">
        <f ca="1">ROUND((C19+C20)*F26,0)</f>
        <v>13531</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115459</v>
      </c>
      <c r="D29" s="2397"/>
      <c r="E29" s="2398"/>
      <c r="F29" s="2399"/>
      <c r="G29" s="3258"/>
      <c r="H29" s="812" t="s">
        <v>1777</v>
      </c>
      <c r="I29" s="813" t="s">
        <v>1778</v>
      </c>
      <c r="J29" s="814">
        <f ca="1">ROUND(J26/(1+F40)^F41,0)</f>
        <v>0</v>
      </c>
      <c r="K29" s="815" t="s">
        <v>1779</v>
      </c>
      <c r="L29" s="816"/>
      <c r="M29" s="817">
        <f ca="1">INDIRECT("'数据-取费表'!k"&amp;$G$1)</f>
        <v>155327</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1937</v>
      </c>
      <c r="D30" s="1735" t="s">
        <v>1781</v>
      </c>
      <c r="E30" s="2338"/>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564</v>
      </c>
      <c r="D31" s="1892" t="s">
        <v>1782</v>
      </c>
      <c r="E31" s="1890"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536</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3400</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27.8</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92814.78</v>
      </c>
      <c r="G35" s="1944"/>
      <c r="H35" s="1947"/>
      <c r="I35" s="826" t="s">
        <v>1804</v>
      </c>
      <c r="J35" s="827">
        <f ca="1">ROUND(C13*J36,0)</f>
        <v>5773</v>
      </c>
      <c r="K35" s="1960"/>
      <c r="L35" s="1959"/>
      <c r="M35" s="1959"/>
    </row>
    <row r="36" spans="1:18" ht="18" customHeight="1">
      <c r="A36" s="1577" t="s">
        <v>1879</v>
      </c>
      <c r="B36" s="774" t="s">
        <v>1792</v>
      </c>
      <c r="C36" s="53">
        <f ca="1">ROUND(C29*F36,1)</f>
        <v>1154.5999999999999</v>
      </c>
      <c r="D36" s="1890" t="s">
        <v>1793</v>
      </c>
      <c r="E36" s="774" t="s">
        <v>1786</v>
      </c>
      <c r="F36" s="806">
        <f ca="1">INDIRECT("'数据-取费表'!Ak"&amp;$G$1)</f>
        <v>0.01</v>
      </c>
      <c r="G36" s="1944"/>
      <c r="H36" s="1959"/>
      <c r="I36" s="828" t="s">
        <v>1805</v>
      </c>
      <c r="J36" s="829">
        <f ca="1">INDIRECT("'数据-取费表'!j"&amp;$G$1)</f>
        <v>0.05</v>
      </c>
      <c r="K36" s="1963"/>
      <c r="L36" s="1959"/>
      <c r="M36" s="1959"/>
    </row>
    <row r="37" spans="1:18" ht="18" customHeight="1">
      <c r="A37" s="1577" t="s">
        <v>1880</v>
      </c>
      <c r="B37" s="774" t="s">
        <v>673</v>
      </c>
      <c r="C37" s="53">
        <f ca="1">ROUND(C13*F37,1)</f>
        <v>115.5</v>
      </c>
      <c r="D37" s="1890" t="s">
        <v>1794</v>
      </c>
      <c r="E37" s="774" t="s">
        <v>1786</v>
      </c>
      <c r="F37" s="807">
        <f ca="1">INDIRECT("'数据-取费表'!Al"&amp;$G$1)</f>
        <v>1E-3</v>
      </c>
      <c r="G37" s="1944"/>
      <c r="H37" s="1959"/>
      <c r="I37" s="830" t="s">
        <v>1806</v>
      </c>
      <c r="J37" s="831"/>
      <c r="K37" s="1963"/>
      <c r="L37" s="1959"/>
      <c r="M37" s="1959"/>
    </row>
    <row r="38" spans="1:18" ht="18" customHeight="1" thickBot="1">
      <c r="A38" s="2403" t="s">
        <v>1881</v>
      </c>
      <c r="B38" s="2398" t="s">
        <v>660</v>
      </c>
      <c r="C38" s="2396">
        <f ca="1">ROUND(C5*F38,1)</f>
        <v>102.5</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8309</v>
      </c>
      <c r="D39" s="2400" t="s">
        <v>1796</v>
      </c>
      <c r="E39" s="2401"/>
      <c r="F39" s="2402"/>
      <c r="G39" s="1944"/>
      <c r="H39" s="1959"/>
      <c r="I39" s="826" t="s">
        <v>1808</v>
      </c>
      <c r="J39" s="834">
        <f ca="1">ROUND(J35/C39,3)</f>
        <v>0.69499999999999995</v>
      </c>
      <c r="K39" s="1964"/>
      <c r="L39" s="1959"/>
      <c r="M39" s="1959"/>
    </row>
    <row r="40" spans="1:18" ht="18" customHeight="1">
      <c r="A40" s="771" t="s">
        <v>1885</v>
      </c>
      <c r="B40" s="2111" t="s">
        <v>2288</v>
      </c>
      <c r="C40" s="773">
        <f ca="1">ROUND(C39*(1-((1+F42)/(1+F40))^F41)/(F40-F42),0)</f>
        <v>194385</v>
      </c>
      <c r="D40" s="803" t="s">
        <v>1797</v>
      </c>
      <c r="E40" s="774" t="s">
        <v>2403</v>
      </c>
      <c r="F40" s="784">
        <f ca="1">INDIRECT("'数据-取费表'!I"&amp;$G$1)</f>
        <v>0.04</v>
      </c>
      <c r="G40" s="1944"/>
      <c r="H40" s="1944"/>
      <c r="I40" s="826" t="s">
        <v>1809</v>
      </c>
      <c r="J40" s="834">
        <f ca="1">1-J39</f>
        <v>0.30500000000000005</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70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0.59399999999999997</v>
      </c>
      <c r="K42" s="1963"/>
      <c r="L42" s="1899"/>
      <c r="M42" s="1899"/>
    </row>
    <row r="43" spans="1:18" ht="18" customHeight="1" thickBot="1">
      <c r="A43" s="812" t="s">
        <v>1777</v>
      </c>
      <c r="B43" s="813" t="s">
        <v>1800</v>
      </c>
      <c r="C43" s="814">
        <f ca="1">ROUND(C40*10000/F43,0)</f>
        <v>12515</v>
      </c>
      <c r="D43" s="815" t="s">
        <v>1801</v>
      </c>
      <c r="E43" s="816" t="s">
        <v>1802</v>
      </c>
      <c r="F43" s="817">
        <f ca="1">INDIRECT("'数据-取费表'!k"&amp;$G$1)</f>
        <v>155327</v>
      </c>
      <c r="G43" s="1944"/>
      <c r="H43" s="1899"/>
      <c r="I43" s="836" t="s">
        <v>1812</v>
      </c>
      <c r="J43" s="837">
        <f ca="1">1-J42</f>
        <v>0.40600000000000003</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-224751</v>
      </c>
      <c r="D46" s="3259"/>
      <c r="E46" s="3259"/>
      <c r="F46" s="3259"/>
      <c r="I46" s="2232" t="s">
        <v>2327</v>
      </c>
      <c r="J46" s="2233"/>
      <c r="K46" s="2234"/>
      <c r="L46" s="2810">
        <f>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3331</v>
      </c>
      <c r="K47" s="2807" t="s">
        <v>2333</v>
      </c>
      <c r="L47" s="2811">
        <f ca="1">INDIRECT("'数据-取费表'!d"&amp;$G$1)</f>
        <v>70</v>
      </c>
      <c r="M47" s="1534" t="str">
        <f>IF(ISNUMBER(FIND("住宅",C1)),"住宅","非住宅")</f>
        <v>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70</v>
      </c>
      <c r="M48" s="3260"/>
      <c r="O48" s="2252" t="s">
        <v>2363</v>
      </c>
      <c r="P48" s="2253" t="s">
        <v>2389</v>
      </c>
      <c r="Q48" s="2254">
        <f ca="1">C40+J29</f>
        <v>194385</v>
      </c>
      <c r="R48" s="2253" t="s">
        <v>2364</v>
      </c>
    </row>
    <row r="49" spans="1:18" s="1941" customFormat="1" ht="18" customHeight="1" thickBot="1">
      <c r="A49" s="776"/>
      <c r="B49" s="777"/>
      <c r="C49" s="778"/>
      <c r="D49" s="779"/>
      <c r="E49" s="774" t="s">
        <v>1729</v>
      </c>
      <c r="F49" s="775">
        <f ca="1">F7</f>
        <v>155327</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115459</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70187</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70</v>
      </c>
      <c r="K53" s="3570" t="s">
        <v>2927</v>
      </c>
      <c r="L53" s="3571"/>
      <c r="M53" s="3260"/>
      <c r="O53" s="2255" t="s">
        <v>2372</v>
      </c>
      <c r="P53" s="2253" t="s">
        <v>2373</v>
      </c>
      <c r="Q53" s="2254">
        <f ca="1">J53</f>
        <v>70</v>
      </c>
      <c r="R53" s="2253" t="s">
        <v>2374</v>
      </c>
    </row>
    <row r="54" spans="1:18" s="1941" customFormat="1" ht="18" customHeight="1" thickBot="1">
      <c r="A54" s="2389" t="s">
        <v>2448</v>
      </c>
      <c r="B54" s="2390" t="s">
        <v>2441</v>
      </c>
      <c r="C54" s="2391"/>
      <c r="D54" s="2353"/>
      <c r="E54" s="2350"/>
      <c r="F54" s="790"/>
      <c r="I54" s="19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967"/>
      <c r="M54" s="3260"/>
      <c r="O54" s="2252" t="s">
        <v>2375</v>
      </c>
      <c r="P54" s="2253" t="s">
        <v>2392</v>
      </c>
      <c r="Q54" s="2254">
        <f ca="1">Q48+Q49</f>
        <v>194385</v>
      </c>
      <c r="R54" s="2257" t="s">
        <v>2376</v>
      </c>
    </row>
    <row r="55" spans="1:18" s="1941" customFormat="1" ht="18" customHeight="1" thickTop="1" thickBot="1">
      <c r="A55" s="787">
        <v>2</v>
      </c>
      <c r="B55" s="788" t="s">
        <v>638</v>
      </c>
      <c r="C55" s="789">
        <f ca="1">C13</f>
        <v>115459</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115459</v>
      </c>
      <c r="D56" s="2480"/>
      <c r="E56" s="774"/>
      <c r="F56" s="799"/>
      <c r="I56" s="2817" t="s">
        <v>2341</v>
      </c>
      <c r="J56" s="2827" t="s">
        <v>1669</v>
      </c>
      <c r="K56" s="2798" t="s">
        <v>2346</v>
      </c>
      <c r="L56" s="1821">
        <f ca="1">IF(L48&lt;J51,"——",L48-J51)</f>
        <v>10</v>
      </c>
      <c r="M56" s="3260"/>
      <c r="O56" s="2249" t="s">
        <v>2359</v>
      </c>
      <c r="P56" s="2250" t="s">
        <v>2360</v>
      </c>
      <c r="Q56" s="2251" t="s">
        <v>2361</v>
      </c>
      <c r="R56" s="2250" t="s">
        <v>2362</v>
      </c>
    </row>
    <row r="57" spans="1:18" s="1941" customFormat="1" ht="28.5" customHeight="1" thickBot="1">
      <c r="A57" s="787" t="s">
        <v>1738</v>
      </c>
      <c r="B57" s="788" t="s">
        <v>645</v>
      </c>
      <c r="C57" s="789">
        <f ca="1">ROUND(C58+C63+C64+C65,0)</f>
        <v>1298</v>
      </c>
      <c r="D57" s="26" t="s">
        <v>1740</v>
      </c>
      <c r="E57" s="2481"/>
      <c r="F57" s="56"/>
      <c r="I57" s="2818" t="s">
        <v>2342</v>
      </c>
      <c r="J57" s="2819" t="str">
        <f ca="1">IF(OR(M47="住宅",J51&lt;L48,J56="是"),"——",J51-L48)</f>
        <v>——</v>
      </c>
      <c r="K57" s="2798" t="s">
        <v>2347</v>
      </c>
      <c r="L57" s="1821">
        <f ca="1">IF(L48&lt;J51,"——",IF(L55="比较法",L49,IF(L55="基准地价",L50,L51)))</f>
        <v>70187</v>
      </c>
      <c r="M57" s="3260"/>
      <c r="O57" s="2252" t="s">
        <v>2363</v>
      </c>
      <c r="P57" s="2253" t="s">
        <v>2393</v>
      </c>
      <c r="Q57" s="2254">
        <f ca="1">C40+J29</f>
        <v>194385</v>
      </c>
      <c r="R57" s="2253" t="s">
        <v>2364</v>
      </c>
    </row>
    <row r="58" spans="1:18" s="1941" customFormat="1" ht="28.5" customHeight="1" thickBot="1">
      <c r="A58" s="1577" t="s">
        <v>1814</v>
      </c>
      <c r="B58" s="774" t="s">
        <v>650</v>
      </c>
      <c r="C58" s="3018">
        <f ca="1">ROUND(IF(AND(项目基本情况!B11="自然人",项目基本情况!B10="北京市"),C48*F58/(1+'数据-取费表'!C42),C59+C60+C61),0)</f>
        <v>28</v>
      </c>
      <c r="D58" s="2479" t="s">
        <v>651</v>
      </c>
      <c r="E58" s="2480"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2480"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2480"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27.8</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92814.78</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1154.5999999999999</v>
      </c>
      <c r="D63" s="2480" t="s">
        <v>1793</v>
      </c>
      <c r="E63" s="774" t="s">
        <v>1737</v>
      </c>
      <c r="F63" s="806">
        <f t="shared" ca="1" si="0"/>
        <v>0.01</v>
      </c>
      <c r="I63" s="2823" t="s">
        <v>2354</v>
      </c>
      <c r="J63" s="2824">
        <v>70</v>
      </c>
      <c r="K63" s="2824">
        <v>50</v>
      </c>
      <c r="L63" s="2824">
        <v>80</v>
      </c>
      <c r="M63" s="2826">
        <v>0.02</v>
      </c>
      <c r="O63" s="2252" t="s">
        <v>2375</v>
      </c>
      <c r="P63" s="2253" t="s">
        <v>2392</v>
      </c>
      <c r="Q63" s="2254">
        <f ca="1">Q57+Q58</f>
        <v>194385</v>
      </c>
      <c r="R63" s="2257" t="s">
        <v>2376</v>
      </c>
    </row>
    <row r="64" spans="1:18" s="1941" customFormat="1" ht="16.5" thickBot="1">
      <c r="A64" s="1577" t="s">
        <v>1880</v>
      </c>
      <c r="B64" s="774" t="s">
        <v>673</v>
      </c>
      <c r="C64" s="53">
        <f ca="1">ROUND(C55*F64,1)</f>
        <v>115.5</v>
      </c>
      <c r="D64" s="2480" t="s">
        <v>674</v>
      </c>
      <c r="E64" s="774" t="s">
        <v>1737</v>
      </c>
      <c r="F64" s="807">
        <f t="shared" ca="1" si="0"/>
        <v>1E-3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2480"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-1298</v>
      </c>
      <c r="D66" s="2479" t="s">
        <v>694</v>
      </c>
      <c r="E66" s="2478"/>
      <c r="F66" s="809"/>
      <c r="K66" s="1967"/>
      <c r="O66" s="2252" t="s">
        <v>2363</v>
      </c>
      <c r="P66" s="2253" t="s">
        <v>2393</v>
      </c>
      <c r="Q66" s="2254">
        <f ca="1">C40+J29</f>
        <v>194385</v>
      </c>
      <c r="R66" s="2253" t="s">
        <v>2364</v>
      </c>
    </row>
    <row r="67" spans="1:18" s="1941" customFormat="1" ht="20.25" thickBot="1">
      <c r="A67" s="771" t="s">
        <v>1770</v>
      </c>
      <c r="B67" s="2111" t="s">
        <v>2288</v>
      </c>
      <c r="C67" s="773">
        <f ca="1">ROUND(C66*(1-((1+F69)/(1+F67))^F68)/(F67-F69),0)</f>
        <v>-30366</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70</v>
      </c>
      <c r="O68" s="2255" t="s">
        <v>2367</v>
      </c>
      <c r="P68" s="2253" t="s">
        <v>2397</v>
      </c>
      <c r="Q68" s="2259">
        <f ca="1">L51</f>
        <v>70187</v>
      </c>
      <c r="R68" s="2260" t="s">
        <v>2400</v>
      </c>
    </row>
    <row r="69" spans="1:18" ht="20.25" thickBot="1">
      <c r="A69" s="780"/>
      <c r="B69" s="781"/>
      <c r="C69" s="782"/>
      <c r="D69" s="805"/>
      <c r="E69" s="774" t="s">
        <v>704</v>
      </c>
      <c r="F69" s="2225"/>
      <c r="O69" s="2255" t="s">
        <v>2368</v>
      </c>
      <c r="P69" s="2261" t="s">
        <v>2382</v>
      </c>
      <c r="Q69" s="2254">
        <f ca="1">ROUND(Q70-Q71*Q72,0)</f>
        <v>2536</v>
      </c>
      <c r="R69" s="2257"/>
    </row>
    <row r="70" spans="1:18" ht="15.75" thickBot="1">
      <c r="A70" s="812" t="s">
        <v>1777</v>
      </c>
      <c r="B70" s="813" t="s">
        <v>1800</v>
      </c>
      <c r="C70" s="814">
        <f ca="1">ROUND(C67*10000/F70,0)</f>
        <v>-1955</v>
      </c>
      <c r="D70" s="815" t="s">
        <v>1801</v>
      </c>
      <c r="E70" s="816" t="s">
        <v>1802</v>
      </c>
      <c r="F70" s="817">
        <f ca="1">F43</f>
        <v>155327</v>
      </c>
      <c r="O70" s="2255" t="s">
        <v>2383</v>
      </c>
      <c r="P70" s="2261" t="s">
        <v>2384</v>
      </c>
      <c r="Q70" s="2254">
        <f ca="1">C39</f>
        <v>8309</v>
      </c>
      <c r="R70" s="2253" t="s">
        <v>2364</v>
      </c>
    </row>
    <row r="71" spans="1:18" ht="15.75" thickBot="1">
      <c r="O71" s="2255" t="s">
        <v>2385</v>
      </c>
      <c r="P71" s="2261" t="s">
        <v>2386</v>
      </c>
      <c r="Q71" s="2254">
        <f ca="1">C13</f>
        <v>115459</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194385</v>
      </c>
      <c r="R76" s="2257" t="s">
        <v>2376</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58" priority="7">
      <formula>$L$48&gt;$J$51</formula>
    </cfRule>
  </conditionalFormatting>
  <conditionalFormatting sqref="I55">
    <cfRule type="expression" dxfId="157" priority="8">
      <formula>$J$51&gt;$L$48</formula>
    </cfRule>
  </conditionalFormatting>
  <conditionalFormatting sqref="I60">
    <cfRule type="expression" dxfId="156" priority="6">
      <formula>$J$51&gt;$L$48</formula>
    </cfRule>
  </conditionalFormatting>
  <conditionalFormatting sqref="K60">
    <cfRule type="expression" dxfId="155" priority="5">
      <formula>$L$48&gt;$J$51</formula>
    </cfRule>
  </conditionalFormatting>
  <conditionalFormatting sqref="C11">
    <cfRule type="expression" dxfId="154" priority="4">
      <formula>$F$10="自定义"</formula>
    </cfRule>
  </conditionalFormatting>
  <conditionalFormatting sqref="J11">
    <cfRule type="expression" dxfId="153" priority="2">
      <formula>$M$10="自定义"</formula>
    </cfRule>
  </conditionalFormatting>
  <conditionalFormatting sqref="C53">
    <cfRule type="expression" dxfId="15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D5" sqref="D5"/>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3376</v>
      </c>
      <c r="D1" s="2797" t="s">
        <v>943</v>
      </c>
      <c r="E1" s="2241" t="s">
        <v>2358</v>
      </c>
      <c r="F1" s="2242">
        <f ca="1">J53</f>
        <v>40</v>
      </c>
      <c r="G1" s="3256">
        <f>MATCH(C1,'数据-取费表'!A6:A16,0)+5</f>
        <v>7</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42205</v>
      </c>
      <c r="C2" s="3261"/>
      <c r="D2" s="3262"/>
      <c r="E2" s="3263"/>
      <c r="F2" s="3263"/>
      <c r="G2" s="3257"/>
      <c r="H2" s="1939"/>
      <c r="I2" s="1939"/>
      <c r="J2" s="1939"/>
      <c r="K2" s="1940"/>
      <c r="L2" s="1939"/>
      <c r="M2" s="1939"/>
    </row>
    <row r="3" spans="1:33" ht="18" customHeight="1" thickBot="1">
      <c r="A3" s="822" t="s">
        <v>1717</v>
      </c>
      <c r="B3" s="823">
        <f ca="1">IF(ISERROR(B2*10000/F43),0,ROUND(B2*10000/F43,0))</f>
        <v>13105</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3501</v>
      </c>
      <c r="D5" s="2348" t="s">
        <v>2442</v>
      </c>
      <c r="E5" s="2342"/>
      <c r="F5" s="2343"/>
      <c r="G5" s="1944"/>
      <c r="H5" s="771">
        <v>1</v>
      </c>
      <c r="I5" s="772" t="s">
        <v>2439</v>
      </c>
      <c r="J5" s="55">
        <f ca="1">J6+J10+J12</f>
        <v>0</v>
      </c>
      <c r="K5" s="2348" t="s">
        <v>2442</v>
      </c>
      <c r="L5" s="2342"/>
      <c r="M5" s="2343"/>
    </row>
    <row r="6" spans="1:33" ht="18" customHeight="1">
      <c r="A6" s="1744" t="s">
        <v>1814</v>
      </c>
      <c r="B6" s="3543" t="s">
        <v>2444</v>
      </c>
      <c r="C6" s="773">
        <f ca="1">ROUND(F6*F8*F7*(1-F9)/10000,0)</f>
        <v>3497</v>
      </c>
      <c r="D6" s="2349" t="s">
        <v>2443</v>
      </c>
      <c r="E6" s="774" t="s">
        <v>1728</v>
      </c>
      <c r="F6" s="775">
        <f ca="1">INDIRECT("'数据-取费表'!u"&amp;$G$1)</f>
        <v>3.5</v>
      </c>
      <c r="G6" s="1944"/>
      <c r="H6" s="2356" t="s">
        <v>2449</v>
      </c>
      <c r="I6" s="3543" t="s">
        <v>2444</v>
      </c>
      <c r="J6" s="773">
        <f ca="1">ROUND(M6*M8*M7*(1-M9)/10000,0)</f>
        <v>0</v>
      </c>
      <c r="K6" s="339" t="s">
        <v>1727</v>
      </c>
      <c r="L6" s="774" t="s">
        <v>1728</v>
      </c>
      <c r="M6" s="775">
        <f ca="1">INDIRECT("'数据-取费表'!z"&amp;$G$1)</f>
        <v>0</v>
      </c>
    </row>
    <row r="7" spans="1:33" ht="18" customHeight="1">
      <c r="A7" s="2352"/>
      <c r="B7" s="3544"/>
      <c r="C7" s="778"/>
      <c r="D7" s="779"/>
      <c r="E7" s="774" t="s">
        <v>1729</v>
      </c>
      <c r="F7" s="775">
        <f ca="1">IF(INDIRECT("'数据-取费表'!ah"&amp;$G$1)="",INDIRECT("'数据-取费表'!k"&amp;$G$1),INDIRECT("'数据-取费表'!ah"&amp;$G$1))</f>
        <v>32206</v>
      </c>
      <c r="G7" s="1944"/>
      <c r="H7" s="2341"/>
      <c r="I7" s="3544"/>
      <c r="J7" s="778"/>
      <c r="K7" s="779"/>
      <c r="L7" s="774" t="s">
        <v>1729</v>
      </c>
      <c r="M7" s="775">
        <f ca="1">F7</f>
        <v>32206</v>
      </c>
    </row>
    <row r="8" spans="1:33" ht="18" customHeight="1">
      <c r="A8" s="2345"/>
      <c r="B8" s="3545"/>
      <c r="C8" s="778"/>
      <c r="D8" s="779"/>
      <c r="E8" s="774" t="s">
        <v>1730</v>
      </c>
      <c r="F8" s="775">
        <f ca="1">INDIRECT("'数据-取费表'!ai"&amp;$G$1)</f>
        <v>365</v>
      </c>
      <c r="G8" s="1944"/>
      <c r="H8" s="2341"/>
      <c r="I8" s="3545"/>
      <c r="J8" s="778"/>
      <c r="K8" s="779"/>
      <c r="L8" s="774" t="s">
        <v>1730</v>
      </c>
      <c r="M8" s="775">
        <f ca="1">INDIRECT("'数据-取费表'!ai"&amp;$G$1)</f>
        <v>365</v>
      </c>
    </row>
    <row r="9" spans="1:33" ht="18" customHeight="1">
      <c r="A9" s="776"/>
      <c r="B9" s="3546"/>
      <c r="C9" s="778"/>
      <c r="D9" s="779"/>
      <c r="E9" s="774" t="s">
        <v>1731</v>
      </c>
      <c r="F9" s="784">
        <f ca="1">INDIRECT("'数据-取费表'!w"&amp;$G$1)</f>
        <v>0.15</v>
      </c>
      <c r="G9" s="1944"/>
      <c r="H9" s="2357"/>
      <c r="I9" s="3545"/>
      <c r="J9" s="778"/>
      <c r="K9" s="779"/>
      <c r="L9" s="785" t="s">
        <v>1731</v>
      </c>
      <c r="M9" s="786">
        <f ca="1">INDIRECT("'数据-取费表'!ab"&amp;$G$1)</f>
        <v>0</v>
      </c>
    </row>
    <row r="10" spans="1:33" ht="18" customHeight="1">
      <c r="A10" s="1744" t="s">
        <v>2447</v>
      </c>
      <c r="B10" s="2346" t="s">
        <v>2440</v>
      </c>
      <c r="C10" s="789">
        <f ca="1">ROUND(IF(F10="押一",C6/12*F11,IF(F10="押二",C6/12*2*F11,IF(F10="押三",C6/12*3*F11,C11*F11))),0)</f>
        <v>4</v>
      </c>
      <c r="D10" s="2353" t="s">
        <v>2934</v>
      </c>
      <c r="E10" s="2350" t="s">
        <v>2445</v>
      </c>
      <c r="F10" s="2464" t="s">
        <v>3401</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19857</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13323</v>
      </c>
      <c r="D14" s="3278" t="s">
        <v>1735</v>
      </c>
      <c r="E14" s="3279"/>
      <c r="F14" s="795"/>
      <c r="G14" s="1944"/>
      <c r="H14" s="1577" t="s">
        <v>1820</v>
      </c>
      <c r="I14" s="2110" t="s">
        <v>2804</v>
      </c>
      <c r="J14" s="53">
        <f ca="1">C29</f>
        <v>19857</v>
      </c>
      <c r="K14" s="26"/>
      <c r="L14" s="791"/>
      <c r="M14" s="792"/>
    </row>
    <row r="15" spans="1:33" s="1946" customFormat="1" ht="18" customHeight="1" thickBot="1">
      <c r="A15" s="1576" t="s">
        <v>1875</v>
      </c>
      <c r="B15" s="774" t="s">
        <v>641</v>
      </c>
      <c r="C15" s="53">
        <f ca="1">ROUND(C14*F15,0)</f>
        <v>666</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570</v>
      </c>
      <c r="K16" s="1735" t="s">
        <v>1740</v>
      </c>
      <c r="L16" s="3280"/>
      <c r="M16" s="2343"/>
    </row>
    <row r="17" spans="1:33" s="1946" customFormat="1" ht="18" customHeight="1">
      <c r="A17" s="1576" t="s">
        <v>1877</v>
      </c>
      <c r="B17" s="774" t="s">
        <v>647</v>
      </c>
      <c r="C17" s="53">
        <f ca="1">ROUND(F17*(F43+INDIRECT("'数据-取费表'!S"&amp;$G$1))/10000,0)</f>
        <v>1171</v>
      </c>
      <c r="D17" s="774" t="s">
        <v>1741</v>
      </c>
      <c r="E17" s="774" t="s">
        <v>1742</v>
      </c>
      <c r="F17" s="56">
        <f>'数据-取费表'!B35</f>
        <v>350</v>
      </c>
      <c r="G17" s="3258"/>
      <c r="H17" s="1577" t="s">
        <v>1820</v>
      </c>
      <c r="I17" s="774" t="s">
        <v>650</v>
      </c>
      <c r="J17" s="3018">
        <f ca="1">ROUND(IF(AND(项目基本情况!B11="自然人",项目基本情况!B10="北京市"),J6*M17/(1+'数据-取费表'!C42),J18+J19+J20),0)</f>
        <v>173</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200</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15360</v>
      </c>
      <c r="D19" s="259" t="s">
        <v>1747</v>
      </c>
      <c r="E19" s="3283"/>
      <c r="F19" s="56"/>
      <c r="G19" s="1944"/>
      <c r="H19" s="1576" t="s">
        <v>1875</v>
      </c>
      <c r="I19" s="774" t="s">
        <v>1748</v>
      </c>
      <c r="J19" s="53">
        <f ca="1">IF(K19="按租金收入计税",ROUND(J6*M19/(1+'数据-取费表'!C42),1),ROUND(C29*F33*0.7,1))</f>
        <v>166.8</v>
      </c>
      <c r="K19" s="800" t="s">
        <v>659</v>
      </c>
      <c r="L19" s="774" t="s">
        <v>1737</v>
      </c>
      <c r="M19" s="799">
        <f>IF(K19="按租金收入计税",'数据-取费表'!B51,'数据-取费表'!B50)</f>
        <v>1.2E-2</v>
      </c>
    </row>
    <row r="20" spans="1:33" s="1946" customFormat="1" ht="18" customHeight="1">
      <c r="A20" s="1577" t="s">
        <v>1879</v>
      </c>
      <c r="B20" s="774" t="s">
        <v>660</v>
      </c>
      <c r="C20" s="53">
        <f ca="1">ROUND(C19*F20,0)</f>
        <v>154</v>
      </c>
      <c r="D20" s="801" t="s">
        <v>1749</v>
      </c>
      <c r="E20" s="774" t="s">
        <v>1737</v>
      </c>
      <c r="F20" s="799">
        <f>'数据-取费表'!B37</f>
        <v>0.01</v>
      </c>
      <c r="G20" s="3258"/>
      <c r="H20" s="1579" t="s">
        <v>1870</v>
      </c>
      <c r="I20" s="339" t="s">
        <v>1750</v>
      </c>
      <c r="J20" s="54">
        <f ca="1">ROUND(M20*M21/10000,0)</f>
        <v>6</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19244.52</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397</v>
      </c>
      <c r="K22" s="3277" t="s">
        <v>1759</v>
      </c>
      <c r="L22" s="774" t="s">
        <v>1737</v>
      </c>
      <c r="M22" s="806">
        <f ca="1">INDIRECT("'数据-取费表'!Ak"&amp;$G$1)</f>
        <v>0.02</v>
      </c>
    </row>
    <row r="23" spans="1:33" s="1946" customFormat="1" ht="18" customHeight="1">
      <c r="A23" s="1576" t="s">
        <v>1821</v>
      </c>
      <c r="B23" s="774" t="s">
        <v>2516</v>
      </c>
      <c r="C23" s="53">
        <f ca="1">ROUND(IF('数据-取费表'!B22&lt;=1,(C19+C20)*F24*F23/2,(C19+C20)*(POWER((1+F24),F23/2)-1)),0)</f>
        <v>737</v>
      </c>
      <c r="D23" s="2422"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3277" t="s">
        <v>1761</v>
      </c>
      <c r="L23" s="774" t="s">
        <v>1737</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5.0000000000000001E-4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-570</v>
      </c>
      <c r="K25" s="2400" t="s">
        <v>1767</v>
      </c>
      <c r="L25" s="2401"/>
      <c r="M25" s="2402"/>
    </row>
    <row r="26" spans="1:33" ht="18" customHeight="1">
      <c r="A26" s="1576" t="s">
        <v>1821</v>
      </c>
      <c r="B26" s="774" t="s">
        <v>2421</v>
      </c>
      <c r="C26" s="53">
        <f ca="1">ROUND((C19+C20)*F26,0)</f>
        <v>2327</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0.06</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19857</v>
      </c>
      <c r="D29" s="2397"/>
      <c r="E29" s="2398"/>
      <c r="F29" s="2399"/>
      <c r="G29" s="3258"/>
      <c r="H29" s="812" t="s">
        <v>1777</v>
      </c>
      <c r="I29" s="813" t="s">
        <v>1778</v>
      </c>
      <c r="J29" s="814">
        <f ca="1">ROUND(J26/(1+F40)^F41,0)</f>
        <v>0</v>
      </c>
      <c r="K29" s="815" t="s">
        <v>1779</v>
      </c>
      <c r="L29" s="816"/>
      <c r="M29" s="817">
        <f ca="1">INDIRECT("'数据-取费表'!k"&amp;$G$1)</f>
        <v>32206</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696</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189</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183.2</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3400</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5.8</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19244.52</v>
      </c>
      <c r="G35" s="1944"/>
      <c r="H35" s="1947"/>
      <c r="I35" s="826" t="s">
        <v>1804</v>
      </c>
      <c r="J35" s="827">
        <f ca="1">ROUND(C13*J36,0)</f>
        <v>1291</v>
      </c>
      <c r="K35" s="1960"/>
      <c r="L35" s="1959"/>
      <c r="M35" s="1959"/>
    </row>
    <row r="36" spans="1:18" ht="18" customHeight="1">
      <c r="A36" s="1577" t="s">
        <v>1879</v>
      </c>
      <c r="B36" s="774" t="s">
        <v>1792</v>
      </c>
      <c r="C36" s="53">
        <f ca="1">ROUND(C29*F36,1)</f>
        <v>397.1</v>
      </c>
      <c r="D36" s="3277" t="s">
        <v>1793</v>
      </c>
      <c r="E36" s="774" t="s">
        <v>1786</v>
      </c>
      <c r="F36" s="806">
        <f ca="1">INDIRECT("'数据-取费表'!Ak"&amp;$G$1)</f>
        <v>0.02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39.700000000000003</v>
      </c>
      <c r="D37" s="3277" t="s">
        <v>1794</v>
      </c>
      <c r="E37" s="774" t="s">
        <v>1786</v>
      </c>
      <c r="F37" s="807">
        <f ca="1">INDIRECT("'数据-取费表'!Al"&amp;$G$1)</f>
        <v>2E-3</v>
      </c>
      <c r="G37" s="1944"/>
      <c r="H37" s="1959"/>
      <c r="I37" s="830" t="s">
        <v>1806</v>
      </c>
      <c r="J37" s="831"/>
      <c r="K37" s="1963"/>
      <c r="L37" s="1959"/>
      <c r="M37" s="1959"/>
    </row>
    <row r="38" spans="1:18" ht="18" customHeight="1" thickBot="1">
      <c r="A38" s="2403" t="s">
        <v>1881</v>
      </c>
      <c r="B38" s="2398" t="s">
        <v>660</v>
      </c>
      <c r="C38" s="2396">
        <f ca="1">ROUND(C5*F38,1)</f>
        <v>70</v>
      </c>
      <c r="D38" s="2397" t="s">
        <v>1795</v>
      </c>
      <c r="E38" s="2398" t="s">
        <v>1786</v>
      </c>
      <c r="F38" s="2394">
        <f ca="1">INDIRECT("'数据-取费表'!Am"&amp;$G$1)</f>
        <v>0.02</v>
      </c>
      <c r="G38" s="1944"/>
      <c r="H38" s="1959"/>
      <c r="I38" s="832" t="s">
        <v>1807</v>
      </c>
      <c r="J38" s="833"/>
      <c r="K38" s="1964"/>
      <c r="L38" s="1959"/>
      <c r="M38" s="1959"/>
    </row>
    <row r="39" spans="1:18" ht="24.6" customHeight="1" thickTop="1">
      <c r="A39" s="1743" t="s">
        <v>1884</v>
      </c>
      <c r="B39" s="2722" t="s">
        <v>2801</v>
      </c>
      <c r="C39" s="782">
        <f ca="1">C5-C30</f>
        <v>2805</v>
      </c>
      <c r="D39" s="2400" t="s">
        <v>1796</v>
      </c>
      <c r="E39" s="2401"/>
      <c r="F39" s="2402"/>
      <c r="G39" s="1944"/>
      <c r="H39" s="1959"/>
      <c r="I39" s="826" t="s">
        <v>1808</v>
      </c>
      <c r="J39" s="834">
        <f ca="1">ROUND(J35/C39,3)</f>
        <v>0.46</v>
      </c>
      <c r="K39" s="1964"/>
      <c r="L39" s="1959"/>
      <c r="M39" s="1959"/>
    </row>
    <row r="40" spans="1:18" ht="18" customHeight="1">
      <c r="A40" s="771" t="s">
        <v>1885</v>
      </c>
      <c r="B40" s="2111" t="s">
        <v>2288</v>
      </c>
      <c r="C40" s="773">
        <f ca="1">ROUND(C39*(1-((1+F42)/(1+F40))^F41)/(F40-F42),0)</f>
        <v>42205</v>
      </c>
      <c r="D40" s="803" t="s">
        <v>1797</v>
      </c>
      <c r="E40" s="774" t="s">
        <v>2403</v>
      </c>
      <c r="F40" s="784">
        <f ca="1">INDIRECT("'数据-取费表'!I"&amp;$G$1)</f>
        <v>0.06</v>
      </c>
      <c r="G40" s="1944"/>
      <c r="H40" s="1944"/>
      <c r="I40" s="826" t="s">
        <v>1809</v>
      </c>
      <c r="J40" s="834">
        <f ca="1">1-J39</f>
        <v>0.54</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0.47</v>
      </c>
      <c r="K42" s="1963"/>
      <c r="L42" s="1899"/>
      <c r="M42" s="1899"/>
    </row>
    <row r="43" spans="1:18" ht="18" customHeight="1" thickBot="1">
      <c r="A43" s="812" t="s">
        <v>1777</v>
      </c>
      <c r="B43" s="813" t="s">
        <v>1800</v>
      </c>
      <c r="C43" s="814">
        <f ca="1">ROUND(C40*10000/F43,0)</f>
        <v>13105</v>
      </c>
      <c r="D43" s="815" t="s">
        <v>1801</v>
      </c>
      <c r="E43" s="816" t="s">
        <v>1802</v>
      </c>
      <c r="F43" s="817">
        <f ca="1">INDIRECT("'数据-取费表'!k"&amp;$G$1)</f>
        <v>32206</v>
      </c>
      <c r="G43" s="1944"/>
      <c r="H43" s="1899"/>
      <c r="I43" s="836" t="s">
        <v>1812</v>
      </c>
      <c r="J43" s="837">
        <f ca="1">1-J42</f>
        <v>0.53</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-48871</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3331</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42205</v>
      </c>
      <c r="R48" s="2253" t="s">
        <v>2364</v>
      </c>
    </row>
    <row r="49" spans="1:18" s="1941" customFormat="1" ht="18" customHeight="1" thickBot="1">
      <c r="A49" s="776"/>
      <c r="B49" s="777"/>
      <c r="C49" s="778"/>
      <c r="D49" s="779"/>
      <c r="E49" s="774" t="s">
        <v>1729</v>
      </c>
      <c r="F49" s="775">
        <f ca="1">F7</f>
        <v>32206</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19857</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28665</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570" t="s">
        <v>2927</v>
      </c>
      <c r="L53" s="357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42205</v>
      </c>
      <c r="R54" s="2257" t="s">
        <v>2376</v>
      </c>
    </row>
    <row r="55" spans="1:18" s="1941" customFormat="1" ht="18" customHeight="1" thickTop="1" thickBot="1">
      <c r="A55" s="787">
        <v>2</v>
      </c>
      <c r="B55" s="788" t="s">
        <v>638</v>
      </c>
      <c r="C55" s="789">
        <f ca="1">C13</f>
        <v>19857</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19857</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443</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42205</v>
      </c>
      <c r="R57" s="2253" t="s">
        <v>2364</v>
      </c>
    </row>
    <row r="58" spans="1:18" s="1941" customFormat="1" ht="28.5" customHeight="1" thickBot="1">
      <c r="A58" s="1577" t="s">
        <v>1814</v>
      </c>
      <c r="B58" s="774" t="s">
        <v>650</v>
      </c>
      <c r="C58" s="3018">
        <f ca="1">ROUND(IF(AND(项目基本情况!B11="自然人",项目基本情况!B10="北京市"),C48*F58/(1+'数据-取费表'!C42),C59+C60+C61),0)</f>
        <v>6</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5.8</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19244.52</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397.1</v>
      </c>
      <c r="D63" s="3277" t="s">
        <v>1793</v>
      </c>
      <c r="E63" s="774" t="s">
        <v>1737</v>
      </c>
      <c r="F63" s="806">
        <f t="shared" ca="1" si="0"/>
        <v>0.02</v>
      </c>
      <c r="I63" s="2823" t="s">
        <v>2354</v>
      </c>
      <c r="J63" s="2824">
        <v>70</v>
      </c>
      <c r="K63" s="2824">
        <v>50</v>
      </c>
      <c r="L63" s="2824">
        <v>80</v>
      </c>
      <c r="M63" s="2826">
        <v>0.02</v>
      </c>
      <c r="O63" s="2252" t="s">
        <v>2375</v>
      </c>
      <c r="P63" s="2253" t="s">
        <v>2392</v>
      </c>
      <c r="Q63" s="2254">
        <f ca="1">Q57+Q58</f>
        <v>42205</v>
      </c>
      <c r="R63" s="2257" t="s">
        <v>2376</v>
      </c>
    </row>
    <row r="64" spans="1:18" s="1941" customFormat="1" ht="16.5" thickBot="1">
      <c r="A64" s="1577" t="s">
        <v>1880</v>
      </c>
      <c r="B64" s="774" t="s">
        <v>673</v>
      </c>
      <c r="C64" s="53">
        <f ca="1">ROUND(C55*F64,1)</f>
        <v>39.700000000000003</v>
      </c>
      <c r="D64" s="3277" t="s">
        <v>674</v>
      </c>
      <c r="E64" s="774" t="s">
        <v>1737</v>
      </c>
      <c r="F64" s="807">
        <f t="shared" ca="1" si="0"/>
        <v>2E-3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-443</v>
      </c>
      <c r="D66" s="3278" t="s">
        <v>694</v>
      </c>
      <c r="E66" s="3282"/>
      <c r="F66" s="809"/>
      <c r="K66" s="1967"/>
      <c r="O66" s="2252" t="s">
        <v>2363</v>
      </c>
      <c r="P66" s="2253" t="s">
        <v>2393</v>
      </c>
      <c r="Q66" s="2254">
        <f ca="1">C40+J29</f>
        <v>42205</v>
      </c>
      <c r="R66" s="2253" t="s">
        <v>2364</v>
      </c>
    </row>
    <row r="67" spans="1:18" s="1941" customFormat="1" ht="20.25" thickBot="1">
      <c r="A67" s="771" t="s">
        <v>1770</v>
      </c>
      <c r="B67" s="2111" t="s">
        <v>2288</v>
      </c>
      <c r="C67" s="773">
        <f ca="1">ROUND(C66*(1-((1+F69)/(1+F67))^F68)/(F67-F69),0)</f>
        <v>-6666</v>
      </c>
      <c r="D67" s="803" t="s">
        <v>698</v>
      </c>
      <c r="E67" s="774" t="s">
        <v>699</v>
      </c>
      <c r="F67" s="784">
        <f ca="1">F40</f>
        <v>0.06</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28665</v>
      </c>
      <c r="R68" s="2260" t="s">
        <v>2400</v>
      </c>
    </row>
    <row r="69" spans="1:18" ht="20.25" thickBot="1">
      <c r="A69" s="780"/>
      <c r="B69" s="781"/>
      <c r="C69" s="782"/>
      <c r="D69" s="805"/>
      <c r="E69" s="774" t="s">
        <v>704</v>
      </c>
      <c r="F69" s="2225"/>
      <c r="O69" s="2255" t="s">
        <v>2368</v>
      </c>
      <c r="P69" s="2261" t="s">
        <v>2382</v>
      </c>
      <c r="Q69" s="2254">
        <f ca="1">ROUND(Q70-Q71*Q72,0)</f>
        <v>1514</v>
      </c>
      <c r="R69" s="2257"/>
    </row>
    <row r="70" spans="1:18" ht="15.75" thickBot="1">
      <c r="A70" s="812" t="s">
        <v>1777</v>
      </c>
      <c r="B70" s="813" t="s">
        <v>1800</v>
      </c>
      <c r="C70" s="814">
        <f ca="1">ROUND(C67*10000/F70,0)</f>
        <v>-2070</v>
      </c>
      <c r="D70" s="815" t="s">
        <v>1801</v>
      </c>
      <c r="E70" s="816" t="s">
        <v>1802</v>
      </c>
      <c r="F70" s="817">
        <f ca="1">F43</f>
        <v>32206</v>
      </c>
      <c r="O70" s="2255" t="s">
        <v>2383</v>
      </c>
      <c r="P70" s="2261" t="s">
        <v>2384</v>
      </c>
      <c r="Q70" s="2254">
        <f ca="1">C39</f>
        <v>2805</v>
      </c>
      <c r="R70" s="2253" t="s">
        <v>2364</v>
      </c>
    </row>
    <row r="71" spans="1:18" ht="15.75" thickBot="1">
      <c r="O71" s="2255" t="s">
        <v>2385</v>
      </c>
      <c r="P71" s="2261" t="s">
        <v>2386</v>
      </c>
      <c r="Q71" s="2254">
        <f ca="1">C13</f>
        <v>19857</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42205</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51" priority="6">
      <formula>$L$48&gt;$J$51</formula>
    </cfRule>
  </conditionalFormatting>
  <conditionalFormatting sqref="I55">
    <cfRule type="expression" dxfId="150" priority="7">
      <formula>$J$51&gt;$L$48</formula>
    </cfRule>
  </conditionalFormatting>
  <conditionalFormatting sqref="I60">
    <cfRule type="expression" dxfId="149" priority="5">
      <formula>$J$51&gt;$L$48</formula>
    </cfRule>
  </conditionalFormatting>
  <conditionalFormatting sqref="K60">
    <cfRule type="expression" dxfId="148" priority="4">
      <formula>$L$48&gt;$J$51</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3377</v>
      </c>
      <c r="D1" s="2797" t="s">
        <v>943</v>
      </c>
      <c r="E1" s="2241" t="s">
        <v>2358</v>
      </c>
      <c r="F1" s="2242">
        <f ca="1">J53</f>
        <v>40</v>
      </c>
      <c r="G1" s="3256">
        <f>MATCH(C1,'数据-取费表'!A6:A16,0)+5</f>
        <v>8</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16716</v>
      </c>
      <c r="C2" s="3261"/>
      <c r="D2" s="3262"/>
      <c r="E2" s="3263"/>
      <c r="F2" s="3263"/>
      <c r="G2" s="3257"/>
      <c r="H2" s="1939"/>
      <c r="I2" s="1939"/>
      <c r="J2" s="1939"/>
      <c r="K2" s="1940"/>
      <c r="L2" s="1939"/>
      <c r="M2" s="1939"/>
    </row>
    <row r="3" spans="1:33" ht="18" customHeight="1" thickBot="1">
      <c r="A3" s="822" t="s">
        <v>1717</v>
      </c>
      <c r="B3" s="823">
        <f ca="1">IF(ISERROR(B2*10000/F43),0,ROUND(B2*10000/F43,0))</f>
        <v>10068</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1444</v>
      </c>
      <c r="D5" s="2348" t="s">
        <v>2442</v>
      </c>
      <c r="E5" s="2342"/>
      <c r="F5" s="2343"/>
      <c r="G5" s="1944"/>
      <c r="H5" s="771">
        <v>1</v>
      </c>
      <c r="I5" s="772" t="s">
        <v>2439</v>
      </c>
      <c r="J5" s="55">
        <f ca="1">J6+J10+J12</f>
        <v>0</v>
      </c>
      <c r="K5" s="2348" t="s">
        <v>2442</v>
      </c>
      <c r="L5" s="2342"/>
      <c r="M5" s="2343"/>
    </row>
    <row r="6" spans="1:33" ht="18" customHeight="1">
      <c r="A6" s="1744" t="s">
        <v>1814</v>
      </c>
      <c r="B6" s="3543" t="s">
        <v>2444</v>
      </c>
      <c r="C6" s="773">
        <f ca="1">ROUND(F6*F8*F7*(1-F9)/10000,0)</f>
        <v>1442</v>
      </c>
      <c r="D6" s="2349" t="s">
        <v>2443</v>
      </c>
      <c r="E6" s="774" t="s">
        <v>1728</v>
      </c>
      <c r="F6" s="775">
        <f ca="1">INDIRECT("'数据-取费表'!u"&amp;$G$1)</f>
        <v>2.8</v>
      </c>
      <c r="G6" s="1944"/>
      <c r="H6" s="2356" t="s">
        <v>2449</v>
      </c>
      <c r="I6" s="3543" t="s">
        <v>2444</v>
      </c>
      <c r="J6" s="773">
        <f ca="1">ROUND(M6*M8*M7*(1-M9)/10000,0)</f>
        <v>0</v>
      </c>
      <c r="K6" s="339" t="s">
        <v>1727</v>
      </c>
      <c r="L6" s="774" t="s">
        <v>1728</v>
      </c>
      <c r="M6" s="775">
        <f ca="1">INDIRECT("'数据-取费表'!z"&amp;$G$1)</f>
        <v>0</v>
      </c>
    </row>
    <row r="7" spans="1:33" ht="18" customHeight="1">
      <c r="A7" s="2352"/>
      <c r="B7" s="3544"/>
      <c r="C7" s="778"/>
      <c r="D7" s="779"/>
      <c r="E7" s="774" t="s">
        <v>1729</v>
      </c>
      <c r="F7" s="775">
        <f ca="1">IF(INDIRECT("'数据-取费表'!ah"&amp;$G$1)="",INDIRECT("'数据-取费表'!k"&amp;$G$1),INDIRECT("'数据-取费表'!ah"&amp;$G$1))</f>
        <v>16603</v>
      </c>
      <c r="G7" s="1944"/>
      <c r="H7" s="2341"/>
      <c r="I7" s="3544"/>
      <c r="J7" s="778"/>
      <c r="K7" s="779"/>
      <c r="L7" s="774" t="s">
        <v>1729</v>
      </c>
      <c r="M7" s="775">
        <f ca="1">F7</f>
        <v>16603</v>
      </c>
    </row>
    <row r="8" spans="1:33" ht="18" customHeight="1">
      <c r="A8" s="2345"/>
      <c r="B8" s="3545"/>
      <c r="C8" s="778"/>
      <c r="D8" s="779"/>
      <c r="E8" s="774" t="s">
        <v>1730</v>
      </c>
      <c r="F8" s="775">
        <f ca="1">INDIRECT("'数据-取费表'!ai"&amp;$G$1)</f>
        <v>365</v>
      </c>
      <c r="G8" s="1944"/>
      <c r="H8" s="2341"/>
      <c r="I8" s="3545"/>
      <c r="J8" s="778"/>
      <c r="K8" s="779"/>
      <c r="L8" s="774" t="s">
        <v>1730</v>
      </c>
      <c r="M8" s="775">
        <f ca="1">INDIRECT("'数据-取费表'!ai"&amp;$G$1)</f>
        <v>365</v>
      </c>
    </row>
    <row r="9" spans="1:33" ht="18" customHeight="1">
      <c r="A9" s="776"/>
      <c r="B9" s="3546"/>
      <c r="C9" s="778"/>
      <c r="D9" s="779"/>
      <c r="E9" s="774" t="s">
        <v>1731</v>
      </c>
      <c r="F9" s="784">
        <f ca="1">INDIRECT("'数据-取费表'!w"&amp;$G$1)</f>
        <v>0.15</v>
      </c>
      <c r="G9" s="1944"/>
      <c r="H9" s="2357"/>
      <c r="I9" s="3545"/>
      <c r="J9" s="778"/>
      <c r="K9" s="779"/>
      <c r="L9" s="785" t="s">
        <v>1731</v>
      </c>
      <c r="M9" s="786">
        <f ca="1">INDIRECT("'数据-取费表'!ab"&amp;$G$1)</f>
        <v>0</v>
      </c>
    </row>
    <row r="10" spans="1:33" ht="18" customHeight="1">
      <c r="A10" s="1744" t="s">
        <v>2447</v>
      </c>
      <c r="B10" s="2346" t="s">
        <v>2440</v>
      </c>
      <c r="C10" s="789">
        <f ca="1">ROUND(IF(F10="押一",C6/12*F11,IF(F10="押二",C6/12*2*F11,IF(F10="押三",C6/12*3*F11,C11*F11))),0)</f>
        <v>2</v>
      </c>
      <c r="D10" s="2353" t="s">
        <v>2934</v>
      </c>
      <c r="E10" s="2350" t="s">
        <v>2445</v>
      </c>
      <c r="F10" s="2464" t="s">
        <v>3401</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10236</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6868</v>
      </c>
      <c r="D14" s="3278" t="s">
        <v>1735</v>
      </c>
      <c r="E14" s="3279"/>
      <c r="F14" s="795"/>
      <c r="G14" s="1944"/>
      <c r="H14" s="1577" t="s">
        <v>1820</v>
      </c>
      <c r="I14" s="2110" t="s">
        <v>2804</v>
      </c>
      <c r="J14" s="53">
        <f ca="1">C29</f>
        <v>10236</v>
      </c>
      <c r="K14" s="26"/>
      <c r="L14" s="791"/>
      <c r="M14" s="792"/>
    </row>
    <row r="15" spans="1:33" s="1946" customFormat="1" ht="18" customHeight="1" thickBot="1">
      <c r="A15" s="1576" t="s">
        <v>1875</v>
      </c>
      <c r="B15" s="774" t="s">
        <v>641</v>
      </c>
      <c r="C15" s="53">
        <f ca="1">ROUND(C14*F15,0)</f>
        <v>343</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294</v>
      </c>
      <c r="K16" s="1735" t="s">
        <v>1740</v>
      </c>
      <c r="L16" s="3280"/>
      <c r="M16" s="2343"/>
    </row>
    <row r="17" spans="1:33" s="1946" customFormat="1" ht="18" customHeight="1">
      <c r="A17" s="1576" t="s">
        <v>1877</v>
      </c>
      <c r="B17" s="774" t="s">
        <v>647</v>
      </c>
      <c r="C17" s="53">
        <f ca="1">ROUND(F17*(F43+INDIRECT("'数据-取费表'!S"&amp;$G$1))/10000,0)</f>
        <v>604</v>
      </c>
      <c r="D17" s="774" t="s">
        <v>1741</v>
      </c>
      <c r="E17" s="774" t="s">
        <v>1742</v>
      </c>
      <c r="F17" s="56">
        <f>'数据-取费表'!B35</f>
        <v>350</v>
      </c>
      <c r="G17" s="3258"/>
      <c r="H17" s="1577" t="s">
        <v>1820</v>
      </c>
      <c r="I17" s="774" t="s">
        <v>650</v>
      </c>
      <c r="J17" s="3018">
        <f ca="1">ROUND(IF(AND(项目基本情况!B11="自然人",项目基本情况!B10="北京市"),J6*M17/(1+'数据-取费表'!C42),J18+J19+J20),0)</f>
        <v>89</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103</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7918</v>
      </c>
      <c r="D19" s="259" t="s">
        <v>1747</v>
      </c>
      <c r="E19" s="3283"/>
      <c r="F19" s="56"/>
      <c r="G19" s="1944"/>
      <c r="H19" s="1576" t="s">
        <v>1875</v>
      </c>
      <c r="I19" s="774" t="s">
        <v>1748</v>
      </c>
      <c r="J19" s="53">
        <f ca="1">IF(K19="按租金收入计税",ROUND(J6*M19/(1+'数据-取费表'!C42),1),ROUND(C29*F33*0.7,1))</f>
        <v>86</v>
      </c>
      <c r="K19" s="800" t="s">
        <v>659</v>
      </c>
      <c r="L19" s="774" t="s">
        <v>1737</v>
      </c>
      <c r="M19" s="799">
        <f>IF(K19="按租金收入计税",'数据-取费表'!B51,'数据-取费表'!B50)</f>
        <v>1.2E-2</v>
      </c>
    </row>
    <row r="20" spans="1:33" s="1946" customFormat="1" ht="18" customHeight="1">
      <c r="A20" s="1577" t="s">
        <v>1879</v>
      </c>
      <c r="B20" s="774" t="s">
        <v>660</v>
      </c>
      <c r="C20" s="53">
        <f ca="1">ROUND(C19*F20,0)</f>
        <v>79</v>
      </c>
      <c r="D20" s="801" t="s">
        <v>1749</v>
      </c>
      <c r="E20" s="774" t="s">
        <v>1737</v>
      </c>
      <c r="F20" s="799">
        <f>'数据-取费表'!B37</f>
        <v>0.01</v>
      </c>
      <c r="G20" s="3258"/>
      <c r="H20" s="1579" t="s">
        <v>1870</v>
      </c>
      <c r="I20" s="339" t="s">
        <v>1750</v>
      </c>
      <c r="J20" s="54">
        <f ca="1">ROUND(M20*M21/10000,0)</f>
        <v>3</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9921.0300000000007</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205</v>
      </c>
      <c r="K22" s="3277" t="s">
        <v>1759</v>
      </c>
      <c r="L22" s="774" t="s">
        <v>1737</v>
      </c>
      <c r="M22" s="806">
        <f ca="1">INDIRECT("'数据-取费表'!Ak"&amp;$G$1)</f>
        <v>0.02</v>
      </c>
    </row>
    <row r="23" spans="1:33" s="1946" customFormat="1" ht="18" customHeight="1">
      <c r="A23" s="1576" t="s">
        <v>1821</v>
      </c>
      <c r="B23" s="774" t="s">
        <v>2516</v>
      </c>
      <c r="C23" s="53">
        <f ca="1">ROUND(IF('数据-取费表'!B22&lt;=1,(C19+C20)*F24*F23/2,(C19+C20)*(POWER((1+F24),F23/2)-1)),0)</f>
        <v>380</v>
      </c>
      <c r="D23" s="2422"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3277" t="s">
        <v>1761</v>
      </c>
      <c r="L23" s="774" t="s">
        <v>1737</v>
      </c>
      <c r="M23" s="807">
        <f ca="1">INDIRECT("'数据-取费表'!Al"&amp;$G$1)</f>
        <v>2E-3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5.0000000000000001E-4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0.02</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-294</v>
      </c>
      <c r="K25" s="2400" t="s">
        <v>1767</v>
      </c>
      <c r="L25" s="2401"/>
      <c r="M25" s="2402"/>
    </row>
    <row r="26" spans="1:33" ht="18" customHeight="1">
      <c r="A26" s="1576" t="s">
        <v>1821</v>
      </c>
      <c r="B26" s="774" t="s">
        <v>2421</v>
      </c>
      <c r="C26" s="53">
        <f ca="1">ROUND((C19+C20)*F26,0)</f>
        <v>1200</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0.06</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10236</v>
      </c>
      <c r="D29" s="2397"/>
      <c r="E29" s="2398"/>
      <c r="F29" s="2399"/>
      <c r="G29" s="3258"/>
      <c r="H29" s="812" t="s">
        <v>1777</v>
      </c>
      <c r="I29" s="813" t="s">
        <v>1778</v>
      </c>
      <c r="J29" s="814">
        <f ca="1">ROUND(J26/(1+F40)^F41,0)</f>
        <v>0</v>
      </c>
      <c r="K29" s="815" t="s">
        <v>1779</v>
      </c>
      <c r="L29" s="816"/>
      <c r="M29" s="817">
        <f ca="1">INDIRECT("'数据-取费表'!k"&amp;$G$1)</f>
        <v>16603</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333</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79</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75.5</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3400</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3</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9921.0300000000007</v>
      </c>
      <c r="G35" s="1944"/>
      <c r="H35" s="1947"/>
      <c r="I35" s="826" t="s">
        <v>1804</v>
      </c>
      <c r="J35" s="827">
        <f ca="1">ROUND(C13*J36,0)</f>
        <v>665</v>
      </c>
      <c r="K35" s="1960"/>
      <c r="L35" s="1959"/>
      <c r="M35" s="1959"/>
    </row>
    <row r="36" spans="1:18" ht="18" customHeight="1">
      <c r="A36" s="1577" t="s">
        <v>1879</v>
      </c>
      <c r="B36" s="774" t="s">
        <v>1792</v>
      </c>
      <c r="C36" s="53">
        <f ca="1">ROUND(C29*F36,1)</f>
        <v>204.7</v>
      </c>
      <c r="D36" s="3277" t="s">
        <v>1793</v>
      </c>
      <c r="E36" s="774" t="s">
        <v>1786</v>
      </c>
      <c r="F36" s="806">
        <f ca="1">INDIRECT("'数据-取费表'!Ak"&amp;$G$1)</f>
        <v>0.02</v>
      </c>
      <c r="G36" s="1944"/>
      <c r="H36" s="1959"/>
      <c r="I36" s="828" t="s">
        <v>1805</v>
      </c>
      <c r="J36" s="829">
        <f ca="1">INDIRECT("'数据-取费表'!j"&amp;$G$1)</f>
        <v>6.5000000000000002E-2</v>
      </c>
      <c r="K36" s="1963"/>
      <c r="L36" s="1959"/>
      <c r="M36" s="1959"/>
    </row>
    <row r="37" spans="1:18" ht="18" customHeight="1">
      <c r="A37" s="1577" t="s">
        <v>1880</v>
      </c>
      <c r="B37" s="774" t="s">
        <v>673</v>
      </c>
      <c r="C37" s="53">
        <f ca="1">ROUND(C13*F37,1)</f>
        <v>20.5</v>
      </c>
      <c r="D37" s="3277" t="s">
        <v>1794</v>
      </c>
      <c r="E37" s="774" t="s">
        <v>1786</v>
      </c>
      <c r="F37" s="807">
        <f ca="1">INDIRECT("'数据-取费表'!Al"&amp;$G$1)</f>
        <v>2E-3</v>
      </c>
      <c r="G37" s="1944"/>
      <c r="H37" s="1959"/>
      <c r="I37" s="830" t="s">
        <v>1806</v>
      </c>
      <c r="J37" s="831"/>
      <c r="K37" s="1963"/>
      <c r="L37" s="1959"/>
      <c r="M37" s="1959"/>
    </row>
    <row r="38" spans="1:18" ht="18" customHeight="1" thickBot="1">
      <c r="A38" s="2403" t="s">
        <v>1881</v>
      </c>
      <c r="B38" s="2398" t="s">
        <v>660</v>
      </c>
      <c r="C38" s="2396">
        <f ca="1">ROUND(C5*F38,1)</f>
        <v>28.9</v>
      </c>
      <c r="D38" s="2397" t="s">
        <v>1795</v>
      </c>
      <c r="E38" s="2398" t="s">
        <v>1786</v>
      </c>
      <c r="F38" s="2394">
        <f ca="1">INDIRECT("'数据-取费表'!Am"&amp;$G$1)</f>
        <v>0.02</v>
      </c>
      <c r="G38" s="1944"/>
      <c r="H38" s="1959"/>
      <c r="I38" s="832" t="s">
        <v>1807</v>
      </c>
      <c r="J38" s="833"/>
      <c r="K38" s="1964"/>
      <c r="L38" s="1959"/>
      <c r="M38" s="1959"/>
    </row>
    <row r="39" spans="1:18" ht="24.6" customHeight="1" thickTop="1">
      <c r="A39" s="1743" t="s">
        <v>1884</v>
      </c>
      <c r="B39" s="2722" t="s">
        <v>2801</v>
      </c>
      <c r="C39" s="782">
        <f ca="1">C5-C30</f>
        <v>1111</v>
      </c>
      <c r="D39" s="2400" t="s">
        <v>1796</v>
      </c>
      <c r="E39" s="2401"/>
      <c r="F39" s="2402"/>
      <c r="G39" s="1944"/>
      <c r="H39" s="1959"/>
      <c r="I39" s="826" t="s">
        <v>1808</v>
      </c>
      <c r="J39" s="834">
        <f ca="1">ROUND(J35/C39,3)</f>
        <v>0.59899999999999998</v>
      </c>
      <c r="K39" s="1964"/>
      <c r="L39" s="1959"/>
      <c r="M39" s="1959"/>
    </row>
    <row r="40" spans="1:18" ht="18" customHeight="1">
      <c r="A40" s="771" t="s">
        <v>1885</v>
      </c>
      <c r="B40" s="2111" t="s">
        <v>2288</v>
      </c>
      <c r="C40" s="773">
        <f ca="1">ROUND(C39*(1-((1+F42)/(1+F40))^F41)/(F40-F42),0)</f>
        <v>16716</v>
      </c>
      <c r="D40" s="803" t="s">
        <v>1797</v>
      </c>
      <c r="E40" s="774" t="s">
        <v>2403</v>
      </c>
      <c r="F40" s="784">
        <f ca="1">INDIRECT("'数据-取费表'!I"&amp;$G$1)</f>
        <v>0.06</v>
      </c>
      <c r="G40" s="1944"/>
      <c r="H40" s="1944"/>
      <c r="I40" s="826" t="s">
        <v>1809</v>
      </c>
      <c r="J40" s="834">
        <f ca="1">1-J39</f>
        <v>0.40100000000000002</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0.61199999999999999</v>
      </c>
      <c r="K42" s="1963"/>
      <c r="L42" s="1899"/>
      <c r="M42" s="1899"/>
    </row>
    <row r="43" spans="1:18" ht="18" customHeight="1" thickBot="1">
      <c r="A43" s="812" t="s">
        <v>1777</v>
      </c>
      <c r="B43" s="813" t="s">
        <v>1800</v>
      </c>
      <c r="C43" s="814">
        <f ca="1">ROUND(C40*10000/F43,0)</f>
        <v>10068</v>
      </c>
      <c r="D43" s="815" t="s">
        <v>1801</v>
      </c>
      <c r="E43" s="816" t="s">
        <v>1802</v>
      </c>
      <c r="F43" s="817">
        <f ca="1">INDIRECT("'数据-取费表'!k"&amp;$G$1)</f>
        <v>16603</v>
      </c>
      <c r="G43" s="1944"/>
      <c r="H43" s="1899"/>
      <c r="I43" s="836" t="s">
        <v>1812</v>
      </c>
      <c r="J43" s="837">
        <f ca="1">1-J42</f>
        <v>0.38800000000000001</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-20147</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3331</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16716</v>
      </c>
      <c r="R48" s="2253" t="s">
        <v>2364</v>
      </c>
    </row>
    <row r="49" spans="1:18" s="1941" customFormat="1" ht="18" customHeight="1" thickBot="1">
      <c r="A49" s="776"/>
      <c r="B49" s="777"/>
      <c r="C49" s="778"/>
      <c r="D49" s="779"/>
      <c r="E49" s="774" t="s">
        <v>1729</v>
      </c>
      <c r="F49" s="775">
        <f ca="1">F7</f>
        <v>16603</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10236</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8436</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570" t="s">
        <v>2927</v>
      </c>
      <c r="L53" s="357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16716</v>
      </c>
      <c r="R54" s="2257" t="s">
        <v>2376</v>
      </c>
    </row>
    <row r="55" spans="1:18" s="1941" customFormat="1" ht="18" customHeight="1" thickTop="1" thickBot="1">
      <c r="A55" s="787">
        <v>2</v>
      </c>
      <c r="B55" s="788" t="s">
        <v>638</v>
      </c>
      <c r="C55" s="789">
        <f ca="1">C13</f>
        <v>10236</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10236</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228</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16716</v>
      </c>
      <c r="R57" s="2253" t="s">
        <v>2364</v>
      </c>
    </row>
    <row r="58" spans="1:18" s="1941" customFormat="1" ht="28.5" customHeight="1" thickBot="1">
      <c r="A58" s="1577" t="s">
        <v>1814</v>
      </c>
      <c r="B58" s="774" t="s">
        <v>650</v>
      </c>
      <c r="C58" s="3018">
        <f ca="1">ROUND(IF(AND(项目基本情况!B11="自然人",项目基本情况!B10="北京市"),C48*F58/(1+'数据-取费表'!C42),C59+C60+C61),0)</f>
        <v>3</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3</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9921.0300000000007</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204.7</v>
      </c>
      <c r="D63" s="3277" t="s">
        <v>1793</v>
      </c>
      <c r="E63" s="774" t="s">
        <v>1737</v>
      </c>
      <c r="F63" s="806">
        <f t="shared" ca="1" si="0"/>
        <v>0.02</v>
      </c>
      <c r="I63" s="2823" t="s">
        <v>2354</v>
      </c>
      <c r="J63" s="2824">
        <v>70</v>
      </c>
      <c r="K63" s="2824">
        <v>50</v>
      </c>
      <c r="L63" s="2824">
        <v>80</v>
      </c>
      <c r="M63" s="2826">
        <v>0.02</v>
      </c>
      <c r="O63" s="2252" t="s">
        <v>2375</v>
      </c>
      <c r="P63" s="2253" t="s">
        <v>2392</v>
      </c>
      <c r="Q63" s="2254">
        <f ca="1">Q57+Q58</f>
        <v>16716</v>
      </c>
      <c r="R63" s="2257" t="s">
        <v>2376</v>
      </c>
    </row>
    <row r="64" spans="1:18" s="1941" customFormat="1" ht="16.5" thickBot="1">
      <c r="A64" s="1577" t="s">
        <v>1880</v>
      </c>
      <c r="B64" s="774" t="s">
        <v>673</v>
      </c>
      <c r="C64" s="53">
        <f ca="1">ROUND(C55*F64,1)</f>
        <v>20.5</v>
      </c>
      <c r="D64" s="3277" t="s">
        <v>674</v>
      </c>
      <c r="E64" s="774" t="s">
        <v>1737</v>
      </c>
      <c r="F64" s="807">
        <f t="shared" ca="1" si="0"/>
        <v>2E-3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0.02</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-228</v>
      </c>
      <c r="D66" s="3278" t="s">
        <v>694</v>
      </c>
      <c r="E66" s="3282"/>
      <c r="F66" s="809"/>
      <c r="K66" s="1967"/>
      <c r="O66" s="2252" t="s">
        <v>2363</v>
      </c>
      <c r="P66" s="2253" t="s">
        <v>2393</v>
      </c>
      <c r="Q66" s="2254">
        <f ca="1">C40+J29</f>
        <v>16716</v>
      </c>
      <c r="R66" s="2253" t="s">
        <v>2364</v>
      </c>
    </row>
    <row r="67" spans="1:18" s="1941" customFormat="1" ht="20.25" thickBot="1">
      <c r="A67" s="771" t="s">
        <v>1770</v>
      </c>
      <c r="B67" s="2111" t="s">
        <v>2288</v>
      </c>
      <c r="C67" s="773">
        <f ca="1">ROUND(C66*(1-((1+F69)/(1+F67))^F68)/(F67-F69),0)</f>
        <v>-3431</v>
      </c>
      <c r="D67" s="803" t="s">
        <v>698</v>
      </c>
      <c r="E67" s="774" t="s">
        <v>699</v>
      </c>
      <c r="F67" s="784">
        <f ca="1">F40</f>
        <v>0.06</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8436</v>
      </c>
      <c r="R68" s="2260" t="s">
        <v>2400</v>
      </c>
    </row>
    <row r="69" spans="1:18" ht="20.25" thickBot="1">
      <c r="A69" s="780"/>
      <c r="B69" s="781"/>
      <c r="C69" s="782"/>
      <c r="D69" s="805"/>
      <c r="E69" s="774" t="s">
        <v>704</v>
      </c>
      <c r="F69" s="2225"/>
      <c r="O69" s="2255" t="s">
        <v>2368</v>
      </c>
      <c r="P69" s="2261" t="s">
        <v>2382</v>
      </c>
      <c r="Q69" s="2254">
        <f ca="1">ROUND(Q70-Q71*Q72,0)</f>
        <v>446</v>
      </c>
      <c r="R69" s="2257"/>
    </row>
    <row r="70" spans="1:18" ht="15.75" thickBot="1">
      <c r="A70" s="812" t="s">
        <v>1777</v>
      </c>
      <c r="B70" s="813" t="s">
        <v>1800</v>
      </c>
      <c r="C70" s="814">
        <f ca="1">ROUND(C67*10000/F70,0)</f>
        <v>-2066</v>
      </c>
      <c r="D70" s="815" t="s">
        <v>1801</v>
      </c>
      <c r="E70" s="816" t="s">
        <v>1802</v>
      </c>
      <c r="F70" s="817">
        <f ca="1">F43</f>
        <v>16603</v>
      </c>
      <c r="O70" s="2255" t="s">
        <v>2383</v>
      </c>
      <c r="P70" s="2261" t="s">
        <v>2384</v>
      </c>
      <c r="Q70" s="2254">
        <f ca="1">C39</f>
        <v>1111</v>
      </c>
      <c r="R70" s="2253" t="s">
        <v>2364</v>
      </c>
    </row>
    <row r="71" spans="1:18" ht="15.75" thickBot="1">
      <c r="O71" s="2255" t="s">
        <v>2385</v>
      </c>
      <c r="P71" s="2261" t="s">
        <v>2386</v>
      </c>
      <c r="Q71" s="2254">
        <f ca="1">C13</f>
        <v>10236</v>
      </c>
      <c r="R71" s="2253" t="s">
        <v>2364</v>
      </c>
    </row>
    <row r="72" spans="1:18" ht="15.75" thickBot="1">
      <c r="O72" s="2255" t="s">
        <v>2387</v>
      </c>
      <c r="P72" s="2261" t="s">
        <v>2388</v>
      </c>
      <c r="Q72" s="2256">
        <f ca="1">J36</f>
        <v>6.5000000000000002E-2</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16716</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44" priority="6">
      <formula>$L$48&gt;$J$51</formula>
    </cfRule>
  </conditionalFormatting>
  <conditionalFormatting sqref="I55">
    <cfRule type="expression" dxfId="143" priority="7">
      <formula>$J$51&gt;$L$48</formula>
    </cfRule>
  </conditionalFormatting>
  <conditionalFormatting sqref="I60">
    <cfRule type="expression" dxfId="142" priority="5">
      <formula>$J$51&gt;$L$48</formula>
    </cfRule>
  </conditionalFormatting>
  <conditionalFormatting sqref="K60">
    <cfRule type="expression" dxfId="141" priority="4">
      <formula>$L$48&gt;$J$51</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3">
    <cfRule type="expression" dxfId="13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8"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1668</v>
      </c>
      <c r="D1" s="2797" t="s">
        <v>943</v>
      </c>
      <c r="E1" s="2241" t="s">
        <v>2358</v>
      </c>
      <c r="F1" s="2242">
        <f ca="1">J53</f>
        <v>40</v>
      </c>
      <c r="G1" s="3256">
        <f>MATCH(C1,'数据-取费表'!A6:A16,0)+5</f>
        <v>9</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30818</v>
      </c>
      <c r="C2" s="3261"/>
      <c r="D2" s="3262"/>
      <c r="E2" s="3263"/>
      <c r="F2" s="3263"/>
      <c r="G2" s="3257"/>
      <c r="H2" s="1939"/>
      <c r="I2" s="1939"/>
      <c r="J2" s="1939"/>
      <c r="K2" s="1940"/>
      <c r="L2" s="1939"/>
      <c r="M2" s="1939"/>
    </row>
    <row r="3" spans="1:33" ht="18" customHeight="1" thickBot="1">
      <c r="A3" s="822" t="s">
        <v>1717</v>
      </c>
      <c r="B3" s="823">
        <f ca="1">IF(ISERROR(B2*10000/F43),0,ROUND(B2*10000/F43,0))</f>
        <v>12036</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2106</v>
      </c>
      <c r="D5" s="2348" t="s">
        <v>2442</v>
      </c>
      <c r="E5" s="2342"/>
      <c r="F5" s="2343"/>
      <c r="G5" s="1944"/>
      <c r="H5" s="771">
        <v>1</v>
      </c>
      <c r="I5" s="772" t="s">
        <v>2439</v>
      </c>
      <c r="J5" s="55">
        <f ca="1">J6+J10+J12</f>
        <v>0</v>
      </c>
      <c r="K5" s="2348" t="s">
        <v>2442</v>
      </c>
      <c r="L5" s="2342"/>
      <c r="M5" s="2343"/>
    </row>
    <row r="6" spans="1:33" ht="18" customHeight="1">
      <c r="A6" s="1744" t="s">
        <v>1814</v>
      </c>
      <c r="B6" s="3543" t="s">
        <v>2444</v>
      </c>
      <c r="C6" s="773">
        <f ca="1">ROUND(F6*F8*F7*(1-F9)/10000,0)</f>
        <v>2103</v>
      </c>
      <c r="D6" s="2349" t="s">
        <v>2443</v>
      </c>
      <c r="E6" s="774" t="s">
        <v>1728</v>
      </c>
      <c r="F6" s="775">
        <f ca="1">INDIRECT("'数据-取费表'!u"&amp;$G$1)</f>
        <v>2.5</v>
      </c>
      <c r="G6" s="1944"/>
      <c r="H6" s="2356" t="s">
        <v>2449</v>
      </c>
      <c r="I6" s="3543" t="s">
        <v>2444</v>
      </c>
      <c r="J6" s="773">
        <f ca="1">ROUND(M6*M8*M7*(1-M9)/10000,0)</f>
        <v>0</v>
      </c>
      <c r="K6" s="339" t="s">
        <v>1727</v>
      </c>
      <c r="L6" s="774" t="s">
        <v>1728</v>
      </c>
      <c r="M6" s="775">
        <f ca="1">INDIRECT("'数据-取费表'!z"&amp;$G$1)</f>
        <v>0</v>
      </c>
    </row>
    <row r="7" spans="1:33" ht="18" customHeight="1">
      <c r="A7" s="2352"/>
      <c r="B7" s="3544"/>
      <c r="C7" s="778"/>
      <c r="D7" s="779"/>
      <c r="E7" s="774" t="s">
        <v>1729</v>
      </c>
      <c r="F7" s="775">
        <f ca="1">IF(INDIRECT("'数据-取费表'!ah"&amp;$G$1)="",INDIRECT("'数据-取费表'!k"&amp;$G$1),INDIRECT("'数据-取费表'!ah"&amp;$G$1))</f>
        <v>25604</v>
      </c>
      <c r="G7" s="1944"/>
      <c r="H7" s="2341"/>
      <c r="I7" s="3544"/>
      <c r="J7" s="778"/>
      <c r="K7" s="779"/>
      <c r="L7" s="774" t="s">
        <v>1729</v>
      </c>
      <c r="M7" s="775">
        <f ca="1">F7</f>
        <v>25604</v>
      </c>
    </row>
    <row r="8" spans="1:33" ht="18" customHeight="1">
      <c r="A8" s="2345"/>
      <c r="B8" s="3545"/>
      <c r="C8" s="778"/>
      <c r="D8" s="779"/>
      <c r="E8" s="774" t="s">
        <v>1730</v>
      </c>
      <c r="F8" s="775">
        <f ca="1">INDIRECT("'数据-取费表'!ai"&amp;$G$1)</f>
        <v>365</v>
      </c>
      <c r="G8" s="1944"/>
      <c r="H8" s="2341"/>
      <c r="I8" s="3545"/>
      <c r="J8" s="778"/>
      <c r="K8" s="779"/>
      <c r="L8" s="774" t="s">
        <v>1730</v>
      </c>
      <c r="M8" s="775">
        <f ca="1">INDIRECT("'数据-取费表'!ai"&amp;$G$1)</f>
        <v>365</v>
      </c>
    </row>
    <row r="9" spans="1:33" ht="18" customHeight="1">
      <c r="A9" s="776"/>
      <c r="B9" s="3546"/>
      <c r="C9" s="778"/>
      <c r="D9" s="779"/>
      <c r="E9" s="774" t="s">
        <v>1731</v>
      </c>
      <c r="F9" s="784">
        <f ca="1">INDIRECT("'数据-取费表'!w"&amp;$G$1)</f>
        <v>0.1</v>
      </c>
      <c r="G9" s="1944"/>
      <c r="H9" s="2357"/>
      <c r="I9" s="3545"/>
      <c r="J9" s="778"/>
      <c r="K9" s="779"/>
      <c r="L9" s="785" t="s">
        <v>1731</v>
      </c>
      <c r="M9" s="786">
        <f ca="1">INDIRECT("'数据-取费表'!ab"&amp;$G$1)</f>
        <v>0</v>
      </c>
    </row>
    <row r="10" spans="1:33" ht="18" customHeight="1">
      <c r="A10" s="1744" t="s">
        <v>2447</v>
      </c>
      <c r="B10" s="2346" t="s">
        <v>2440</v>
      </c>
      <c r="C10" s="789">
        <f ca="1">ROUND(IF(F10="押一",C6/12*F11,IF(F10="押二",C6/12*2*F11,IF(F10="押三",C6/12*3*F11,C11*F11))),0)</f>
        <v>3</v>
      </c>
      <c r="D10" s="2353" t="s">
        <v>2934</v>
      </c>
      <c r="E10" s="2350" t="s">
        <v>2445</v>
      </c>
      <c r="F10" s="2464" t="s">
        <v>3401</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15788</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10593</v>
      </c>
      <c r="D14" s="3278" t="s">
        <v>1735</v>
      </c>
      <c r="E14" s="3279"/>
      <c r="F14" s="795"/>
      <c r="G14" s="1944"/>
      <c r="H14" s="1577" t="s">
        <v>1820</v>
      </c>
      <c r="I14" s="2110" t="s">
        <v>2804</v>
      </c>
      <c r="J14" s="53">
        <f ca="1">C29</f>
        <v>15788</v>
      </c>
      <c r="K14" s="26"/>
      <c r="L14" s="791"/>
      <c r="M14" s="792"/>
    </row>
    <row r="15" spans="1:33" s="1946" customFormat="1" ht="18" customHeight="1" thickBot="1">
      <c r="A15" s="1576" t="s">
        <v>1875</v>
      </c>
      <c r="B15" s="774" t="s">
        <v>641</v>
      </c>
      <c r="C15" s="53">
        <f ca="1">ROUND(C14*F15,0)</f>
        <v>530</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296</v>
      </c>
      <c r="K16" s="1735" t="s">
        <v>1740</v>
      </c>
      <c r="L16" s="3280"/>
      <c r="M16" s="2343"/>
    </row>
    <row r="17" spans="1:33" s="1946" customFormat="1" ht="18" customHeight="1">
      <c r="A17" s="1576" t="s">
        <v>1877</v>
      </c>
      <c r="B17" s="774" t="s">
        <v>647</v>
      </c>
      <c r="C17" s="53">
        <f ca="1">ROUND(F17*(F43+INDIRECT("'数据-取费表'!S"&amp;$G$1))/10000,0)</f>
        <v>931</v>
      </c>
      <c r="D17" s="774" t="s">
        <v>1741</v>
      </c>
      <c r="E17" s="774" t="s">
        <v>1742</v>
      </c>
      <c r="F17" s="56">
        <f>'数据-取费表'!B35</f>
        <v>350</v>
      </c>
      <c r="G17" s="3258"/>
      <c r="H17" s="1577" t="s">
        <v>1820</v>
      </c>
      <c r="I17" s="774" t="s">
        <v>650</v>
      </c>
      <c r="J17" s="3018">
        <f ca="1">ROUND(IF(AND(项目基本情况!B11="自然人",项目基本情况!B10="北京市"),J6*M17/(1+'数据-取费表'!C42),J18+J19+J20),0)</f>
        <v>138</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159</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12213</v>
      </c>
      <c r="D19" s="259" t="s">
        <v>1747</v>
      </c>
      <c r="E19" s="3283"/>
      <c r="F19" s="56"/>
      <c r="G19" s="1944"/>
      <c r="H19" s="1576" t="s">
        <v>1875</v>
      </c>
      <c r="I19" s="774" t="s">
        <v>1748</v>
      </c>
      <c r="J19" s="53">
        <f ca="1">IF(K19="按租金收入计税",ROUND(J6*M19/(1+'数据-取费表'!C42),1),ROUND(C29*F33*0.7,1))</f>
        <v>132.6</v>
      </c>
      <c r="K19" s="800" t="s">
        <v>659</v>
      </c>
      <c r="L19" s="774" t="s">
        <v>1737</v>
      </c>
      <c r="M19" s="799">
        <f>IF(K19="按租金收入计税",'数据-取费表'!B51,'数据-取费表'!B50)</f>
        <v>1.2E-2</v>
      </c>
    </row>
    <row r="20" spans="1:33" s="1946" customFormat="1" ht="18" customHeight="1">
      <c r="A20" s="1577" t="s">
        <v>1879</v>
      </c>
      <c r="B20" s="774" t="s">
        <v>660</v>
      </c>
      <c r="C20" s="53">
        <f ca="1">ROUND(C19*F20,0)</f>
        <v>122</v>
      </c>
      <c r="D20" s="801" t="s">
        <v>1749</v>
      </c>
      <c r="E20" s="774" t="s">
        <v>1737</v>
      </c>
      <c r="F20" s="799">
        <f>'数据-取费表'!B37</f>
        <v>0.01</v>
      </c>
      <c r="G20" s="3258"/>
      <c r="H20" s="1579" t="s">
        <v>1870</v>
      </c>
      <c r="I20" s="339" t="s">
        <v>1750</v>
      </c>
      <c r="J20" s="54">
        <f ca="1">ROUND(M20*M21/10000,0)</f>
        <v>5</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15299.52</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158</v>
      </c>
      <c r="K22" s="3277" t="s">
        <v>1759</v>
      </c>
      <c r="L22" s="774" t="s">
        <v>1737</v>
      </c>
      <c r="M22" s="806">
        <f ca="1">INDIRECT("'数据-取费表'!Ak"&amp;$G$1)</f>
        <v>0.01</v>
      </c>
    </row>
    <row r="23" spans="1:33" s="1946" customFormat="1" ht="18" customHeight="1">
      <c r="A23" s="1576" t="s">
        <v>1821</v>
      </c>
      <c r="B23" s="774" t="s">
        <v>2516</v>
      </c>
      <c r="C23" s="53">
        <f ca="1">ROUND(IF('数据-取费表'!B22&lt;=1,(C19+C20)*F24*F23/2,(C19+C20)*(POWER((1+F24),F23/2)-1)),0)</f>
        <v>586</v>
      </c>
      <c r="D23" s="2422"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3277" t="s">
        <v>1761</v>
      </c>
      <c r="L23" s="774" t="s">
        <v>1737</v>
      </c>
      <c r="M23" s="807">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5.0000000000000001E-4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-296</v>
      </c>
      <c r="K25" s="2400" t="s">
        <v>1767</v>
      </c>
      <c r="L25" s="2401"/>
      <c r="M25" s="2402"/>
    </row>
    <row r="26" spans="1:33" ht="18" customHeight="1">
      <c r="A26" s="1576" t="s">
        <v>1821</v>
      </c>
      <c r="B26" s="774" t="s">
        <v>2421</v>
      </c>
      <c r="C26" s="53">
        <f ca="1">ROUND((C19+C20)*F26,0)</f>
        <v>1850</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0.05</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15788</v>
      </c>
      <c r="D29" s="2397"/>
      <c r="E29" s="2398"/>
      <c r="F29" s="2399"/>
      <c r="G29" s="3258"/>
      <c r="H29" s="812" t="s">
        <v>1777</v>
      </c>
      <c r="I29" s="813" t="s">
        <v>1778</v>
      </c>
      <c r="J29" s="814">
        <f ca="1">ROUND(J26/(1+F40)^F41,0)</f>
        <v>0</v>
      </c>
      <c r="K29" s="815" t="s">
        <v>1779</v>
      </c>
      <c r="L29" s="816"/>
      <c r="M29" s="817">
        <f ca="1">INDIRECT("'数据-取费表'!k"&amp;$G$1)</f>
        <v>25604</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310</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115</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110.2</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3400</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4.5999999999999996</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15299.52</v>
      </c>
      <c r="G35" s="1944"/>
      <c r="H35" s="1947"/>
      <c r="I35" s="826" t="s">
        <v>1804</v>
      </c>
      <c r="J35" s="827">
        <f ca="1">ROUND(C13*J36,0)</f>
        <v>947</v>
      </c>
      <c r="K35" s="1960"/>
      <c r="L35" s="1959"/>
      <c r="M35" s="1959"/>
    </row>
    <row r="36" spans="1:18" ht="18" customHeight="1">
      <c r="A36" s="1577" t="s">
        <v>1879</v>
      </c>
      <c r="B36" s="774" t="s">
        <v>1792</v>
      </c>
      <c r="C36" s="53">
        <f ca="1">ROUND(C29*F36,1)</f>
        <v>157.9</v>
      </c>
      <c r="D36" s="3277" t="s">
        <v>1793</v>
      </c>
      <c r="E36" s="774" t="s">
        <v>1786</v>
      </c>
      <c r="F36" s="806">
        <f ca="1">INDIRECT("'数据-取费表'!Ak"&amp;$G$1)</f>
        <v>0.01</v>
      </c>
      <c r="G36" s="1944"/>
      <c r="H36" s="1959"/>
      <c r="I36" s="828" t="s">
        <v>1805</v>
      </c>
      <c r="J36" s="829">
        <f ca="1">INDIRECT("'数据-取费表'!j"&amp;$G$1)</f>
        <v>0.06</v>
      </c>
      <c r="K36" s="1963"/>
      <c r="L36" s="1959"/>
      <c r="M36" s="1959"/>
    </row>
    <row r="37" spans="1:18" ht="18" customHeight="1">
      <c r="A37" s="1577" t="s">
        <v>1880</v>
      </c>
      <c r="B37" s="774" t="s">
        <v>673</v>
      </c>
      <c r="C37" s="53">
        <f ca="1">ROUND(C13*F37,1)</f>
        <v>15.8</v>
      </c>
      <c r="D37" s="3277" t="s">
        <v>1794</v>
      </c>
      <c r="E37" s="774" t="s">
        <v>1786</v>
      </c>
      <c r="F37" s="807">
        <f ca="1">INDIRECT("'数据-取费表'!Al"&amp;$G$1)</f>
        <v>1E-3</v>
      </c>
      <c r="G37" s="1944"/>
      <c r="H37" s="1959"/>
      <c r="I37" s="830" t="s">
        <v>1806</v>
      </c>
      <c r="J37" s="831"/>
      <c r="K37" s="1963"/>
      <c r="L37" s="1959"/>
      <c r="M37" s="1959"/>
    </row>
    <row r="38" spans="1:18" ht="18" customHeight="1" thickBot="1">
      <c r="A38" s="2403" t="s">
        <v>1881</v>
      </c>
      <c r="B38" s="2398" t="s">
        <v>660</v>
      </c>
      <c r="C38" s="2396">
        <f ca="1">ROUND(C5*F38,1)</f>
        <v>21.1</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1796</v>
      </c>
      <c r="D39" s="2400" t="s">
        <v>1796</v>
      </c>
      <c r="E39" s="2401"/>
      <c r="F39" s="2402"/>
      <c r="G39" s="1944"/>
      <c r="H39" s="1959"/>
      <c r="I39" s="826" t="s">
        <v>1808</v>
      </c>
      <c r="J39" s="834">
        <f ca="1">ROUND(J35/C39,3)</f>
        <v>0.52700000000000002</v>
      </c>
      <c r="K39" s="1964"/>
      <c r="L39" s="1959"/>
      <c r="M39" s="1959"/>
    </row>
    <row r="40" spans="1:18" ht="18" customHeight="1">
      <c r="A40" s="771" t="s">
        <v>1885</v>
      </c>
      <c r="B40" s="2111" t="s">
        <v>2288</v>
      </c>
      <c r="C40" s="773">
        <f ca="1">ROUND(C39*(1-((1+F42)/(1+F40))^F41)/(F40-F42),0)</f>
        <v>30818</v>
      </c>
      <c r="D40" s="803" t="s">
        <v>1797</v>
      </c>
      <c r="E40" s="774" t="s">
        <v>2403</v>
      </c>
      <c r="F40" s="784">
        <f ca="1">INDIRECT("'数据-取费表'!I"&amp;$G$1)</f>
        <v>0.05</v>
      </c>
      <c r="G40" s="1944"/>
      <c r="H40" s="1944"/>
      <c r="I40" s="826" t="s">
        <v>1809</v>
      </c>
      <c r="J40" s="834">
        <f ca="1">1-J39</f>
        <v>0.47299999999999998</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0.51200000000000001</v>
      </c>
      <c r="K42" s="1963"/>
      <c r="L42" s="1899"/>
      <c r="M42" s="1899"/>
    </row>
    <row r="43" spans="1:18" ht="18" customHeight="1" thickBot="1">
      <c r="A43" s="812" t="s">
        <v>1777</v>
      </c>
      <c r="B43" s="813" t="s">
        <v>1800</v>
      </c>
      <c r="C43" s="814">
        <f ca="1">ROUND(C40*10000/F43,0)</f>
        <v>12036</v>
      </c>
      <c r="D43" s="815" t="s">
        <v>1801</v>
      </c>
      <c r="E43" s="816" t="s">
        <v>1802</v>
      </c>
      <c r="F43" s="817">
        <f ca="1">INDIRECT("'数据-取费表'!k"&amp;$G$1)</f>
        <v>25604</v>
      </c>
      <c r="G43" s="1944"/>
      <c r="H43" s="1899"/>
      <c r="I43" s="836" t="s">
        <v>1812</v>
      </c>
      <c r="J43" s="837">
        <f ca="1">1-J42</f>
        <v>0.48799999999999999</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-33889</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3331</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30818</v>
      </c>
      <c r="R48" s="2253" t="s">
        <v>2364</v>
      </c>
    </row>
    <row r="49" spans="1:18" s="1941" customFormat="1" ht="18" customHeight="1" thickBot="1">
      <c r="A49" s="776"/>
      <c r="B49" s="777"/>
      <c r="C49" s="778"/>
      <c r="D49" s="779"/>
      <c r="E49" s="774" t="s">
        <v>1729</v>
      </c>
      <c r="F49" s="775">
        <f ca="1">F7</f>
        <v>25604</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15788</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17516</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570" t="s">
        <v>2927</v>
      </c>
      <c r="L53" s="357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30818</v>
      </c>
      <c r="R54" s="2257" t="s">
        <v>2376</v>
      </c>
    </row>
    <row r="55" spans="1:18" s="1941" customFormat="1" ht="18" customHeight="1" thickTop="1" thickBot="1">
      <c r="A55" s="787">
        <v>2</v>
      </c>
      <c r="B55" s="788" t="s">
        <v>638</v>
      </c>
      <c r="C55" s="789">
        <f ca="1">C13</f>
        <v>15788</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15788</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179</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30818</v>
      </c>
      <c r="R57" s="2253" t="s">
        <v>2364</v>
      </c>
    </row>
    <row r="58" spans="1:18" s="1941" customFormat="1" ht="28.5" customHeight="1" thickBot="1">
      <c r="A58" s="1577" t="s">
        <v>1814</v>
      </c>
      <c r="B58" s="774" t="s">
        <v>650</v>
      </c>
      <c r="C58" s="3018">
        <f ca="1">ROUND(IF(AND(项目基本情况!B11="自然人",项目基本情况!B10="北京市"),C48*F58/(1+'数据-取费表'!C42),C59+C60+C61),0)</f>
        <v>5</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4.5999999999999996</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15299.52</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157.9</v>
      </c>
      <c r="D63" s="3277" t="s">
        <v>1793</v>
      </c>
      <c r="E63" s="774" t="s">
        <v>1737</v>
      </c>
      <c r="F63" s="806">
        <f t="shared" ca="1" si="0"/>
        <v>0.01</v>
      </c>
      <c r="I63" s="2823" t="s">
        <v>2354</v>
      </c>
      <c r="J63" s="2824">
        <v>70</v>
      </c>
      <c r="K63" s="2824">
        <v>50</v>
      </c>
      <c r="L63" s="2824">
        <v>80</v>
      </c>
      <c r="M63" s="2826">
        <v>0.02</v>
      </c>
      <c r="O63" s="2252" t="s">
        <v>2375</v>
      </c>
      <c r="P63" s="2253" t="s">
        <v>2392</v>
      </c>
      <c r="Q63" s="2254">
        <f ca="1">Q57+Q58</f>
        <v>30818</v>
      </c>
      <c r="R63" s="2257" t="s">
        <v>2376</v>
      </c>
    </row>
    <row r="64" spans="1:18" s="1941" customFormat="1" ht="16.5" thickBot="1">
      <c r="A64" s="1577" t="s">
        <v>1880</v>
      </c>
      <c r="B64" s="774" t="s">
        <v>673</v>
      </c>
      <c r="C64" s="53">
        <f ca="1">ROUND(C55*F64,1)</f>
        <v>15.8</v>
      </c>
      <c r="D64" s="3277" t="s">
        <v>674</v>
      </c>
      <c r="E64" s="774" t="s">
        <v>1737</v>
      </c>
      <c r="F64" s="807">
        <f t="shared" ca="1" si="0"/>
        <v>1E-3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-179</v>
      </c>
      <c r="D66" s="3278" t="s">
        <v>694</v>
      </c>
      <c r="E66" s="3282"/>
      <c r="F66" s="809"/>
      <c r="K66" s="1967"/>
      <c r="O66" s="2252" t="s">
        <v>2363</v>
      </c>
      <c r="P66" s="2253" t="s">
        <v>2393</v>
      </c>
      <c r="Q66" s="2254">
        <f ca="1">C40+J29</f>
        <v>30818</v>
      </c>
      <c r="R66" s="2253" t="s">
        <v>2364</v>
      </c>
    </row>
    <row r="67" spans="1:18" s="1941" customFormat="1" ht="20.25" thickBot="1">
      <c r="A67" s="771" t="s">
        <v>1770</v>
      </c>
      <c r="B67" s="2111" t="s">
        <v>2288</v>
      </c>
      <c r="C67" s="773">
        <f ca="1">ROUND(C66*(1-((1+F69)/(1+F67))^F68)/(F67-F69),0)</f>
        <v>-3071</v>
      </c>
      <c r="D67" s="803" t="s">
        <v>698</v>
      </c>
      <c r="E67" s="774" t="s">
        <v>699</v>
      </c>
      <c r="F67" s="784">
        <f ca="1">F40</f>
        <v>0.05</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17516</v>
      </c>
      <c r="R68" s="2260" t="s">
        <v>2400</v>
      </c>
    </row>
    <row r="69" spans="1:18" ht="20.25" thickBot="1">
      <c r="A69" s="780"/>
      <c r="B69" s="781"/>
      <c r="C69" s="782"/>
      <c r="D69" s="805"/>
      <c r="E69" s="774" t="s">
        <v>704</v>
      </c>
      <c r="F69" s="2225"/>
      <c r="O69" s="2255" t="s">
        <v>2368</v>
      </c>
      <c r="P69" s="2261" t="s">
        <v>2382</v>
      </c>
      <c r="Q69" s="2254">
        <f ca="1">ROUND(Q70-Q71*Q72,0)</f>
        <v>849</v>
      </c>
      <c r="R69" s="2257"/>
    </row>
    <row r="70" spans="1:18" ht="15.75" thickBot="1">
      <c r="A70" s="812" t="s">
        <v>1777</v>
      </c>
      <c r="B70" s="813" t="s">
        <v>1800</v>
      </c>
      <c r="C70" s="814">
        <f ca="1">ROUND(C67*10000/F70,0)</f>
        <v>-1199</v>
      </c>
      <c r="D70" s="815" t="s">
        <v>1801</v>
      </c>
      <c r="E70" s="816" t="s">
        <v>1802</v>
      </c>
      <c r="F70" s="817">
        <f ca="1">F43</f>
        <v>25604</v>
      </c>
      <c r="O70" s="2255" t="s">
        <v>2383</v>
      </c>
      <c r="P70" s="2261" t="s">
        <v>2384</v>
      </c>
      <c r="Q70" s="2254">
        <f ca="1">C39</f>
        <v>1796</v>
      </c>
      <c r="R70" s="2253" t="s">
        <v>2364</v>
      </c>
    </row>
    <row r="71" spans="1:18" ht="15.75" thickBot="1">
      <c r="O71" s="2255" t="s">
        <v>2385</v>
      </c>
      <c r="P71" s="2261" t="s">
        <v>2386</v>
      </c>
      <c r="Q71" s="2254">
        <f ca="1">C13</f>
        <v>15788</v>
      </c>
      <c r="R71" s="2253" t="s">
        <v>2364</v>
      </c>
    </row>
    <row r="72" spans="1:18" ht="15.75" thickBot="1">
      <c r="O72" s="2255" t="s">
        <v>2387</v>
      </c>
      <c r="P72" s="2261" t="s">
        <v>2388</v>
      </c>
      <c r="Q72" s="2256">
        <f ca="1">J36</f>
        <v>0.06</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30818</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7" priority="6">
      <formula>$L$48&gt;$J$51</formula>
    </cfRule>
  </conditionalFormatting>
  <conditionalFormatting sqref="I55">
    <cfRule type="expression" dxfId="136" priority="7">
      <formula>$J$51&gt;$L$48</formula>
    </cfRule>
  </conditionalFormatting>
  <conditionalFormatting sqref="I60">
    <cfRule type="expression" dxfId="135" priority="5">
      <formula>$J$51&gt;$L$48</formula>
    </cfRule>
  </conditionalFormatting>
  <conditionalFormatting sqref="K60">
    <cfRule type="expression" dxfId="134" priority="4">
      <formula>$L$48&gt;$J$51</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3">
    <cfRule type="expression" dxfId="13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5" zoomScaleNormal="60" zoomScaleSheetLayoutView="85" workbookViewId="0">
      <selection activeCell="C1" sqref="C1"/>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625" style="1942" customWidth="1"/>
    <col min="6" max="6" width="10.625" style="1942" customWidth="1"/>
    <col min="7" max="7" width="4.875" style="1942" customWidth="1"/>
    <col min="8" max="8" width="8.5" style="1942" customWidth="1"/>
    <col min="9" max="9" width="21.125" style="1942" customWidth="1"/>
    <col min="10" max="10" width="12.1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625" style="1978" customWidth="1"/>
    <col min="18" max="18" width="23.5" style="1941" customWidth="1"/>
    <col min="19" max="19" width="1.5" style="1941" customWidth="1"/>
    <col min="20" max="33" width="9" style="1941"/>
    <col min="34" max="16384" width="9" style="1942"/>
  </cols>
  <sheetData>
    <row r="1" spans="1:33" s="1936" customFormat="1" ht="21">
      <c r="A1" s="821" t="s">
        <v>1715</v>
      </c>
      <c r="B1" s="730"/>
      <c r="C1" s="763" t="s">
        <v>3371</v>
      </c>
      <c r="D1" s="2797" t="s">
        <v>943</v>
      </c>
      <c r="E1" s="2241" t="s">
        <v>2358</v>
      </c>
      <c r="F1" s="2242">
        <f ca="1">J53</f>
        <v>40</v>
      </c>
      <c r="G1" s="3256">
        <f>MATCH(C1,'数据-取费表'!A6:A16,0)+5</f>
        <v>10</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42040</v>
      </c>
      <c r="C2" s="3261"/>
      <c r="D2" s="3262"/>
      <c r="E2" s="3263"/>
      <c r="F2" s="3263"/>
      <c r="G2" s="3257"/>
      <c r="H2" s="1939"/>
      <c r="I2" s="1939"/>
      <c r="J2" s="1939"/>
      <c r="K2" s="1940"/>
      <c r="L2" s="1939"/>
      <c r="M2" s="1939"/>
    </row>
    <row r="3" spans="1:33" ht="18" customHeight="1" thickBot="1">
      <c r="A3" s="822" t="s">
        <v>1717</v>
      </c>
      <c r="B3" s="823">
        <f ca="1">IF(ISERROR(B2*10000/F43),0,ROUND(B2*10000/F43,0))</f>
        <v>10861</v>
      </c>
      <c r="C3" s="3261"/>
      <c r="D3" s="3262"/>
      <c r="E3" s="3263"/>
      <c r="F3" s="3263"/>
      <c r="G3" s="3257"/>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2553</v>
      </c>
      <c r="D5" s="2348" t="s">
        <v>2442</v>
      </c>
      <c r="E5" s="2342"/>
      <c r="F5" s="2343"/>
      <c r="G5" s="1944"/>
      <c r="H5" s="771">
        <v>1</v>
      </c>
      <c r="I5" s="772" t="s">
        <v>2439</v>
      </c>
      <c r="J5" s="55">
        <f ca="1">J6+J10+J12</f>
        <v>0</v>
      </c>
      <c r="K5" s="2348" t="s">
        <v>2442</v>
      </c>
      <c r="L5" s="2342"/>
      <c r="M5" s="2343"/>
    </row>
    <row r="6" spans="1:33" ht="18" customHeight="1">
      <c r="A6" s="1744" t="s">
        <v>1814</v>
      </c>
      <c r="B6" s="3543" t="s">
        <v>2444</v>
      </c>
      <c r="C6" s="773">
        <f ca="1">ROUND(F6*F8*F7*(1-F9)/10000,0)</f>
        <v>2550</v>
      </c>
      <c r="D6" s="2349" t="s">
        <v>2443</v>
      </c>
      <c r="E6" s="774" t="s">
        <v>1728</v>
      </c>
      <c r="F6" s="775">
        <f ca="1">INDIRECT("'数据-取费表'!u"&amp;$G$1)</f>
        <v>1.9</v>
      </c>
      <c r="G6" s="1944"/>
      <c r="H6" s="2356" t="s">
        <v>2449</v>
      </c>
      <c r="I6" s="3543" t="s">
        <v>2444</v>
      </c>
      <c r="J6" s="773">
        <f ca="1">ROUND(M6*M8*M7*(1-M9)/10000,0)</f>
        <v>0</v>
      </c>
      <c r="K6" s="339" t="s">
        <v>1727</v>
      </c>
      <c r="L6" s="774" t="s">
        <v>1728</v>
      </c>
      <c r="M6" s="775">
        <f ca="1">INDIRECT("'数据-取费表'!z"&amp;$G$1)</f>
        <v>0</v>
      </c>
    </row>
    <row r="7" spans="1:33" ht="18" customHeight="1">
      <c r="A7" s="2352"/>
      <c r="B7" s="3544"/>
      <c r="C7" s="778"/>
      <c r="D7" s="779"/>
      <c r="E7" s="774" t="s">
        <v>1729</v>
      </c>
      <c r="F7" s="775">
        <f ca="1">IF(INDIRECT("'数据-取费表'!ah"&amp;$G$1)="",INDIRECT("'数据-取费表'!k"&amp;$G$1),INDIRECT("'数据-取费表'!ah"&amp;$G$1))</f>
        <v>38707</v>
      </c>
      <c r="G7" s="1944"/>
      <c r="H7" s="2341"/>
      <c r="I7" s="3544"/>
      <c r="J7" s="778"/>
      <c r="K7" s="779"/>
      <c r="L7" s="774" t="s">
        <v>1729</v>
      </c>
      <c r="M7" s="775">
        <f ca="1">F7</f>
        <v>38707</v>
      </c>
    </row>
    <row r="8" spans="1:33" ht="18" customHeight="1">
      <c r="A8" s="2345"/>
      <c r="B8" s="3545"/>
      <c r="C8" s="778"/>
      <c r="D8" s="779"/>
      <c r="E8" s="774" t="s">
        <v>1730</v>
      </c>
      <c r="F8" s="775">
        <f ca="1">INDIRECT("'数据-取费表'!ai"&amp;$G$1)</f>
        <v>365</v>
      </c>
      <c r="G8" s="1944"/>
      <c r="H8" s="2341"/>
      <c r="I8" s="3545"/>
      <c r="J8" s="778"/>
      <c r="K8" s="779"/>
      <c r="L8" s="774" t="s">
        <v>1730</v>
      </c>
      <c r="M8" s="775">
        <f ca="1">INDIRECT("'数据-取费表'!ai"&amp;$G$1)</f>
        <v>365</v>
      </c>
    </row>
    <row r="9" spans="1:33" ht="18" customHeight="1">
      <c r="A9" s="776"/>
      <c r="B9" s="3546"/>
      <c r="C9" s="778"/>
      <c r="D9" s="779"/>
      <c r="E9" s="774" t="s">
        <v>1731</v>
      </c>
      <c r="F9" s="784">
        <f ca="1">INDIRECT("'数据-取费表'!w"&amp;$G$1)</f>
        <v>0.05</v>
      </c>
      <c r="G9" s="1944"/>
      <c r="H9" s="2357"/>
      <c r="I9" s="3545"/>
      <c r="J9" s="778"/>
      <c r="K9" s="779"/>
      <c r="L9" s="785" t="s">
        <v>1731</v>
      </c>
      <c r="M9" s="786">
        <f ca="1">INDIRECT("'数据-取费表'!ab"&amp;$G$1)</f>
        <v>0</v>
      </c>
    </row>
    <row r="10" spans="1:33" ht="18" customHeight="1">
      <c r="A10" s="1744" t="s">
        <v>2447</v>
      </c>
      <c r="B10" s="2346" t="s">
        <v>2440</v>
      </c>
      <c r="C10" s="789">
        <f ca="1">ROUND(IF(F10="押一",C6/12*F11,IF(F10="押二",C6/12*2*F11,IF(F10="押三",C6/12*3*F11,C11*F11))),0)</f>
        <v>3</v>
      </c>
      <c r="D10" s="2353" t="s">
        <v>2934</v>
      </c>
      <c r="E10" s="2350" t="s">
        <v>2445</v>
      </c>
      <c r="F10" s="2464" t="s">
        <v>3401</v>
      </c>
      <c r="G10" s="1944"/>
      <c r="H10" s="2413" t="s">
        <v>2450</v>
      </c>
      <c r="I10" s="2418" t="s">
        <v>2440</v>
      </c>
      <c r="J10" s="773">
        <f ca="1">ROUND(IF(M10="押一",J6/12*M11,IF(M10="押二",J6/12*2*M11,IF(M10="押三",J6/12*3*M11,J11*M11))),0)</f>
        <v>0</v>
      </c>
      <c r="K10" s="2353" t="s">
        <v>2934</v>
      </c>
      <c r="L10" s="2350" t="s">
        <v>2445</v>
      </c>
      <c r="M10" s="2464"/>
    </row>
    <row r="11" spans="1:33" ht="18" customHeight="1">
      <c r="A11" s="780"/>
      <c r="B11" s="2347" t="s">
        <v>2554</v>
      </c>
      <c r="C11" s="2351"/>
      <c r="D11" s="779"/>
      <c r="E11" s="2350" t="s">
        <v>2437</v>
      </c>
      <c r="F11" s="786">
        <f ca="1">'数据-取费表'!B39</f>
        <v>1.4999999999999999E-2</v>
      </c>
      <c r="G11" s="1944"/>
      <c r="H11" s="2414"/>
      <c r="I11" s="2347" t="s">
        <v>2554</v>
      </c>
      <c r="J11" s="2351"/>
      <c r="K11" s="2415"/>
      <c r="L11" s="2350" t="s">
        <v>2437</v>
      </c>
      <c r="M11" s="2344">
        <f ca="1">'数据-取费表'!B39</f>
        <v>1.4999999999999999E-2</v>
      </c>
    </row>
    <row r="12" spans="1:33" ht="18" customHeight="1" thickBot="1">
      <c r="A12" s="2389" t="s">
        <v>2448</v>
      </c>
      <c r="B12" s="2390" t="s">
        <v>2441</v>
      </c>
      <c r="C12" s="2391"/>
      <c r="D12" s="2392"/>
      <c r="E12" s="2393"/>
      <c r="F12" s="2394"/>
      <c r="G12" s="1944"/>
      <c r="H12" s="2403" t="s">
        <v>2451</v>
      </c>
      <c r="I12" s="2416" t="s">
        <v>2441</v>
      </c>
      <c r="J12" s="2417"/>
      <c r="K12" s="2392"/>
      <c r="L12" s="2393"/>
      <c r="M12" s="2406"/>
    </row>
    <row r="13" spans="1:33" ht="18" customHeight="1" thickTop="1">
      <c r="A13" s="1743">
        <v>2</v>
      </c>
      <c r="B13" s="1741" t="s">
        <v>1732</v>
      </c>
      <c r="C13" s="782">
        <f ca="1">ROUND(C29*F13,0)</f>
        <v>23867</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6" t="s">
        <v>1874</v>
      </c>
      <c r="B14" s="774" t="s">
        <v>639</v>
      </c>
      <c r="C14" s="794">
        <f ca="1">INDIRECT("'数据-取费表'!m"&amp;$G$1)+INDIRECT("'数据-取费表'!t"&amp;$G$1)</f>
        <v>16013</v>
      </c>
      <c r="D14" s="3278" t="s">
        <v>1735</v>
      </c>
      <c r="E14" s="3279"/>
      <c r="F14" s="795"/>
      <c r="G14" s="1944"/>
      <c r="H14" s="1577" t="s">
        <v>1820</v>
      </c>
      <c r="I14" s="2110" t="s">
        <v>2804</v>
      </c>
      <c r="J14" s="53">
        <f ca="1">C29</f>
        <v>23867</v>
      </c>
      <c r="K14" s="26"/>
      <c r="L14" s="791"/>
      <c r="M14" s="792"/>
    </row>
    <row r="15" spans="1:33" s="1946" customFormat="1" ht="18" customHeight="1" thickBot="1">
      <c r="A15" s="1576" t="s">
        <v>1875</v>
      </c>
      <c r="B15" s="774" t="s">
        <v>641</v>
      </c>
      <c r="C15" s="53">
        <f ca="1">ROUND(C14*F15,0)</f>
        <v>801</v>
      </c>
      <c r="D15" s="796" t="s">
        <v>1736</v>
      </c>
      <c r="E15" s="796" t="s">
        <v>1737</v>
      </c>
      <c r="F15" s="797">
        <f>'数据-取费表'!B33</f>
        <v>0.05</v>
      </c>
      <c r="G15" s="3258"/>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447</v>
      </c>
      <c r="K16" s="1735" t="s">
        <v>1740</v>
      </c>
      <c r="L16" s="3280"/>
      <c r="M16" s="2343"/>
    </row>
    <row r="17" spans="1:33" s="1946" customFormat="1" ht="18" customHeight="1">
      <c r="A17" s="1576" t="s">
        <v>1877</v>
      </c>
      <c r="B17" s="774" t="s">
        <v>647</v>
      </c>
      <c r="C17" s="53">
        <f ca="1">ROUND(F17*(F43+INDIRECT("'数据-取费表'!S"&amp;$G$1))/10000,0)</f>
        <v>1408</v>
      </c>
      <c r="D17" s="774" t="s">
        <v>1741</v>
      </c>
      <c r="E17" s="774" t="s">
        <v>1742</v>
      </c>
      <c r="F17" s="56">
        <f>'数据-取费表'!B35</f>
        <v>350</v>
      </c>
      <c r="G17" s="3258"/>
      <c r="H17" s="1577" t="s">
        <v>1820</v>
      </c>
      <c r="I17" s="774" t="s">
        <v>650</v>
      </c>
      <c r="J17" s="3018">
        <f ca="1">ROUND(IF(AND(项目基本情况!B11="自然人",项目基本情况!B10="北京市"),J6*M17/(1+'数据-取费表'!C42),J18+J19+J20),0)</f>
        <v>208</v>
      </c>
      <c r="K17" s="3278" t="s">
        <v>1743</v>
      </c>
      <c r="L17" s="3277" t="s">
        <v>1744</v>
      </c>
      <c r="M17" s="3017"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240</v>
      </c>
      <c r="D18" s="774" t="s">
        <v>1736</v>
      </c>
      <c r="E18" s="774" t="s">
        <v>1737</v>
      </c>
      <c r="F18" s="799">
        <f>'数据-取费表'!B36</f>
        <v>1.4999999999999999E-2</v>
      </c>
      <c r="G18" s="3258"/>
      <c r="H18" s="1576" t="s">
        <v>1874</v>
      </c>
      <c r="I18" s="774" t="s">
        <v>1745</v>
      </c>
      <c r="J18" s="53">
        <f ca="1">ROUND(J6*M18/(1+'数据-取费表'!C42),1)</f>
        <v>0</v>
      </c>
      <c r="K18" s="3277" t="s">
        <v>1746</v>
      </c>
      <c r="L18" s="774" t="s">
        <v>1737</v>
      </c>
      <c r="M18" s="799">
        <f>'数据-取费表'!B41</f>
        <v>5.5000000000000007E-2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18462</v>
      </c>
      <c r="D19" s="259" t="s">
        <v>1747</v>
      </c>
      <c r="E19" s="3283"/>
      <c r="F19" s="56"/>
      <c r="G19" s="1944"/>
      <c r="H19" s="1576" t="s">
        <v>1875</v>
      </c>
      <c r="I19" s="774" t="s">
        <v>1748</v>
      </c>
      <c r="J19" s="53">
        <f ca="1">IF(K19="按租金收入计税",ROUND(J6*M19/(1+'数据-取费表'!C42),1),ROUND(C29*F33*0.7,1))</f>
        <v>200.5</v>
      </c>
      <c r="K19" s="800" t="s">
        <v>659</v>
      </c>
      <c r="L19" s="774" t="s">
        <v>1737</v>
      </c>
      <c r="M19" s="799">
        <f>IF(K19="按租金收入计税",'数据-取费表'!B51,'数据-取费表'!B50)</f>
        <v>1.2E-2</v>
      </c>
    </row>
    <row r="20" spans="1:33" s="1946" customFormat="1" ht="18" customHeight="1">
      <c r="A20" s="1577" t="s">
        <v>1879</v>
      </c>
      <c r="B20" s="774" t="s">
        <v>660</v>
      </c>
      <c r="C20" s="53">
        <f ca="1">ROUND(C19*F20,0)</f>
        <v>185</v>
      </c>
      <c r="D20" s="801" t="s">
        <v>1749</v>
      </c>
      <c r="E20" s="774" t="s">
        <v>1737</v>
      </c>
      <c r="F20" s="799">
        <f>'数据-取费表'!B37</f>
        <v>0.01</v>
      </c>
      <c r="G20" s="3258"/>
      <c r="H20" s="1579" t="s">
        <v>1870</v>
      </c>
      <c r="I20" s="339" t="s">
        <v>1750</v>
      </c>
      <c r="J20" s="54">
        <f ca="1">ROUND(M20*M21/10000,0)</f>
        <v>7</v>
      </c>
      <c r="K20" s="803" t="s">
        <v>1751</v>
      </c>
      <c r="L20" s="774" t="s">
        <v>1752</v>
      </c>
      <c r="M20" s="632">
        <f>'数据-取费表'!B52</f>
        <v>3</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0.01</v>
      </c>
      <c r="G21" s="3258"/>
      <c r="H21" s="2358"/>
      <c r="I21" s="783"/>
      <c r="J21" s="69"/>
      <c r="K21" s="805"/>
      <c r="L21" s="774" t="s">
        <v>1756</v>
      </c>
      <c r="M21" s="775">
        <f ca="1">INDIRECT("'数据-取费表'!r"&amp;$G$1)</f>
        <v>23129.149999999998</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3" t="str">
        <f>IF(F23&lt;=1,"单利计息。","复利计息。")&amp;"建造成本、管理费用、销售费用产生的利息。"</f>
        <v>复利计息。建造成本、管理费用、销售费用产生的利息。</v>
      </c>
      <c r="E22" s="3283"/>
      <c r="F22" s="56"/>
      <c r="G22" s="1944"/>
      <c r="H22" s="1577" t="s">
        <v>1879</v>
      </c>
      <c r="I22" s="774" t="s">
        <v>1758</v>
      </c>
      <c r="J22" s="53">
        <f ca="1">ROUND(J14*M22,0)</f>
        <v>239</v>
      </c>
      <c r="K22" s="3277" t="s">
        <v>1759</v>
      </c>
      <c r="L22" s="774" t="s">
        <v>1737</v>
      </c>
      <c r="M22" s="806">
        <f ca="1">INDIRECT("'数据-取费表'!Ak"&amp;$G$1)</f>
        <v>0.01</v>
      </c>
    </row>
    <row r="23" spans="1:33" s="1946" customFormat="1" ht="18" customHeight="1">
      <c r="A23" s="1576" t="s">
        <v>1821</v>
      </c>
      <c r="B23" s="774" t="s">
        <v>2516</v>
      </c>
      <c r="C23" s="53">
        <f ca="1">ROUND(IF('数据-取费表'!B22&lt;=1,(C19+C20)*F24*F23/2,(C19+C20)*(POWER((1+F24),F23/2)-1)),0)</f>
        <v>886</v>
      </c>
      <c r="D23" s="2422" t="str">
        <f>IF(F23&lt;=1,"(建造成本+管理费用)×利率×(建设周期÷2)","(建造成本+管理费用)×((1+利率)^(建设周期÷2)-1)")</f>
        <v>(建造成本+管理费用)×((1+利率)^(建设周期÷2)-1)</v>
      </c>
      <c r="E23" s="774" t="s">
        <v>1760</v>
      </c>
      <c r="F23" s="632">
        <f>'数据-取费表'!B20</f>
        <v>2</v>
      </c>
      <c r="G23" s="3258"/>
      <c r="H23" s="1577" t="s">
        <v>1880</v>
      </c>
      <c r="I23" s="774" t="s">
        <v>673</v>
      </c>
      <c r="J23" s="53">
        <f ca="1">ROUND(J13*M23,0)</f>
        <v>0</v>
      </c>
      <c r="K23" s="3277" t="s">
        <v>1761</v>
      </c>
      <c r="L23" s="774" t="s">
        <v>1737</v>
      </c>
      <c r="M23" s="807">
        <f ca="1">INDIRECT("'数据-取费表'!Al"&amp;$G$1)</f>
        <v>1E-3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5.0000000000000001E-4</v>
      </c>
      <c r="D24" s="2422" t="str">
        <f>IF(F23&lt;=1,"销售费用×利率×(建设周期÷2)","销售费用×((1+利率)^(建设周期÷2)-1)")</f>
        <v>销售费用×((1+利率)^(建设周期÷2)-1)</v>
      </c>
      <c r="E24" s="774" t="s">
        <v>1763</v>
      </c>
      <c r="F24" s="808">
        <f ca="1">'数据-取费表'!B40</f>
        <v>4.7500000000000001E-2</v>
      </c>
      <c r="G24" s="3258"/>
      <c r="H24" s="2403" t="s">
        <v>1881</v>
      </c>
      <c r="I24" s="2398" t="s">
        <v>660</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3283"/>
      <c r="F25" s="56"/>
      <c r="G25" s="1944"/>
      <c r="H25" s="1743" t="s">
        <v>1766</v>
      </c>
      <c r="I25" s="2722" t="s">
        <v>2801</v>
      </c>
      <c r="J25" s="782">
        <f ca="1">J5-J16</f>
        <v>-447</v>
      </c>
      <c r="K25" s="2400" t="s">
        <v>1767</v>
      </c>
      <c r="L25" s="2401"/>
      <c r="M25" s="2402"/>
    </row>
    <row r="26" spans="1:33" ht="18" customHeight="1">
      <c r="A26" s="1576" t="s">
        <v>1821</v>
      </c>
      <c r="B26" s="774" t="s">
        <v>2421</v>
      </c>
      <c r="C26" s="53">
        <f ca="1">ROUND((C19+C20)*F26,0)</f>
        <v>2797</v>
      </c>
      <c r="D26" s="801" t="s">
        <v>1768</v>
      </c>
      <c r="E26" s="785" t="s">
        <v>1769</v>
      </c>
      <c r="F26" s="784">
        <f ca="1">INDIRECT("'数据-取费表'!q"&amp;$G$1)</f>
        <v>0.15</v>
      </c>
      <c r="G26" s="1944"/>
      <c r="H26" s="2354" t="s">
        <v>1770</v>
      </c>
      <c r="I26" s="2111" t="s">
        <v>2806</v>
      </c>
      <c r="J26" s="773">
        <f ca="1">IF(J5&lt;&gt;0,ROUND(J25*(1-((1+M28)/(1+M26))^M27)/(M26-M28),0),0)</f>
        <v>0</v>
      </c>
      <c r="K26" s="803" t="s">
        <v>1771</v>
      </c>
      <c r="L26" s="774" t="s">
        <v>2403</v>
      </c>
      <c r="M26" s="784">
        <f ca="1">INDIRECT("'数据-取费表'!I"&amp;$G$1)</f>
        <v>0.04</v>
      </c>
    </row>
    <row r="27" spans="1:33" ht="18" customHeight="1">
      <c r="A27" s="1576" t="s">
        <v>1822</v>
      </c>
      <c r="B27" s="774" t="s">
        <v>680</v>
      </c>
      <c r="C27" s="53">
        <f ca="1">ROUND(F21*F26,4)</f>
        <v>1.5E-3</v>
      </c>
      <c r="D27" s="801" t="s">
        <v>1772</v>
      </c>
      <c r="E27" s="796"/>
      <c r="F27" s="797"/>
      <c r="G27" s="1944"/>
      <c r="H27" s="2355"/>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8"/>
      <c r="H28" s="1743"/>
      <c r="I28" s="781"/>
      <c r="J28" s="782"/>
      <c r="K28" s="805"/>
      <c r="L28" s="774" t="s">
        <v>1776</v>
      </c>
      <c r="M28" s="784">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23867</v>
      </c>
      <c r="D29" s="2397"/>
      <c r="E29" s="2398"/>
      <c r="F29" s="2399"/>
      <c r="G29" s="3258"/>
      <c r="H29" s="812" t="s">
        <v>1777</v>
      </c>
      <c r="I29" s="813" t="s">
        <v>1778</v>
      </c>
      <c r="J29" s="814">
        <f ca="1">ROUND(J26/(1+F40)^F41,0)</f>
        <v>0</v>
      </c>
      <c r="K29" s="815" t="s">
        <v>1779</v>
      </c>
      <c r="L29" s="816"/>
      <c r="M29" s="817">
        <f ca="1">INDIRECT("'数据-取费表'!k"&amp;$G$1)</f>
        <v>38707</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429</v>
      </c>
      <c r="D30" s="1735" t="s">
        <v>1781</v>
      </c>
      <c r="E30" s="3280"/>
      <c r="F30" s="2343"/>
      <c r="G30" s="1944"/>
      <c r="H30" s="1947"/>
      <c r="I30" s="1948"/>
      <c r="J30" s="1949"/>
      <c r="K30" s="1950"/>
      <c r="L30" s="1951"/>
      <c r="M30" s="1952"/>
    </row>
    <row r="31" spans="1:33" ht="18" customHeight="1">
      <c r="A31" s="1577" t="s">
        <v>1820</v>
      </c>
      <c r="B31" s="774" t="s">
        <v>650</v>
      </c>
      <c r="C31" s="3018">
        <f ca="1">ROUND(IF(AND(项目基本情况!B11="自然人",项目基本情况!B10="北京市"),C6*F31/(1+'数据-取费表'!C42),C32+C33+C34),0)</f>
        <v>141</v>
      </c>
      <c r="D31" s="3278" t="s">
        <v>1782</v>
      </c>
      <c r="E31" s="3277" t="s">
        <v>1783</v>
      </c>
      <c r="F31" s="3017" t="str">
        <f>IF(项目基本情况!B11="企业","——",IF('数据-取费表'!B10="住宅",IF(F6*F7*F8/12/(1+'数据-取费表'!F30)&gt;100000,4%,2.5%),IF(F6*F7*F8/12/(1+'数据-取费表'!F30)&gt;100000,12%,7%)))</f>
        <v>——</v>
      </c>
      <c r="G31" s="1944"/>
      <c r="H31" s="3255" t="s">
        <v>2989</v>
      </c>
      <c r="I31" s="1948"/>
      <c r="J31" s="1949"/>
      <c r="K31" s="1950"/>
      <c r="L31" s="1951"/>
      <c r="M31" s="1952"/>
    </row>
    <row r="32" spans="1:33" ht="18" customHeight="1">
      <c r="A32" s="1576" t="s">
        <v>1821</v>
      </c>
      <c r="B32" s="774" t="s">
        <v>1784</v>
      </c>
      <c r="C32" s="53">
        <f ca="1">ROUND(C6*F32/(1+'数据-取费表'!C42),1)</f>
        <v>133.6</v>
      </c>
      <c r="D32" s="3277"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0</v>
      </c>
      <c r="D33" s="800" t="s">
        <v>3400</v>
      </c>
      <c r="E33" s="774" t="s">
        <v>1786</v>
      </c>
      <c r="F33" s="799">
        <f>IF(D33="按租金收入计税",'数据-取费表'!B51,'数据-取费表'!B50)</f>
        <v>1.2E-2</v>
      </c>
      <c r="G33" s="1944"/>
      <c r="H33" s="1959"/>
      <c r="I33" s="1959"/>
      <c r="J33" s="1959"/>
      <c r="K33" s="1960"/>
      <c r="L33" s="1959"/>
      <c r="M33" s="1959"/>
    </row>
    <row r="34" spans="1:18" ht="18" customHeight="1">
      <c r="A34" s="1579" t="s">
        <v>1823</v>
      </c>
      <c r="B34" s="339" t="s">
        <v>1788</v>
      </c>
      <c r="C34" s="54">
        <f ca="1">ROUND(F34*F35/10000,1)</f>
        <v>6.9</v>
      </c>
      <c r="D34" s="803" t="s">
        <v>1789</v>
      </c>
      <c r="E34" s="774" t="s">
        <v>1790</v>
      </c>
      <c r="F34" s="632">
        <f>'数据-取费表'!B52</f>
        <v>3</v>
      </c>
      <c r="G34" s="1944"/>
      <c r="H34" s="1947"/>
      <c r="I34" s="824" t="s">
        <v>1803</v>
      </c>
      <c r="J34" s="825"/>
      <c r="K34" s="1962"/>
      <c r="L34" s="1961"/>
      <c r="M34" s="1961"/>
    </row>
    <row r="35" spans="1:18" ht="18" customHeight="1">
      <c r="A35" s="804"/>
      <c r="B35" s="783"/>
      <c r="C35" s="69"/>
      <c r="D35" s="805"/>
      <c r="E35" s="774" t="s">
        <v>1791</v>
      </c>
      <c r="F35" s="775">
        <f ca="1">INDIRECT("'数据-取费表'!r"&amp;$G$1)</f>
        <v>23129.149999999998</v>
      </c>
      <c r="G35" s="1944"/>
      <c r="H35" s="1947"/>
      <c r="I35" s="826" t="s">
        <v>1804</v>
      </c>
      <c r="J35" s="827">
        <f ca="1">ROUND(C13*J36,0)</f>
        <v>1193</v>
      </c>
      <c r="K35" s="1960"/>
      <c r="L35" s="1959"/>
      <c r="M35" s="1959"/>
    </row>
    <row r="36" spans="1:18" ht="18" customHeight="1">
      <c r="A36" s="1577" t="s">
        <v>1879</v>
      </c>
      <c r="B36" s="774" t="s">
        <v>1792</v>
      </c>
      <c r="C36" s="53">
        <f ca="1">ROUND(C29*F36,1)</f>
        <v>238.7</v>
      </c>
      <c r="D36" s="3277" t="s">
        <v>1793</v>
      </c>
      <c r="E36" s="774" t="s">
        <v>1786</v>
      </c>
      <c r="F36" s="806">
        <f ca="1">INDIRECT("'数据-取费表'!Ak"&amp;$G$1)</f>
        <v>0.01</v>
      </c>
      <c r="G36" s="1944"/>
      <c r="H36" s="1959"/>
      <c r="I36" s="828" t="s">
        <v>1805</v>
      </c>
      <c r="J36" s="829">
        <f ca="1">INDIRECT("'数据-取费表'!j"&amp;$G$1)</f>
        <v>0.05</v>
      </c>
      <c r="K36" s="1963"/>
      <c r="L36" s="1959"/>
      <c r="M36" s="1959"/>
    </row>
    <row r="37" spans="1:18" ht="18" customHeight="1">
      <c r="A37" s="1577" t="s">
        <v>1880</v>
      </c>
      <c r="B37" s="774" t="s">
        <v>673</v>
      </c>
      <c r="C37" s="53">
        <f ca="1">ROUND(C13*F37,1)</f>
        <v>23.9</v>
      </c>
      <c r="D37" s="3277" t="s">
        <v>1794</v>
      </c>
      <c r="E37" s="774" t="s">
        <v>1786</v>
      </c>
      <c r="F37" s="807">
        <f ca="1">INDIRECT("'数据-取费表'!Al"&amp;$G$1)</f>
        <v>1E-3</v>
      </c>
      <c r="G37" s="1944"/>
      <c r="H37" s="1959"/>
      <c r="I37" s="830" t="s">
        <v>1806</v>
      </c>
      <c r="J37" s="831"/>
      <c r="K37" s="1963"/>
      <c r="L37" s="1959"/>
      <c r="M37" s="1959"/>
    </row>
    <row r="38" spans="1:18" ht="18" customHeight="1" thickBot="1">
      <c r="A38" s="2403" t="s">
        <v>1881</v>
      </c>
      <c r="B38" s="2398" t="s">
        <v>660</v>
      </c>
      <c r="C38" s="2396">
        <f ca="1">ROUND(C5*F38,1)</f>
        <v>25.5</v>
      </c>
      <c r="D38" s="2397" t="s">
        <v>1795</v>
      </c>
      <c r="E38" s="2398" t="s">
        <v>1786</v>
      </c>
      <c r="F38" s="2394">
        <f ca="1">INDIRECT("'数据-取费表'!Am"&amp;$G$1)</f>
        <v>0.01</v>
      </c>
      <c r="G38" s="1944"/>
      <c r="H38" s="1959"/>
      <c r="I38" s="832" t="s">
        <v>1807</v>
      </c>
      <c r="J38" s="833"/>
      <c r="K38" s="1964"/>
      <c r="L38" s="1959"/>
      <c r="M38" s="1959"/>
    </row>
    <row r="39" spans="1:18" ht="24.6" customHeight="1" thickTop="1">
      <c r="A39" s="1743" t="s">
        <v>1884</v>
      </c>
      <c r="B39" s="2722" t="s">
        <v>2801</v>
      </c>
      <c r="C39" s="782">
        <f ca="1">C5-C30</f>
        <v>2124</v>
      </c>
      <c r="D39" s="2400" t="s">
        <v>1796</v>
      </c>
      <c r="E39" s="2401"/>
      <c r="F39" s="2402"/>
      <c r="G39" s="1944"/>
      <c r="H39" s="1959"/>
      <c r="I39" s="826" t="s">
        <v>1808</v>
      </c>
      <c r="J39" s="834">
        <f ca="1">ROUND(J35/C39,3)</f>
        <v>0.56200000000000006</v>
      </c>
      <c r="K39" s="1964"/>
      <c r="L39" s="1959"/>
      <c r="M39" s="1959"/>
    </row>
    <row r="40" spans="1:18" ht="18" customHeight="1">
      <c r="A40" s="771" t="s">
        <v>1885</v>
      </c>
      <c r="B40" s="2111" t="s">
        <v>2288</v>
      </c>
      <c r="C40" s="773">
        <f ca="1">ROUND(C39*(1-((1+F42)/(1+F40))^F41)/(F40-F42),0)</f>
        <v>42040</v>
      </c>
      <c r="D40" s="803" t="s">
        <v>1797</v>
      </c>
      <c r="E40" s="774" t="s">
        <v>2403</v>
      </c>
      <c r="F40" s="784">
        <f ca="1">INDIRECT("'数据-取费表'!I"&amp;$G$1)</f>
        <v>0.04</v>
      </c>
      <c r="G40" s="1944"/>
      <c r="H40" s="1944"/>
      <c r="I40" s="826" t="s">
        <v>1809</v>
      </c>
      <c r="J40" s="834">
        <f ca="1">1-J39</f>
        <v>0.43799999999999994</v>
      </c>
      <c r="K40" s="1964"/>
      <c r="L40" s="1944"/>
      <c r="M40" s="1944"/>
    </row>
    <row r="41" spans="1:18" ht="18" customHeight="1">
      <c r="A41" s="776"/>
      <c r="B41" s="777"/>
      <c r="C41" s="778"/>
      <c r="D41" s="810" t="s">
        <v>1798</v>
      </c>
      <c r="E41" s="774" t="s">
        <v>2925</v>
      </c>
      <c r="F41" s="811">
        <f ca="1">IF(INDIRECT("'数据-取费表'!af"&amp;$G$1)=0,INDIRECT("'数据-取费表'!ae"&amp;$G$1),INDIRECT("'数据-取费表'!af"&amp;$G$1))</f>
        <v>40</v>
      </c>
      <c r="G41" s="1944"/>
      <c r="H41" s="1899"/>
      <c r="I41" s="832" t="s">
        <v>1810</v>
      </c>
      <c r="J41" s="835"/>
      <c r="K41" s="1963"/>
      <c r="L41" s="1899"/>
      <c r="M41" s="1899"/>
    </row>
    <row r="42" spans="1:18" ht="18" customHeight="1">
      <c r="A42" s="780"/>
      <c r="B42" s="781"/>
      <c r="C42" s="782"/>
      <c r="D42" s="805"/>
      <c r="E42" s="774" t="s">
        <v>1799</v>
      </c>
      <c r="F42" s="784">
        <f ca="1">INDIRECT("'数据-取费表'!v"&amp;$G$1)</f>
        <v>0</v>
      </c>
      <c r="G42" s="1944"/>
      <c r="H42" s="1899"/>
      <c r="I42" s="836" t="s">
        <v>1811</v>
      </c>
      <c r="J42" s="834">
        <f ca="1">ROUND(C13/C40,3)</f>
        <v>0.56799999999999995</v>
      </c>
      <c r="K42" s="1963"/>
      <c r="L42" s="1899"/>
      <c r="M42" s="1899"/>
    </row>
    <row r="43" spans="1:18" ht="18" customHeight="1" thickBot="1">
      <c r="A43" s="812" t="s">
        <v>1777</v>
      </c>
      <c r="B43" s="813" t="s">
        <v>1800</v>
      </c>
      <c r="C43" s="814">
        <f ca="1">ROUND(C40*10000/F43,0)</f>
        <v>10861</v>
      </c>
      <c r="D43" s="815" t="s">
        <v>1801</v>
      </c>
      <c r="E43" s="816" t="s">
        <v>1802</v>
      </c>
      <c r="F43" s="817">
        <f ca="1">INDIRECT("'数据-取费表'!k"&amp;$G$1)</f>
        <v>38707</v>
      </c>
      <c r="G43" s="1944"/>
      <c r="H43" s="1899"/>
      <c r="I43" s="836" t="s">
        <v>1812</v>
      </c>
      <c r="J43" s="837">
        <f ca="1">1-J42</f>
        <v>0.43200000000000005</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-47384</v>
      </c>
      <c r="D46" s="3259"/>
      <c r="E46" s="3259"/>
      <c r="F46" s="3259"/>
      <c r="I46" s="2232" t="s">
        <v>2327</v>
      </c>
      <c r="J46" s="2233"/>
      <c r="K46" s="2234"/>
      <c r="L46" s="2810" t="str">
        <f ca="1">IF(OR(M47="住宅",D1="土地（套用方法）"),0,IF(L48&gt;J51,L60,J60))</f>
        <v>0</v>
      </c>
      <c r="M46" s="3260"/>
      <c r="O46" s="2248" t="s">
        <v>2394</v>
      </c>
      <c r="P46" s="1526"/>
      <c r="Q46" s="1534"/>
      <c r="R46" s="1526"/>
    </row>
    <row r="47" spans="1:18" s="1941" customFormat="1" ht="18" customHeight="1" thickBot="1">
      <c r="A47" s="2226">
        <v>1</v>
      </c>
      <c r="B47" s="2227" t="s">
        <v>629</v>
      </c>
      <c r="C47" s="2425">
        <f ca="1">C48+C52+C54</f>
        <v>0</v>
      </c>
      <c r="D47" s="3259"/>
      <c r="E47" s="3259"/>
      <c r="F47" s="3259"/>
      <c r="I47" s="2801" t="s">
        <v>2328</v>
      </c>
      <c r="J47" s="2235" t="s">
        <v>3331</v>
      </c>
      <c r="K47" s="2807" t="s">
        <v>2333</v>
      </c>
      <c r="L47" s="2811">
        <f ca="1">INDIRECT("'数据-取费表'!d"&amp;$G$1)</f>
        <v>40</v>
      </c>
      <c r="M47" s="1534"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630</v>
      </c>
      <c r="E48" s="2230" t="s">
        <v>2283</v>
      </c>
      <c r="F48" s="2231"/>
      <c r="G48" s="1971"/>
      <c r="I48" s="2798" t="s">
        <v>2329</v>
      </c>
      <c r="J48" s="2236" t="s">
        <v>2334</v>
      </c>
      <c r="K48" s="2808" t="s">
        <v>2335</v>
      </c>
      <c r="L48" s="1821">
        <f ca="1">INDIRECT("'数据-取费表'!f"&amp;$G$1)</f>
        <v>40</v>
      </c>
      <c r="M48" s="3260"/>
      <c r="O48" s="2252" t="s">
        <v>2363</v>
      </c>
      <c r="P48" s="2253" t="s">
        <v>2389</v>
      </c>
      <c r="Q48" s="2254">
        <f ca="1">C40+J29</f>
        <v>42040</v>
      </c>
      <c r="R48" s="2253" t="s">
        <v>2364</v>
      </c>
    </row>
    <row r="49" spans="1:18" s="1941" customFormat="1" ht="18" customHeight="1" thickBot="1">
      <c r="A49" s="776"/>
      <c r="B49" s="777"/>
      <c r="C49" s="778"/>
      <c r="D49" s="779"/>
      <c r="E49" s="774" t="s">
        <v>1729</v>
      </c>
      <c r="F49" s="775">
        <f ca="1">F7</f>
        <v>38707</v>
      </c>
      <c r="G49" s="1971"/>
      <c r="H49" s="1974"/>
      <c r="I49" s="2798" t="s">
        <v>2330</v>
      </c>
      <c r="J49" s="2237"/>
      <c r="K49" s="2809" t="s">
        <v>2336</v>
      </c>
      <c r="L49" s="2238"/>
      <c r="M49" s="3260"/>
      <c r="O49" s="2252" t="s">
        <v>2365</v>
      </c>
      <c r="P49" s="2253" t="s">
        <v>2390</v>
      </c>
      <c r="Q49" s="2254" t="str">
        <f ca="1">J60</f>
        <v>0</v>
      </c>
      <c r="R49" s="2253" t="s">
        <v>2366</v>
      </c>
    </row>
    <row r="50" spans="1:18" s="1941" customFormat="1" ht="18" customHeight="1" thickBot="1">
      <c r="A50" s="776"/>
      <c r="B50" s="777"/>
      <c r="C50" s="778"/>
      <c r="D50" s="779"/>
      <c r="E50" s="774" t="s">
        <v>1730</v>
      </c>
      <c r="F50" s="775">
        <f ca="1">F8</f>
        <v>365</v>
      </c>
      <c r="G50" s="1976"/>
      <c r="H50" s="1974"/>
      <c r="I50" s="2798" t="s">
        <v>2331</v>
      </c>
      <c r="J50" s="2805">
        <f>SUMPRODUCT((I63:I65=J47)*(J62:L62=J48)*(J63:L65))</f>
        <v>60</v>
      </c>
      <c r="K50" s="2809" t="s">
        <v>2337</v>
      </c>
      <c r="L50" s="2238"/>
      <c r="M50" s="3260"/>
      <c r="O50" s="2255" t="s">
        <v>2367</v>
      </c>
      <c r="P50" s="2253" t="s">
        <v>2391</v>
      </c>
      <c r="Q50" s="2254">
        <f ca="1">C29</f>
        <v>23867</v>
      </c>
      <c r="R50" s="2253" t="s">
        <v>2364</v>
      </c>
    </row>
    <row r="51" spans="1:18" s="1941" customFormat="1" ht="18" customHeight="1" thickBot="1">
      <c r="A51" s="776"/>
      <c r="B51" s="777"/>
      <c r="C51" s="778"/>
      <c r="D51" s="779"/>
      <c r="E51" s="774" t="s">
        <v>634</v>
      </c>
      <c r="F51" s="2225"/>
      <c r="H51" s="1974"/>
      <c r="I51" s="2802" t="s">
        <v>2332</v>
      </c>
      <c r="J51" s="2806">
        <f>IF(J49="",J50,J49+J50-YEAR('数据-取费表'!B2))</f>
        <v>60</v>
      </c>
      <c r="K51" s="2798" t="s">
        <v>2338</v>
      </c>
      <c r="L51" s="2812">
        <f ca="1">ROUND(-PV(INDIRECT("'数据-取费表'!h"&amp;$G$1),J51,(C39-C13*J36),0),0)</f>
        <v>25756</v>
      </c>
      <c r="M51" s="3260"/>
      <c r="O51" s="2255" t="s">
        <v>2368</v>
      </c>
      <c r="P51" s="2253" t="s">
        <v>2369</v>
      </c>
      <c r="Q51" s="2256" t="e">
        <f ca="1">J58</f>
        <v>#VALUE!</v>
      </c>
      <c r="R51" s="2257"/>
    </row>
    <row r="52" spans="1:18" s="1941" customFormat="1" ht="18" customHeight="1" thickBot="1">
      <c r="A52" s="771" t="s">
        <v>2517</v>
      </c>
      <c r="B52" s="2346" t="s">
        <v>2440</v>
      </c>
      <c r="C52" s="789">
        <f ca="1">ROUND(IF(F52="押一",C48/12*F11,IF(F52="押二",C48/12*2*F11,IF(F52="押三",C48/12*3*F11,C53*F11))),0)</f>
        <v>0</v>
      </c>
      <c r="D52" s="2353" t="s">
        <v>2935</v>
      </c>
      <c r="E52" s="2350" t="s">
        <v>2445</v>
      </c>
      <c r="F52" s="2464"/>
      <c r="I52" s="2803" t="s">
        <v>2405</v>
      </c>
      <c r="J52" s="2239"/>
      <c r="K52" s="2803" t="s">
        <v>2404</v>
      </c>
      <c r="L52" s="2239"/>
      <c r="M52" s="3260"/>
      <c r="O52" s="2255" t="s">
        <v>2370</v>
      </c>
      <c r="P52" s="2253" t="s">
        <v>2371</v>
      </c>
      <c r="Q52" s="2256">
        <f>J52</f>
        <v>0</v>
      </c>
      <c r="R52" s="2257"/>
    </row>
    <row r="53" spans="1:18" s="1941" customFormat="1" ht="39.75" customHeight="1" thickBot="1">
      <c r="A53" s="776"/>
      <c r="B53" s="2347" t="s">
        <v>2554</v>
      </c>
      <c r="C53" s="2351"/>
      <c r="D53" s="2353"/>
      <c r="E53" s="2350"/>
      <c r="F53" s="790"/>
      <c r="I53" s="2804" t="s">
        <v>2938</v>
      </c>
      <c r="J53" s="2857">
        <f ca="1">IF(M47="住宅",IF(D1="——",MAX(J51,L48),MAX(J51,L48-'数据-取费表'!B20)),IF(D1="——",MIN(J51,L48),MIN(J51,L48-'数据-取费表'!B20)))</f>
        <v>40</v>
      </c>
      <c r="K53" s="3570" t="s">
        <v>2927</v>
      </c>
      <c r="L53" s="3571"/>
      <c r="M53" s="3260"/>
      <c r="O53" s="2255" t="s">
        <v>2372</v>
      </c>
      <c r="P53" s="2253" t="s">
        <v>2373</v>
      </c>
      <c r="Q53" s="2254">
        <f ca="1">J53</f>
        <v>40</v>
      </c>
      <c r="R53" s="2253" t="s">
        <v>2374</v>
      </c>
    </row>
    <row r="54" spans="1:18" s="1941" customFormat="1" ht="18" customHeight="1" thickBot="1">
      <c r="A54" s="2389" t="s">
        <v>2448</v>
      </c>
      <c r="B54" s="2390" t="s">
        <v>2441</v>
      </c>
      <c r="C54" s="2391"/>
      <c r="D54" s="2353"/>
      <c r="E54" s="2350"/>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0"/>
      <c r="O54" s="2252" t="s">
        <v>2375</v>
      </c>
      <c r="P54" s="2253" t="s">
        <v>2392</v>
      </c>
      <c r="Q54" s="2254">
        <f ca="1">Q48+Q49</f>
        <v>42040</v>
      </c>
      <c r="R54" s="2257" t="s">
        <v>2376</v>
      </c>
    </row>
    <row r="55" spans="1:18" s="1941" customFormat="1" ht="18" customHeight="1" thickTop="1" thickBot="1">
      <c r="A55" s="787">
        <v>2</v>
      </c>
      <c r="B55" s="788" t="s">
        <v>638</v>
      </c>
      <c r="C55" s="789">
        <f ca="1">C13</f>
        <v>23867</v>
      </c>
      <c r="D55" s="785"/>
      <c r="E55" s="785"/>
      <c r="F55" s="790"/>
      <c r="I55" s="2815" t="s">
        <v>2339</v>
      </c>
      <c r="J55" s="2787" t="e">
        <f ca="1">ROUND(IF(J47="钢混",J57/J50,1-(1-2%)*(J50-J57)/J50),3)</f>
        <v>#VALUE!</v>
      </c>
      <c r="K55" s="2816" t="s">
        <v>2340</v>
      </c>
      <c r="L55" s="2240"/>
      <c r="M55" s="3260"/>
      <c r="O55" s="2258" t="s">
        <v>2395</v>
      </c>
      <c r="P55" s="1526"/>
      <c r="Q55" s="1534"/>
      <c r="R55" s="1526"/>
    </row>
    <row r="56" spans="1:18" s="1941" customFormat="1" ht="42.75" customHeight="1" thickBot="1">
      <c r="A56" s="1578"/>
      <c r="B56" s="2110" t="s">
        <v>2289</v>
      </c>
      <c r="C56" s="53">
        <f ca="1">C29</f>
        <v>23867</v>
      </c>
      <c r="D56" s="3277"/>
      <c r="E56" s="774"/>
      <c r="F56" s="799"/>
      <c r="I56" s="2817" t="s">
        <v>2341</v>
      </c>
      <c r="J56" s="2827" t="s">
        <v>1669</v>
      </c>
      <c r="K56" s="2798" t="s">
        <v>2346</v>
      </c>
      <c r="L56" s="1821" t="str">
        <f ca="1">IF(L48&lt;J51,"——",L48-J51)</f>
        <v>——</v>
      </c>
      <c r="M56" s="3260"/>
      <c r="O56" s="2249" t="s">
        <v>2359</v>
      </c>
      <c r="P56" s="2250" t="s">
        <v>2360</v>
      </c>
      <c r="Q56" s="2251" t="s">
        <v>2361</v>
      </c>
      <c r="R56" s="2250" t="s">
        <v>2362</v>
      </c>
    </row>
    <row r="57" spans="1:18" s="1941" customFormat="1" ht="28.5" customHeight="1" thickBot="1">
      <c r="A57" s="787" t="s">
        <v>1738</v>
      </c>
      <c r="B57" s="788" t="s">
        <v>645</v>
      </c>
      <c r="C57" s="789">
        <f ca="1">ROUND(C58+C63+C64+C65,0)</f>
        <v>270</v>
      </c>
      <c r="D57" s="26" t="s">
        <v>1740</v>
      </c>
      <c r="E57" s="3283"/>
      <c r="F57" s="56"/>
      <c r="I57" s="2818" t="s">
        <v>2342</v>
      </c>
      <c r="J57" s="2819" t="str">
        <f ca="1">IF(OR(M47="住宅",J51&lt;L48,J56="是"),"——",J51-L48)</f>
        <v>——</v>
      </c>
      <c r="K57" s="2798" t="s">
        <v>2347</v>
      </c>
      <c r="L57" s="1821" t="str">
        <f ca="1">IF(L48&lt;J51,"——",IF(L55="比较法",L49,IF(L55="基准地价",L50,L51)))</f>
        <v>——</v>
      </c>
      <c r="M57" s="3260"/>
      <c r="O57" s="2252" t="s">
        <v>2363</v>
      </c>
      <c r="P57" s="2253" t="s">
        <v>2393</v>
      </c>
      <c r="Q57" s="2254">
        <f ca="1">C40+J29</f>
        <v>42040</v>
      </c>
      <c r="R57" s="2253" t="s">
        <v>2364</v>
      </c>
    </row>
    <row r="58" spans="1:18" s="1941" customFormat="1" ht="28.5" customHeight="1" thickBot="1">
      <c r="A58" s="1577" t="s">
        <v>1814</v>
      </c>
      <c r="B58" s="774" t="s">
        <v>650</v>
      </c>
      <c r="C58" s="3018">
        <f ca="1">ROUND(IF(AND(项目基本情况!B11="自然人",项目基本情况!B10="北京市"),C48*F58/(1+'数据-取费表'!C42),C59+C60+C61),0)</f>
        <v>7</v>
      </c>
      <c r="D58" s="3278" t="s">
        <v>651</v>
      </c>
      <c r="E58" s="3277" t="s">
        <v>684</v>
      </c>
      <c r="F58" s="3017" t="str">
        <f>IF(项目基本情况!B11="企业","——",IF('数据-取费表'!B10="住宅",IF(F48*F49*F50/12/(1+'数据-取费表'!F30)&gt;100000,4%,2.5%),IF(F48*F49*F50/12/(1+'数据-取费表'!F30)&gt;100000,12%,7%)))</f>
        <v>——</v>
      </c>
      <c r="I58" s="2818" t="s">
        <v>2343</v>
      </c>
      <c r="J58" s="2788" t="e">
        <f ca="1">IF(J55&lt;0.4,0.4,J55)</f>
        <v>#VALUE!</v>
      </c>
      <c r="K58" s="2798" t="s">
        <v>2348</v>
      </c>
      <c r="L58" s="1821" t="e">
        <f ca="1">ROUND(POWER(1+L52,L47-L48)*(POWER(1+L52,L48)-1)/(POWER(1+L52,L47)-1),4)</f>
        <v>#DIV/0!</v>
      </c>
      <c r="M58" s="3260"/>
      <c r="O58" s="2252" t="s">
        <v>2365</v>
      </c>
      <c r="P58" s="2253" t="s">
        <v>2396</v>
      </c>
      <c r="Q58" s="2254">
        <f ca="1">L60</f>
        <v>0</v>
      </c>
      <c r="R58" s="2257" t="s">
        <v>2398</v>
      </c>
    </row>
    <row r="59" spans="1:18" s="1941" customFormat="1" ht="28.5" customHeight="1" thickBot="1">
      <c r="A59" s="1576" t="s">
        <v>1821</v>
      </c>
      <c r="B59" s="774" t="s">
        <v>654</v>
      </c>
      <c r="C59" s="53">
        <f ca="1">ROUND(C47*F59/1.05,1)</f>
        <v>0</v>
      </c>
      <c r="D59" s="3277" t="s">
        <v>1746</v>
      </c>
      <c r="E59" s="774" t="s">
        <v>1737</v>
      </c>
      <c r="F59" s="799">
        <f t="shared" ref="F59:F65" si="0">F32</f>
        <v>5.5000000000000007E-2</v>
      </c>
      <c r="I59" s="2818" t="s">
        <v>2344</v>
      </c>
      <c r="J59" s="2819" t="str">
        <f ca="1">IF(OR(M47="住宅",J51&lt;L48,J56="是"),"——",ROUND(C29*J58,0))</f>
        <v>——</v>
      </c>
      <c r="K59" s="2798" t="str">
        <f>IF(D1="——","建筑物剩余耐用年限下的土地年期修正系数Kn","建设期及建筑物耐用年限下的土地年期修正系数Kn")</f>
        <v>建筑物剩余耐用年限下的土地年期修正系数Kn</v>
      </c>
      <c r="L59" s="1821" t="e">
        <f ca="1">ROUND(IF(D1="土地（套用方法）",POWER(1+L52,L47-(J51+'数据-取费表'!B20))*(POWER(1+L52,(J51+'数据-取费表'!B20))-1)/(POWER(1+L52,L47)-1),POWER(1+L52,L47-J51)*(POWER(1+L52,J51)-1)/(POWER(1+L52,L47)-1)),4)</f>
        <v>#DIV/0!</v>
      </c>
      <c r="M59" s="3260"/>
      <c r="O59" s="2255" t="s">
        <v>2367</v>
      </c>
      <c r="P59" s="2253" t="s">
        <v>2397</v>
      </c>
      <c r="Q59" s="2254">
        <f>IF(L55="比较法",L49,IF(L55="基准地价",L50,0))</f>
        <v>0</v>
      </c>
      <c r="R59" s="2253" t="s">
        <v>2364</v>
      </c>
    </row>
    <row r="60" spans="1:18" s="1941" customFormat="1" ht="18" customHeight="1" thickBot="1">
      <c r="A60" s="1576" t="s">
        <v>1822</v>
      </c>
      <c r="B60" s="774" t="s">
        <v>1748</v>
      </c>
      <c r="C60" s="53">
        <f ca="1">IF(D60="按租金收入计税",ROUND(C47*F60,1),IF(D60="按房产原值计税",ROUND(C56*F60*0.7,1),INDIRECT("'数据-取费表'!Aj"&amp;$G$1)))</f>
        <v>0</v>
      </c>
      <c r="D60" s="3277" t="str">
        <f>D33</f>
        <v>按票据</v>
      </c>
      <c r="E60" s="774" t="s">
        <v>1737</v>
      </c>
      <c r="F60" s="799">
        <f t="shared" si="0"/>
        <v>1.2E-2</v>
      </c>
      <c r="I60" s="2820" t="s">
        <v>2345</v>
      </c>
      <c r="J60" s="2821" t="str">
        <f ca="1">IF(OR(M47="住宅",J51&lt;L48,J56="是"),"0",ROUND(J59/(1+J52)^J53,0))</f>
        <v>0</v>
      </c>
      <c r="K60" s="2822" t="s">
        <v>2350</v>
      </c>
      <c r="L60" s="2821">
        <f ca="1">IF(OR(M47="住宅",L48&lt;J51),0,ROUND(L57*(L58/L59-1),0))</f>
        <v>0</v>
      </c>
      <c r="M60" s="3260"/>
      <c r="O60" s="2255" t="s">
        <v>2368</v>
      </c>
      <c r="P60" s="2253" t="s">
        <v>2377</v>
      </c>
      <c r="Q60" s="2256">
        <f>L52</f>
        <v>0</v>
      </c>
      <c r="R60" s="2257"/>
    </row>
    <row r="61" spans="1:18" s="1941" customFormat="1" ht="18" customHeight="1" thickBot="1">
      <c r="A61" s="1579" t="s">
        <v>1823</v>
      </c>
      <c r="B61" s="339" t="s">
        <v>662</v>
      </c>
      <c r="C61" s="54">
        <f ca="1">ROUND(F61*F62/10000,1)</f>
        <v>6.9</v>
      </c>
      <c r="D61" s="803" t="s">
        <v>663</v>
      </c>
      <c r="E61" s="774" t="s">
        <v>664</v>
      </c>
      <c r="F61" s="632">
        <f t="shared" si="0"/>
        <v>3</v>
      </c>
      <c r="K61" s="1967"/>
      <c r="O61" s="2255" t="s">
        <v>2370</v>
      </c>
      <c r="P61" s="2253" t="s">
        <v>2378</v>
      </c>
      <c r="Q61" s="2254" t="e">
        <f ca="1">L58</f>
        <v>#DIV/0!</v>
      </c>
      <c r="R61" s="2257" t="s">
        <v>2379</v>
      </c>
    </row>
    <row r="62" spans="1:18" s="1941" customFormat="1" ht="15.75" thickBot="1">
      <c r="A62" s="804"/>
      <c r="B62" s="783"/>
      <c r="C62" s="69"/>
      <c r="D62" s="805"/>
      <c r="E62" s="774" t="s">
        <v>668</v>
      </c>
      <c r="F62" s="775">
        <f t="shared" ca="1" si="0"/>
        <v>23129.149999999998</v>
      </c>
      <c r="I62" s="2823" t="s">
        <v>2351</v>
      </c>
      <c r="J62" s="2824" t="s">
        <v>2352</v>
      </c>
      <c r="K62" s="2824" t="s">
        <v>2353</v>
      </c>
      <c r="L62" s="2824" t="s">
        <v>2334</v>
      </c>
      <c r="M62" s="2825" t="s">
        <v>2906</v>
      </c>
      <c r="O62" s="2255" t="s">
        <v>2372</v>
      </c>
      <c r="P62" s="2253" t="str">
        <f>K59</f>
        <v>建筑物剩余耐用年限下的土地年期修正系数Kn</v>
      </c>
      <c r="Q62" s="2254" t="e">
        <f ca="1">L59</f>
        <v>#DIV/0!</v>
      </c>
      <c r="R62" s="2257" t="s">
        <v>2381</v>
      </c>
    </row>
    <row r="63" spans="1:18" s="1941" customFormat="1" ht="15.75" thickBot="1">
      <c r="A63" s="1577" t="s">
        <v>1879</v>
      </c>
      <c r="B63" s="774" t="s">
        <v>670</v>
      </c>
      <c r="C63" s="53">
        <f ca="1">ROUND(C56*F63,1)</f>
        <v>238.7</v>
      </c>
      <c r="D63" s="3277" t="s">
        <v>1793</v>
      </c>
      <c r="E63" s="774" t="s">
        <v>1737</v>
      </c>
      <c r="F63" s="806">
        <f t="shared" ca="1" si="0"/>
        <v>0.01</v>
      </c>
      <c r="I63" s="2823" t="s">
        <v>2354</v>
      </c>
      <c r="J63" s="2824">
        <v>70</v>
      </c>
      <c r="K63" s="2824">
        <v>50</v>
      </c>
      <c r="L63" s="2824">
        <v>80</v>
      </c>
      <c r="M63" s="2826">
        <v>0.02</v>
      </c>
      <c r="O63" s="2252" t="s">
        <v>2375</v>
      </c>
      <c r="P63" s="2253" t="s">
        <v>2392</v>
      </c>
      <c r="Q63" s="2254">
        <f ca="1">Q57+Q58</f>
        <v>42040</v>
      </c>
      <c r="R63" s="2257" t="s">
        <v>2376</v>
      </c>
    </row>
    <row r="64" spans="1:18" s="1941" customFormat="1" ht="16.5" thickBot="1">
      <c r="A64" s="1577" t="s">
        <v>1880</v>
      </c>
      <c r="B64" s="774" t="s">
        <v>673</v>
      </c>
      <c r="C64" s="53">
        <f ca="1">ROUND(C55*F64,1)</f>
        <v>23.9</v>
      </c>
      <c r="D64" s="3277" t="s">
        <v>674</v>
      </c>
      <c r="E64" s="774" t="s">
        <v>1737</v>
      </c>
      <c r="F64" s="807">
        <f t="shared" ca="1" si="0"/>
        <v>1E-3</v>
      </c>
      <c r="I64" s="2823" t="s">
        <v>2355</v>
      </c>
      <c r="J64" s="2824">
        <v>50</v>
      </c>
      <c r="K64" s="2824">
        <v>35</v>
      </c>
      <c r="L64" s="2824">
        <v>60</v>
      </c>
      <c r="M64" s="835">
        <v>0</v>
      </c>
      <c r="O64" s="2258" t="s">
        <v>2399</v>
      </c>
      <c r="P64" s="1526"/>
      <c r="Q64" s="1534"/>
      <c r="R64" s="1526"/>
    </row>
    <row r="65" spans="1:18" s="1941" customFormat="1" ht="15.75" thickBot="1">
      <c r="A65" s="1577" t="s">
        <v>1881</v>
      </c>
      <c r="B65" s="774" t="s">
        <v>660</v>
      </c>
      <c r="C65" s="53">
        <f ca="1">ROUND(C47*F65,1)</f>
        <v>0</v>
      </c>
      <c r="D65" s="3277" t="s">
        <v>677</v>
      </c>
      <c r="E65" s="774" t="s">
        <v>1737</v>
      </c>
      <c r="F65" s="784">
        <f t="shared" ca="1" si="0"/>
        <v>0.01</v>
      </c>
      <c r="I65" s="2823" t="s">
        <v>2356</v>
      </c>
      <c r="J65" s="2824">
        <v>40</v>
      </c>
      <c r="K65" s="2824">
        <v>30</v>
      </c>
      <c r="L65" s="2824">
        <v>50</v>
      </c>
      <c r="M65" s="2826">
        <v>0.02</v>
      </c>
      <c r="O65" s="2249" t="s">
        <v>2359</v>
      </c>
      <c r="P65" s="2250" t="s">
        <v>2360</v>
      </c>
      <c r="Q65" s="2251" t="s">
        <v>2361</v>
      </c>
      <c r="R65" s="2250" t="s">
        <v>2362</v>
      </c>
    </row>
    <row r="66" spans="1:18" s="1941" customFormat="1" ht="24.75" thickBot="1">
      <c r="A66" s="787" t="s">
        <v>1766</v>
      </c>
      <c r="B66" s="2723" t="s">
        <v>2801</v>
      </c>
      <c r="C66" s="789">
        <f ca="1">C47-C57</f>
        <v>-270</v>
      </c>
      <c r="D66" s="3278" t="s">
        <v>694</v>
      </c>
      <c r="E66" s="3282"/>
      <c r="F66" s="809"/>
      <c r="K66" s="1967"/>
      <c r="O66" s="2252" t="s">
        <v>2363</v>
      </c>
      <c r="P66" s="2253" t="s">
        <v>2393</v>
      </c>
      <c r="Q66" s="2254">
        <f ca="1">C40+J29</f>
        <v>42040</v>
      </c>
      <c r="R66" s="2253" t="s">
        <v>2364</v>
      </c>
    </row>
    <row r="67" spans="1:18" s="1941" customFormat="1" ht="20.25" thickBot="1">
      <c r="A67" s="771" t="s">
        <v>1770</v>
      </c>
      <c r="B67" s="2111" t="s">
        <v>2288</v>
      </c>
      <c r="C67" s="773">
        <f ca="1">ROUND(C66*(1-((1+F69)/(1+F67))^F68)/(F67-F69),0)</f>
        <v>-5344</v>
      </c>
      <c r="D67" s="803" t="s">
        <v>698</v>
      </c>
      <c r="E67" s="774" t="s">
        <v>699</v>
      </c>
      <c r="F67" s="784">
        <f ca="1">F40</f>
        <v>0.04</v>
      </c>
      <c r="K67" s="1967"/>
      <c r="O67" s="2252" t="s">
        <v>2365</v>
      </c>
      <c r="P67" s="2253" t="s">
        <v>2396</v>
      </c>
      <c r="Q67" s="2254">
        <f ca="1">L60</f>
        <v>0</v>
      </c>
      <c r="R67" s="2257" t="s">
        <v>2398</v>
      </c>
    </row>
    <row r="68" spans="1:18" ht="21.75" thickBot="1">
      <c r="A68" s="776"/>
      <c r="B68" s="777"/>
      <c r="C68" s="778"/>
      <c r="D68" s="810" t="s">
        <v>1798</v>
      </c>
      <c r="E68" s="774" t="s">
        <v>1774</v>
      </c>
      <c r="F68" s="811">
        <f ca="1">F41</f>
        <v>40</v>
      </c>
      <c r="O68" s="2255" t="s">
        <v>2367</v>
      </c>
      <c r="P68" s="2253" t="s">
        <v>2397</v>
      </c>
      <c r="Q68" s="2259">
        <f ca="1">L51</f>
        <v>25756</v>
      </c>
      <c r="R68" s="2260" t="s">
        <v>2400</v>
      </c>
    </row>
    <row r="69" spans="1:18" ht="20.25" thickBot="1">
      <c r="A69" s="780"/>
      <c r="B69" s="781"/>
      <c r="C69" s="782"/>
      <c r="D69" s="805"/>
      <c r="E69" s="774" t="s">
        <v>704</v>
      </c>
      <c r="F69" s="2225"/>
      <c r="O69" s="2255" t="s">
        <v>2368</v>
      </c>
      <c r="P69" s="2261" t="s">
        <v>2382</v>
      </c>
      <c r="Q69" s="2254">
        <f ca="1">ROUND(Q70-Q71*Q72,0)</f>
        <v>931</v>
      </c>
      <c r="R69" s="2257"/>
    </row>
    <row r="70" spans="1:18" ht="15.75" thickBot="1">
      <c r="A70" s="812" t="s">
        <v>1777</v>
      </c>
      <c r="B70" s="813" t="s">
        <v>1800</v>
      </c>
      <c r="C70" s="814">
        <f ca="1">ROUND(C67*10000/F70,0)</f>
        <v>-1381</v>
      </c>
      <c r="D70" s="815" t="s">
        <v>1801</v>
      </c>
      <c r="E70" s="816" t="s">
        <v>1802</v>
      </c>
      <c r="F70" s="817">
        <f ca="1">F43</f>
        <v>38707</v>
      </c>
      <c r="O70" s="2255" t="s">
        <v>2383</v>
      </c>
      <c r="P70" s="2261" t="s">
        <v>2384</v>
      </c>
      <c r="Q70" s="2254">
        <f ca="1">C39</f>
        <v>2124</v>
      </c>
      <c r="R70" s="2253" t="s">
        <v>2364</v>
      </c>
    </row>
    <row r="71" spans="1:18" ht="15.75" thickBot="1">
      <c r="O71" s="2255" t="s">
        <v>2385</v>
      </c>
      <c r="P71" s="2261" t="s">
        <v>2386</v>
      </c>
      <c r="Q71" s="2254">
        <f ca="1">C13</f>
        <v>23867</v>
      </c>
      <c r="R71" s="2253" t="s">
        <v>2364</v>
      </c>
    </row>
    <row r="72" spans="1:18" ht="15.75" thickBot="1">
      <c r="O72" s="2255" t="s">
        <v>2387</v>
      </c>
      <c r="P72" s="2261" t="s">
        <v>2388</v>
      </c>
      <c r="Q72" s="2256">
        <f ca="1">J36</f>
        <v>0.05</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建筑物剩余耐用年限下的土地年期修正系数Kn</v>
      </c>
      <c r="Q75" s="2254" t="e">
        <f ca="1">L59</f>
        <v>#DIV/0!</v>
      </c>
      <c r="R75" s="2257" t="s">
        <v>2381</v>
      </c>
    </row>
    <row r="76" spans="1:18" ht="15.75" thickBot="1">
      <c r="O76" s="2252" t="s">
        <v>2375</v>
      </c>
      <c r="P76" s="2253" t="s">
        <v>2392</v>
      </c>
      <c r="Q76" s="2254">
        <f ca="1">Q66+Q67</f>
        <v>42040</v>
      </c>
      <c r="R76" s="2257" t="s">
        <v>2376</v>
      </c>
    </row>
  </sheetData>
  <sheetProtection password="CEE9" sheet="1" objects="1" scenarios="1" formatCells="0" formatColumns="0" formatRows="0"/>
  <mergeCells count="3">
    <mergeCell ref="B6:B9"/>
    <mergeCell ref="I6:I9"/>
    <mergeCell ref="K53:L53"/>
  </mergeCells>
  <phoneticPr fontId="229" type="noConversion"/>
  <conditionalFormatting sqref="K55">
    <cfRule type="expression" dxfId="130" priority="6">
      <formula>$L$48&gt;$J$51</formula>
    </cfRule>
  </conditionalFormatting>
  <conditionalFormatting sqref="I55">
    <cfRule type="expression" dxfId="129" priority="7">
      <formula>$J$51&gt;$L$48</formula>
    </cfRule>
  </conditionalFormatting>
  <conditionalFormatting sqref="I60">
    <cfRule type="expression" dxfId="128" priority="5">
      <formula>$J$51&gt;$L$48</formula>
    </cfRule>
  </conditionalFormatting>
  <conditionalFormatting sqref="K60">
    <cfRule type="expression" dxfId="127" priority="4">
      <formula>$L$48&gt;$J$51</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3">
    <cfRule type="expression" dxfId="12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C18" sqref="C18"/>
    </sheetView>
  </sheetViews>
  <sheetFormatPr defaultColWidth="9" defaultRowHeight="14.25"/>
  <cols>
    <col min="1" max="1" width="10.5" style="1290" customWidth="1"/>
    <col min="2" max="2" width="15.625" style="1290" customWidth="1"/>
    <col min="3" max="3" width="15.12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2466" t="s">
        <v>713</v>
      </c>
      <c r="C1" s="2467" t="s">
        <v>714</v>
      </c>
      <c r="D1" s="2468"/>
      <c r="E1" s="2008"/>
      <c r="F1" s="2523" t="s">
        <v>2835</v>
      </c>
      <c r="G1" s="1531" t="s">
        <v>715</v>
      </c>
      <c r="H1" s="500"/>
      <c r="I1" s="500"/>
      <c r="J1" s="500"/>
      <c r="K1" s="501"/>
      <c r="L1" s="3207"/>
      <c r="M1" s="3208"/>
      <c r="N1" s="3208"/>
      <c r="O1" s="3208"/>
      <c r="P1" s="1499"/>
      <c r="Q1" s="1499"/>
      <c r="R1" s="1499"/>
      <c r="S1" s="1499"/>
      <c r="T1" s="1499"/>
      <c r="U1" s="1499"/>
      <c r="V1" s="1499"/>
      <c r="W1" s="1499"/>
      <c r="X1" s="1499"/>
      <c r="Y1" s="1499"/>
      <c r="Z1" s="1499"/>
      <c r="AA1" s="1499"/>
      <c r="AB1" s="1499"/>
      <c r="AC1" s="1500"/>
    </row>
    <row r="2" spans="1:29" s="1314" customFormat="1" ht="28.5" customHeight="1">
      <c r="A2" s="417" t="s">
        <v>461</v>
      </c>
      <c r="B2" s="2465">
        <f>ROUND(B3*D3/10000,0)</f>
        <v>0</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1.9</v>
      </c>
      <c r="C3" s="841" t="s">
        <v>716</v>
      </c>
      <c r="D3" s="840">
        <f>SUMIF('数据-汇总表'!$C19:$C33,D1,'数据-汇总表'!$E19:$E33)</f>
        <v>0</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5">
      <c r="A4" s="506" t="s">
        <v>515</v>
      </c>
      <c r="B4" s="507"/>
      <c r="C4" s="3474" t="s">
        <v>516</v>
      </c>
      <c r="D4" s="3475"/>
      <c r="E4" s="3499" t="s">
        <v>517</v>
      </c>
      <c r="F4" s="3500"/>
      <c r="G4" s="3474" t="s">
        <v>518</v>
      </c>
      <c r="H4" s="3475"/>
      <c r="I4" s="3474" t="s">
        <v>519</v>
      </c>
      <c r="J4" s="3475"/>
      <c r="K4" s="842" t="s">
        <v>520</v>
      </c>
      <c r="L4" s="2014"/>
      <c r="M4" s="2015"/>
      <c r="N4" s="2015"/>
      <c r="O4" s="2015"/>
      <c r="P4" s="3476" t="s">
        <v>521</v>
      </c>
      <c r="Q4" s="3477"/>
      <c r="R4" s="3461" t="s">
        <v>517</v>
      </c>
      <c r="S4" s="3462"/>
      <c r="T4" s="3461" t="s">
        <v>518</v>
      </c>
      <c r="U4" s="3462"/>
      <c r="V4" s="3482" t="s">
        <v>519</v>
      </c>
      <c r="W4" s="3482"/>
      <c r="X4" s="1501"/>
      <c r="Y4" s="3461" t="s">
        <v>521</v>
      </c>
      <c r="Z4" s="3462"/>
      <c r="AA4" s="3456" t="s">
        <v>517</v>
      </c>
      <c r="AB4" s="3456" t="s">
        <v>518</v>
      </c>
      <c r="AC4" s="3456" t="s">
        <v>519</v>
      </c>
    </row>
    <row r="5" spans="1:29" ht="15">
      <c r="A5" s="509"/>
      <c r="B5" s="510"/>
      <c r="C5" s="3485" t="s">
        <v>2893</v>
      </c>
      <c r="D5" s="3486"/>
      <c r="E5" s="3572" t="s">
        <v>3268</v>
      </c>
      <c r="F5" s="3502"/>
      <c r="G5" s="3573" t="s">
        <v>3269</v>
      </c>
      <c r="H5" s="3486"/>
      <c r="I5" s="3573" t="s">
        <v>3270</v>
      </c>
      <c r="J5" s="3486"/>
      <c r="K5" s="843"/>
      <c r="L5" s="2014"/>
      <c r="M5" s="2015"/>
      <c r="N5" s="2015"/>
      <c r="O5" s="2015"/>
      <c r="P5" s="3478"/>
      <c r="Q5" s="3479"/>
      <c r="R5" s="3463"/>
      <c r="S5" s="3464"/>
      <c r="T5" s="3463"/>
      <c r="U5" s="3464"/>
      <c r="V5" s="3482"/>
      <c r="W5" s="3482"/>
      <c r="X5" s="1501"/>
      <c r="Y5" s="3463"/>
      <c r="Z5" s="3464"/>
      <c r="AA5" s="3457"/>
      <c r="AB5" s="3457"/>
      <c r="AC5" s="3457"/>
    </row>
    <row r="6" spans="1:29" ht="15.75" thickBot="1">
      <c r="A6" s="511"/>
      <c r="B6" s="512"/>
      <c r="C6" s="3483" t="s">
        <v>2897</v>
      </c>
      <c r="D6" s="3484"/>
      <c r="E6" s="3503" t="s">
        <v>2897</v>
      </c>
      <c r="F6" s="3504"/>
      <c r="G6" s="3483" t="s">
        <v>2897</v>
      </c>
      <c r="H6" s="3484"/>
      <c r="I6" s="3483" t="s">
        <v>2897</v>
      </c>
      <c r="J6" s="3484"/>
      <c r="K6" s="843" t="s">
        <v>522</v>
      </c>
      <c r="L6" s="2014"/>
      <c r="M6" s="2015"/>
      <c r="N6" s="2015"/>
      <c r="O6" s="2015"/>
      <c r="P6" s="3480"/>
      <c r="Q6" s="3481"/>
      <c r="R6" s="3463"/>
      <c r="S6" s="3464"/>
      <c r="T6" s="3466"/>
      <c r="U6" s="3467"/>
      <c r="V6" s="3482"/>
      <c r="W6" s="3482"/>
      <c r="X6" s="1501"/>
      <c r="Y6" s="3466"/>
      <c r="Z6" s="3467"/>
      <c r="AA6" s="3458"/>
      <c r="AB6" s="3458"/>
      <c r="AC6" s="3458"/>
    </row>
    <row r="7" spans="1:29" s="1202" customFormat="1" ht="15.75" thickBot="1">
      <c r="A7" s="2628"/>
      <c r="B7" s="2635" t="s">
        <v>523</v>
      </c>
      <c r="C7" s="513">
        <f>'数据-取费表'!B2</f>
        <v>44125</v>
      </c>
      <c r="D7" s="514">
        <v>100</v>
      </c>
      <c r="E7" s="515">
        <f>C7</f>
        <v>44125</v>
      </c>
      <c r="F7" s="516">
        <f>SUMIF(58:58,YEAR(E7)&amp;"-"&amp;MONTH(E7),59:59)</f>
        <v>100</v>
      </c>
      <c r="G7" s="517">
        <f>C7</f>
        <v>44125</v>
      </c>
      <c r="H7" s="514">
        <f>SUMIF(58:58,YEAR(G7)&amp;"-"&amp;MONTH(G7),59:59)</f>
        <v>100</v>
      </c>
      <c r="I7" s="517">
        <f>C7</f>
        <v>44125</v>
      </c>
      <c r="J7" s="514">
        <f>SUMIF(58:58,YEAR(I7)&amp;"-"&amp;MONTH(I7),59:59)</f>
        <v>100</v>
      </c>
      <c r="K7" s="844"/>
      <c r="L7" s="2016"/>
      <c r="M7" s="2017"/>
      <c r="N7" s="2017"/>
      <c r="O7" s="2017"/>
      <c r="P7" s="3459" t="s">
        <v>524</v>
      </c>
      <c r="Q7" s="3469"/>
      <c r="R7" s="1502" t="s">
        <v>13</v>
      </c>
      <c r="S7" s="1503">
        <f t="shared" ref="S7:S15" si="0">F7</f>
        <v>100</v>
      </c>
      <c r="T7" s="1502" t="s">
        <v>13</v>
      </c>
      <c r="U7" s="1503">
        <f t="shared" ref="U7:U15" si="1">H7</f>
        <v>100</v>
      </c>
      <c r="V7" s="1502" t="s">
        <v>13</v>
      </c>
      <c r="W7" s="1503">
        <f t="shared" ref="W7:W15" si="2">J7</f>
        <v>100</v>
      </c>
      <c r="X7" s="1504"/>
      <c r="Y7" s="3459" t="s">
        <v>524</v>
      </c>
      <c r="Z7" s="3460"/>
      <c r="AA7" s="1505">
        <f>D7/F7</f>
        <v>1</v>
      </c>
      <c r="AB7" s="1505">
        <f>D7/H7</f>
        <v>1</v>
      </c>
      <c r="AC7" s="1505">
        <f>D7/J7</f>
        <v>1</v>
      </c>
    </row>
    <row r="8" spans="1:29" s="1202" customFormat="1" ht="15.75" thickBot="1">
      <c r="A8" s="2629"/>
      <c r="B8" s="2636" t="s">
        <v>525</v>
      </c>
      <c r="C8" s="519" t="s">
        <v>570</v>
      </c>
      <c r="D8" s="514">
        <v>100</v>
      </c>
      <c r="E8" s="845" t="s">
        <v>3271</v>
      </c>
      <c r="F8" s="516">
        <f>SUMIF(61:61,E8,62:62)-SUMIF(61:61,C8,62:62)+100</f>
        <v>100</v>
      </c>
      <c r="G8" s="519" t="s">
        <v>3271</v>
      </c>
      <c r="H8" s="514">
        <f>SUMIF(61:61,G8,62:62)-SUMIF(61:61,C8,62:62)+100</f>
        <v>100</v>
      </c>
      <c r="I8" s="845" t="s">
        <v>3271</v>
      </c>
      <c r="J8" s="514">
        <f>SUMIF(61:61,I8,62:62)-SUMIF(61:61,C8,62:62)+100</f>
        <v>100</v>
      </c>
      <c r="K8" s="844"/>
      <c r="L8" s="2016"/>
      <c r="M8" s="2017"/>
      <c r="N8" s="2017"/>
      <c r="O8" s="2017"/>
      <c r="P8" s="3459" t="s">
        <v>527</v>
      </c>
      <c r="Q8" s="3460"/>
      <c r="R8" s="1502" t="s">
        <v>13</v>
      </c>
      <c r="S8" s="1503">
        <f t="shared" si="0"/>
        <v>100</v>
      </c>
      <c r="T8" s="1502" t="s">
        <v>13</v>
      </c>
      <c r="U8" s="1503">
        <f t="shared" si="1"/>
        <v>100</v>
      </c>
      <c r="V8" s="1502" t="s">
        <v>13</v>
      </c>
      <c r="W8" s="1503">
        <f t="shared" si="2"/>
        <v>100</v>
      </c>
      <c r="X8" s="1504"/>
      <c r="Y8" s="3459" t="s">
        <v>527</v>
      </c>
      <c r="Z8" s="3460"/>
      <c r="AA8" s="1505">
        <f t="shared" ref="AA8:AA46" si="3">D8/F8</f>
        <v>1</v>
      </c>
      <c r="AB8" s="1505">
        <f t="shared" ref="AB8:AB46" si="4">D8/H8</f>
        <v>1</v>
      </c>
      <c r="AC8" s="1505">
        <f t="shared" ref="AC8:AC46" si="5">D8/J8</f>
        <v>1</v>
      </c>
    </row>
    <row r="9" spans="1:29" s="1202" customFormat="1" ht="15">
      <c r="A9" s="2630"/>
      <c r="B9" s="2637" t="s">
        <v>2736</v>
      </c>
      <c r="C9" s="3317" t="s">
        <v>3272</v>
      </c>
      <c r="D9" s="252">
        <v>100</v>
      </c>
      <c r="E9" s="847" t="s">
        <v>914</v>
      </c>
      <c r="F9" s="848">
        <f>SUMIF(63:63,E9,64:64)-SUMIF(63:63,C9,64:64)+100</f>
        <v>100</v>
      </c>
      <c r="G9" s="849" t="s">
        <v>914</v>
      </c>
      <c r="H9" s="252">
        <f>SUMIF(63:63,G9,64:64)-SUMIF(63:63,C9,64:64)+100</f>
        <v>100</v>
      </c>
      <c r="I9" s="849" t="s">
        <v>914</v>
      </c>
      <c r="J9" s="252">
        <f>SUMIF(63:63,I9,64:64)-SUMIF(63:63,C9,64:64)+100</f>
        <v>100</v>
      </c>
      <c r="K9" s="844"/>
      <c r="L9" s="2016"/>
      <c r="M9" s="2017"/>
      <c r="N9" s="2017"/>
      <c r="O9" s="2018"/>
      <c r="P9" s="3468" t="s">
        <v>529</v>
      </c>
      <c r="Q9" s="1133" t="str">
        <f t="shared" ref="Q9:Q15" si="6">B9</f>
        <v>用途</v>
      </c>
      <c r="R9" s="1502" t="s">
        <v>8</v>
      </c>
      <c r="S9" s="1503">
        <f t="shared" si="0"/>
        <v>100</v>
      </c>
      <c r="T9" s="1502" t="s">
        <v>8</v>
      </c>
      <c r="U9" s="1503">
        <f t="shared" si="1"/>
        <v>100</v>
      </c>
      <c r="V9" s="1502" t="s">
        <v>8</v>
      </c>
      <c r="W9" s="1503">
        <f t="shared" si="2"/>
        <v>100</v>
      </c>
      <c r="X9" s="1504"/>
      <c r="Y9" s="3465" t="s">
        <v>530</v>
      </c>
      <c r="Z9" s="1132" t="str">
        <f t="shared" ref="Z9:Z15" si="7">Q9</f>
        <v>用途</v>
      </c>
      <c r="AA9" s="1505">
        <f t="shared" si="3"/>
        <v>1</v>
      </c>
      <c r="AB9" s="1505">
        <f t="shared" si="4"/>
        <v>1</v>
      </c>
      <c r="AC9" s="1505">
        <f t="shared" si="5"/>
        <v>1</v>
      </c>
    </row>
    <row r="10" spans="1:29" s="1291" customFormat="1" ht="27.75" thickBot="1">
      <c r="A10" s="2631"/>
      <c r="B10" s="2636" t="s">
        <v>2737</v>
      </c>
      <c r="C10" s="850" t="s">
        <v>3273</v>
      </c>
      <c r="D10" s="253">
        <v>100</v>
      </c>
      <c r="E10" s="851" t="s">
        <v>3273</v>
      </c>
      <c r="F10" s="852">
        <f>SUMIF(65:65,E10,66:66)-SUMIF(65:65,C10,66:66)+100</f>
        <v>100</v>
      </c>
      <c r="G10" s="850" t="s">
        <v>3273</v>
      </c>
      <c r="H10" s="253">
        <f>SUMIF(65:65,G10,66:66)-SUMIF(65:65,C10,66:66)+100</f>
        <v>100</v>
      </c>
      <c r="I10" s="850" t="s">
        <v>3273</v>
      </c>
      <c r="J10" s="253">
        <f>SUMIF(65:65,I10,66:66)-SUMIF(65:65,C10,66:66)+100</f>
        <v>100</v>
      </c>
      <c r="K10" s="853"/>
      <c r="L10" s="2019"/>
      <c r="M10" s="2058"/>
      <c r="N10" s="2058"/>
      <c r="O10" s="2020"/>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8">
        <v>2</v>
      </c>
      <c r="F11" s="852">
        <f>LOOKUP(E11,68:68,69:69)-LOOKUP(C11,68:68,69:69)+100</f>
        <v>100</v>
      </c>
      <c r="G11" s="527">
        <v>2</v>
      </c>
      <c r="H11" s="253">
        <f>LOOKUP(G11,68:68,69:69)-LOOKUP(C11,68:68,69:69)+100</f>
        <v>100</v>
      </c>
      <c r="I11" s="527">
        <v>2</v>
      </c>
      <c r="J11" s="253">
        <f>LOOKUP(I11,68:68,69:69)-LOOKUP(C11,68:68,69:69)+100</f>
        <v>100</v>
      </c>
      <c r="K11" s="853"/>
      <c r="L11" s="2021"/>
      <c r="M11" s="2015"/>
      <c r="N11" s="2015"/>
      <c r="O11" s="2022"/>
      <c r="P11" s="3468"/>
      <c r="Q11" s="1133" t="str">
        <f t="shared" si="6"/>
        <v>容积率</v>
      </c>
      <c r="R11" s="1502" t="s">
        <v>11</v>
      </c>
      <c r="S11" s="1503">
        <f t="shared" si="0"/>
        <v>100</v>
      </c>
      <c r="T11" s="1502" t="s">
        <v>11</v>
      </c>
      <c r="U11" s="1503">
        <f t="shared" si="1"/>
        <v>100</v>
      </c>
      <c r="V11" s="1502" t="s">
        <v>11</v>
      </c>
      <c r="W11" s="1503">
        <f t="shared" si="2"/>
        <v>100</v>
      </c>
      <c r="X11" s="1504"/>
      <c r="Y11" s="3465"/>
      <c r="Z11" s="1132" t="str">
        <f t="shared" si="7"/>
        <v>容积率</v>
      </c>
      <c r="AA11" s="1505">
        <f t="shared" si="3"/>
        <v>1</v>
      </c>
      <c r="AB11" s="1505">
        <f t="shared" si="4"/>
        <v>1</v>
      </c>
      <c r="AC11" s="1505">
        <f t="shared" si="5"/>
        <v>1</v>
      </c>
    </row>
    <row r="12" spans="1:29" s="1202" customFormat="1" ht="15" hidden="1">
      <c r="A12" s="2633"/>
      <c r="B12" s="2639">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468"/>
      <c r="Q12" s="1133">
        <f t="shared" si="6"/>
        <v>111</v>
      </c>
      <c r="R12" s="1502" t="s">
        <v>11</v>
      </c>
      <c r="S12" s="1503">
        <f t="shared" si="0"/>
        <v>100</v>
      </c>
      <c r="T12" s="1502" t="s">
        <v>11</v>
      </c>
      <c r="U12" s="1503">
        <f t="shared" si="1"/>
        <v>100</v>
      </c>
      <c r="V12" s="1502" t="s">
        <v>11</v>
      </c>
      <c r="W12" s="1503">
        <f t="shared" si="2"/>
        <v>100</v>
      </c>
      <c r="X12" s="1504"/>
      <c r="Y12" s="3465"/>
      <c r="Z12" s="1132">
        <f t="shared" si="7"/>
        <v>111</v>
      </c>
      <c r="AA12" s="1505">
        <f>D12/F12</f>
        <v>1</v>
      </c>
      <c r="AB12" s="1505">
        <f>D12/H12</f>
        <v>1</v>
      </c>
      <c r="AC12" s="1505">
        <f>D12/J12</f>
        <v>1</v>
      </c>
    </row>
    <row r="13" spans="1:29" ht="15" hidden="1">
      <c r="A13" s="2633"/>
      <c r="B13" s="2639">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468"/>
      <c r="Q13" s="1133">
        <f t="shared" si="6"/>
        <v>111</v>
      </c>
      <c r="R13" s="1502" t="s">
        <v>11</v>
      </c>
      <c r="S13" s="1503">
        <f t="shared" si="0"/>
        <v>100</v>
      </c>
      <c r="T13" s="1502" t="s">
        <v>11</v>
      </c>
      <c r="U13" s="1503">
        <f t="shared" si="1"/>
        <v>100</v>
      </c>
      <c r="V13" s="1502" t="s">
        <v>11</v>
      </c>
      <c r="W13" s="1503">
        <f t="shared" si="2"/>
        <v>100</v>
      </c>
      <c r="X13" s="1504"/>
      <c r="Y13" s="3465"/>
      <c r="Z13" s="1132">
        <f t="shared" si="7"/>
        <v>111</v>
      </c>
      <c r="AA13" s="1505">
        <f t="shared" si="3"/>
        <v>1</v>
      </c>
      <c r="AB13" s="1505">
        <f t="shared" si="4"/>
        <v>1</v>
      </c>
      <c r="AC13" s="1505">
        <f t="shared" si="5"/>
        <v>1</v>
      </c>
    </row>
    <row r="14" spans="1:29" ht="15.75" hidden="1" thickBot="1">
      <c r="A14" s="2634"/>
      <c r="B14" s="2640">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468"/>
      <c r="Q14" s="1133">
        <f t="shared" si="6"/>
        <v>111</v>
      </c>
      <c r="R14" s="1502" t="s">
        <v>11</v>
      </c>
      <c r="S14" s="1503">
        <f t="shared" si="0"/>
        <v>100</v>
      </c>
      <c r="T14" s="1502" t="s">
        <v>11</v>
      </c>
      <c r="U14" s="1503">
        <f t="shared" si="1"/>
        <v>100</v>
      </c>
      <c r="V14" s="1502" t="s">
        <v>11</v>
      </c>
      <c r="W14" s="1503">
        <f t="shared" si="2"/>
        <v>100</v>
      </c>
      <c r="X14" s="1504"/>
      <c r="Y14" s="3465"/>
      <c r="Z14" s="1132">
        <f t="shared" si="7"/>
        <v>111</v>
      </c>
      <c r="AA14" s="1505">
        <f t="shared" si="3"/>
        <v>1</v>
      </c>
      <c r="AB14" s="1505">
        <f t="shared" si="4"/>
        <v>1</v>
      </c>
      <c r="AC14" s="1505">
        <f t="shared" si="5"/>
        <v>1</v>
      </c>
    </row>
    <row r="15" spans="1:29" ht="21.75" customHeight="1">
      <c r="A15" s="2626" t="s">
        <v>2734</v>
      </c>
      <c r="B15" s="164" t="s">
        <v>295</v>
      </c>
      <c r="C15" s="856" t="str">
        <f>估价对象房地状况!C3</f>
        <v>现状差，未来好</v>
      </c>
      <c r="D15" s="543">
        <v>100</v>
      </c>
      <c r="E15" s="544"/>
      <c r="F15" s="545">
        <f>SUMIF(76:76,E16,77:77)-SUMIF(76:76,C16,77:77)+100</f>
        <v>100</v>
      </c>
      <c r="G15" s="546"/>
      <c r="H15" s="543">
        <f>SUMIF(76:76,G16,77:77)-SUMIF(76:76,C16,77:77)+100</f>
        <v>97</v>
      </c>
      <c r="I15" s="544"/>
      <c r="J15" s="543">
        <f>SUMIF(76:76,I16,77:77)-SUMIF(76:76,C16,77:77)+100</f>
        <v>97</v>
      </c>
      <c r="K15" s="857">
        <v>3</v>
      </c>
      <c r="L15" s="2023"/>
      <c r="M15" s="2015"/>
      <c r="N15" s="2015"/>
      <c r="O15" s="2022"/>
      <c r="P15" s="3470" t="s">
        <v>534</v>
      </c>
      <c r="Q15" s="1506" t="str">
        <f t="shared" si="6"/>
        <v>居住社区成熟度</v>
      </c>
      <c r="R15" s="1507" t="s">
        <v>11</v>
      </c>
      <c r="S15" s="1508">
        <f t="shared" si="0"/>
        <v>100</v>
      </c>
      <c r="T15" s="1507" t="s">
        <v>11</v>
      </c>
      <c r="U15" s="1508">
        <f t="shared" si="1"/>
        <v>97</v>
      </c>
      <c r="V15" s="1507" t="s">
        <v>11</v>
      </c>
      <c r="W15" s="1508">
        <f t="shared" si="2"/>
        <v>97</v>
      </c>
      <c r="X15" s="1501"/>
      <c r="Y15" s="3470" t="s">
        <v>534</v>
      </c>
      <c r="Z15" s="1509" t="str">
        <f t="shared" si="7"/>
        <v>居住社区成熟度</v>
      </c>
      <c r="AA15" s="1510">
        <f t="shared" si="3"/>
        <v>1</v>
      </c>
      <c r="AB15" s="1510">
        <f t="shared" si="4"/>
        <v>1.0309278350515463</v>
      </c>
      <c r="AC15" s="1510">
        <f t="shared" si="5"/>
        <v>1.0309278350515463</v>
      </c>
    </row>
    <row r="16" spans="1:29" ht="15">
      <c r="A16" s="526"/>
      <c r="B16" s="858"/>
      <c r="C16" s="570" t="s">
        <v>3278</v>
      </c>
      <c r="D16" s="549"/>
      <c r="E16" s="550" t="s">
        <v>3278</v>
      </c>
      <c r="F16" s="551"/>
      <c r="G16" s="552" t="s">
        <v>3280</v>
      </c>
      <c r="H16" s="553"/>
      <c r="I16" s="550" t="s">
        <v>3280</v>
      </c>
      <c r="J16" s="549"/>
      <c r="K16" s="859"/>
      <c r="L16" s="2023"/>
      <c r="M16" s="2015"/>
      <c r="N16" s="2015"/>
      <c r="O16" s="2022"/>
      <c r="P16" s="3471"/>
      <c r="Q16" s="1506"/>
      <c r="R16" s="1507"/>
      <c r="S16" s="1508"/>
      <c r="T16" s="1507"/>
      <c r="U16" s="1508"/>
      <c r="V16" s="1507"/>
      <c r="W16" s="1508"/>
      <c r="X16" s="1501"/>
      <c r="Y16" s="3471"/>
      <c r="Z16" s="1509"/>
      <c r="AA16" s="1510">
        <v>1</v>
      </c>
      <c r="AB16" s="1510">
        <v>1</v>
      </c>
      <c r="AC16" s="1510">
        <v>1</v>
      </c>
    </row>
    <row r="17" spans="1:29" ht="25.5" customHeight="1">
      <c r="A17" s="526"/>
      <c r="B17" s="860" t="s">
        <v>296</v>
      </c>
      <c r="C17" s="861" t="str">
        <f>估价对象房地状况!C6</f>
        <v>现状差，未来较好</v>
      </c>
      <c r="D17" s="553">
        <v>100</v>
      </c>
      <c r="E17" s="556"/>
      <c r="F17" s="557">
        <f>SUMIF(78:78,E18,79:79)-SUMIF(78:78,C18,79:79)+100</f>
        <v>103</v>
      </c>
      <c r="G17" s="558"/>
      <c r="H17" s="559">
        <f>SUMIF(78:78,G18,79:79)-SUMIF(78:78,C18,79:79)+100</f>
        <v>100</v>
      </c>
      <c r="I17" s="556"/>
      <c r="J17" s="559">
        <f>SUMIF(78:78,I18,79:79)-SUMIF(78:78,C18,79:79)+100</f>
        <v>100</v>
      </c>
      <c r="K17" s="857">
        <v>3</v>
      </c>
      <c r="L17" s="2023"/>
      <c r="M17" s="2015"/>
      <c r="N17" s="2015"/>
      <c r="O17" s="2022"/>
      <c r="P17" s="3471"/>
      <c r="Q17" s="1506" t="str">
        <f>B17</f>
        <v>交通便捷度</v>
      </c>
      <c r="R17" s="1507" t="s">
        <v>11</v>
      </c>
      <c r="S17" s="1508">
        <f>F17</f>
        <v>103</v>
      </c>
      <c r="T17" s="1507" t="s">
        <v>11</v>
      </c>
      <c r="U17" s="1508">
        <f>H17</f>
        <v>100</v>
      </c>
      <c r="V17" s="1507" t="s">
        <v>11</v>
      </c>
      <c r="W17" s="1508">
        <f>J17</f>
        <v>100</v>
      </c>
      <c r="X17" s="1501"/>
      <c r="Y17" s="3471"/>
      <c r="Z17" s="1509" t="str">
        <f>Q17</f>
        <v>交通便捷度</v>
      </c>
      <c r="AA17" s="1510">
        <f t="shared" si="3"/>
        <v>0.970873786407767</v>
      </c>
      <c r="AB17" s="1510">
        <f t="shared" si="4"/>
        <v>1</v>
      </c>
      <c r="AC17" s="1510">
        <f t="shared" si="5"/>
        <v>1</v>
      </c>
    </row>
    <row r="18" spans="1:29" ht="15">
      <c r="A18" s="526"/>
      <c r="B18" s="589"/>
      <c r="C18" s="862" t="s">
        <v>3280</v>
      </c>
      <c r="D18" s="553"/>
      <c r="E18" s="562" t="s">
        <v>3278</v>
      </c>
      <c r="F18" s="557"/>
      <c r="G18" s="563" t="s">
        <v>3280</v>
      </c>
      <c r="H18" s="549"/>
      <c r="I18" s="562" t="s">
        <v>3280</v>
      </c>
      <c r="J18" s="549"/>
      <c r="K18" s="859"/>
      <c r="L18" s="2023"/>
      <c r="M18" s="2015"/>
      <c r="N18" s="2015"/>
      <c r="O18" s="2022"/>
      <c r="P18" s="3471"/>
      <c r="Q18" s="1506"/>
      <c r="R18" s="1507"/>
      <c r="S18" s="1508"/>
      <c r="T18" s="1507"/>
      <c r="U18" s="1508"/>
      <c r="V18" s="1507"/>
      <c r="W18" s="1508"/>
      <c r="X18" s="1501"/>
      <c r="Y18" s="3471"/>
      <c r="Z18" s="1509"/>
      <c r="AA18" s="1510">
        <v>1</v>
      </c>
      <c r="AB18" s="1510">
        <v>1</v>
      </c>
      <c r="AC18" s="1510">
        <v>1</v>
      </c>
    </row>
    <row r="19" spans="1:29" ht="19.5" customHeight="1">
      <c r="A19" s="526"/>
      <c r="B19" s="2443" t="s">
        <v>2527</v>
      </c>
      <c r="C19" s="861" t="str">
        <f>估价对象房地状况!C7</f>
        <v>现状差，未来好</v>
      </c>
      <c r="D19" s="559">
        <v>100</v>
      </c>
      <c r="E19" s="564"/>
      <c r="F19" s="565">
        <f>SUMIF(80:80,E20,81:81)-SUMIF(80:80,C20,81:81)+100</f>
        <v>100</v>
      </c>
      <c r="G19" s="566"/>
      <c r="H19" s="553">
        <f>SUMIF(80:80,G20,81:81)-SUMIF(80:80,C20,81:81)+100</f>
        <v>97</v>
      </c>
      <c r="I19" s="564"/>
      <c r="J19" s="553">
        <f>SUMIF(80:80,I20,81:81)-SUMIF(80:80,C20,81:81)+100</f>
        <v>97</v>
      </c>
      <c r="K19" s="857">
        <v>3</v>
      </c>
      <c r="L19" s="2023"/>
      <c r="M19" s="2015"/>
      <c r="N19" s="2015"/>
      <c r="O19" s="2022"/>
      <c r="P19" s="3471"/>
      <c r="Q19" s="1506" t="str">
        <f>B19</f>
        <v>公共配套设施</v>
      </c>
      <c r="R19" s="1507" t="s">
        <v>11</v>
      </c>
      <c r="S19" s="1508">
        <f>F19</f>
        <v>100</v>
      </c>
      <c r="T19" s="1507" t="s">
        <v>11</v>
      </c>
      <c r="U19" s="1508">
        <f>H19</f>
        <v>97</v>
      </c>
      <c r="V19" s="1507" t="s">
        <v>11</v>
      </c>
      <c r="W19" s="1508">
        <f>J19</f>
        <v>97</v>
      </c>
      <c r="X19" s="1501"/>
      <c r="Y19" s="3471"/>
      <c r="Z19" s="1509" t="str">
        <f>Q19</f>
        <v>公共配套设施</v>
      </c>
      <c r="AA19" s="1510">
        <f t="shared" si="3"/>
        <v>1</v>
      </c>
      <c r="AB19" s="1510">
        <f t="shared" si="4"/>
        <v>1.0309278350515463</v>
      </c>
      <c r="AC19" s="1510">
        <f t="shared" si="5"/>
        <v>1.0309278350515463</v>
      </c>
    </row>
    <row r="20" spans="1:29" ht="15">
      <c r="A20" s="526"/>
      <c r="B20" s="589"/>
      <c r="C20" s="570" t="s">
        <v>3278</v>
      </c>
      <c r="D20" s="549"/>
      <c r="E20" s="550" t="s">
        <v>3278</v>
      </c>
      <c r="F20" s="551"/>
      <c r="G20" s="552" t="s">
        <v>3280</v>
      </c>
      <c r="H20" s="549"/>
      <c r="I20" s="550" t="s">
        <v>3280</v>
      </c>
      <c r="J20" s="549"/>
      <c r="K20" s="859"/>
      <c r="L20" s="2023"/>
      <c r="M20" s="2015"/>
      <c r="N20" s="2015"/>
      <c r="O20" s="2022"/>
      <c r="P20" s="3471"/>
      <c r="Q20" s="1506"/>
      <c r="R20" s="1507"/>
      <c r="S20" s="1508"/>
      <c r="T20" s="1507"/>
      <c r="U20" s="1508"/>
      <c r="V20" s="1507"/>
      <c r="W20" s="1508"/>
      <c r="X20" s="1501"/>
      <c r="Y20" s="3471"/>
      <c r="Z20" s="1509"/>
      <c r="AA20" s="1510">
        <v>1</v>
      </c>
      <c r="AB20" s="1510">
        <v>1</v>
      </c>
      <c r="AC20" s="1510">
        <v>1</v>
      </c>
    </row>
    <row r="21" spans="1:29" ht="20.25" customHeight="1">
      <c r="A21" s="526"/>
      <c r="B21" s="2436" t="s">
        <v>2539</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57"/>
      <c r="L21" s="2023"/>
      <c r="M21" s="2015"/>
      <c r="N21" s="2015"/>
      <c r="O21" s="2022"/>
      <c r="P21" s="3471"/>
      <c r="Q21" s="2428" t="str">
        <f>B21</f>
        <v>基础设施水平</v>
      </c>
      <c r="R21" s="1507" t="s">
        <v>11</v>
      </c>
      <c r="S21" s="1508">
        <f>F21</f>
        <v>100</v>
      </c>
      <c r="T21" s="1507" t="s">
        <v>11</v>
      </c>
      <c r="U21" s="1508">
        <f>H21</f>
        <v>100</v>
      </c>
      <c r="V21" s="1507" t="s">
        <v>11</v>
      </c>
      <c r="W21" s="1508">
        <f>J21</f>
        <v>100</v>
      </c>
      <c r="X21" s="2430"/>
      <c r="Y21" s="3471"/>
      <c r="Z21" s="2429" t="str">
        <f>Q21</f>
        <v>基础设施水平</v>
      </c>
      <c r="AA21" s="1510">
        <f t="shared" ref="AA21" si="8">D21/F21</f>
        <v>1</v>
      </c>
      <c r="AB21" s="1510">
        <f t="shared" ref="AB21" si="9">D21/H21</f>
        <v>1</v>
      </c>
      <c r="AC21" s="1510">
        <f t="shared" ref="AC21" si="10">D21/J21</f>
        <v>1</v>
      </c>
    </row>
    <row r="22" spans="1:29" ht="15">
      <c r="A22" s="526"/>
      <c r="B22" s="911"/>
      <c r="C22" s="862" t="s">
        <v>3279</v>
      </c>
      <c r="D22" s="549"/>
      <c r="E22" s="570" t="s">
        <v>3279</v>
      </c>
      <c r="F22" s="551"/>
      <c r="G22" s="570" t="s">
        <v>3279</v>
      </c>
      <c r="H22" s="549"/>
      <c r="I22" s="570" t="s">
        <v>3279</v>
      </c>
      <c r="J22" s="549"/>
      <c r="K22" s="2442"/>
      <c r="L22" s="2023"/>
      <c r="M22" s="2015"/>
      <c r="N22" s="2015"/>
      <c r="O22" s="2022"/>
      <c r="P22" s="3471"/>
      <c r="Q22" s="2428"/>
      <c r="R22" s="1507"/>
      <c r="S22" s="1508"/>
      <c r="T22" s="1507"/>
      <c r="U22" s="1508"/>
      <c r="V22" s="1507"/>
      <c r="W22" s="1508"/>
      <c r="X22" s="2430"/>
      <c r="Y22" s="3471"/>
      <c r="Z22" s="2429"/>
      <c r="AA22" s="1510">
        <v>1</v>
      </c>
      <c r="AB22" s="1510">
        <v>1</v>
      </c>
      <c r="AC22" s="1510">
        <v>1</v>
      </c>
    </row>
    <row r="23" spans="1:29" ht="37.5" customHeight="1">
      <c r="A23" s="526"/>
      <c r="B23" s="860" t="s">
        <v>297</v>
      </c>
      <c r="C23" s="861" t="str">
        <f>估价对象房地状况!C9</f>
        <v>现状一般，未来较好</v>
      </c>
      <c r="D23" s="553">
        <v>100</v>
      </c>
      <c r="E23" s="556"/>
      <c r="F23" s="557">
        <f>SUMIF(84:84,E24,85:85)-SUMIF(84:84,C24,85:85)+100</f>
        <v>100</v>
      </c>
      <c r="G23" s="558"/>
      <c r="H23" s="553">
        <f>SUMIF(84:84,G24,85:85)-SUMIF(84:84,C24,85:85)+100</f>
        <v>100</v>
      </c>
      <c r="I23" s="556"/>
      <c r="J23" s="553">
        <f>SUMIF(84:84,I24,85:85)-SUMIF(84:84,C24,85:85)+100</f>
        <v>100</v>
      </c>
      <c r="K23" s="857"/>
      <c r="L23" s="2023"/>
      <c r="M23" s="2015"/>
      <c r="N23" s="2015"/>
      <c r="O23" s="2022"/>
      <c r="P23" s="3471"/>
      <c r="Q23" s="1506" t="str">
        <f>B23</f>
        <v>自然及人文环境</v>
      </c>
      <c r="R23" s="1507" t="s">
        <v>11</v>
      </c>
      <c r="S23" s="1508">
        <f>F23</f>
        <v>100</v>
      </c>
      <c r="T23" s="1507" t="s">
        <v>11</v>
      </c>
      <c r="U23" s="1508">
        <f>H23</f>
        <v>100</v>
      </c>
      <c r="V23" s="1507" t="s">
        <v>11</v>
      </c>
      <c r="W23" s="1508">
        <f>J23</f>
        <v>100</v>
      </c>
      <c r="X23" s="1501"/>
      <c r="Y23" s="3471"/>
      <c r="Z23" s="1509" t="str">
        <f>Q23</f>
        <v>自然及人文环境</v>
      </c>
      <c r="AA23" s="1510">
        <f t="shared" si="3"/>
        <v>1</v>
      </c>
      <c r="AB23" s="1510">
        <f t="shared" si="4"/>
        <v>1</v>
      </c>
      <c r="AC23" s="1510">
        <f t="shared" si="5"/>
        <v>1</v>
      </c>
    </row>
    <row r="24" spans="1:29" ht="15.75" thickBot="1">
      <c r="A24" s="526"/>
      <c r="B24" s="589"/>
      <c r="C24" s="570" t="s">
        <v>3280</v>
      </c>
      <c r="D24" s="549"/>
      <c r="E24" s="550" t="s">
        <v>3280</v>
      </c>
      <c r="F24" s="551"/>
      <c r="G24" s="552" t="s">
        <v>3280</v>
      </c>
      <c r="H24" s="549"/>
      <c r="I24" s="550" t="s">
        <v>3280</v>
      </c>
      <c r="J24" s="549"/>
      <c r="K24" s="859"/>
      <c r="L24" s="2023"/>
      <c r="M24" s="2015"/>
      <c r="N24" s="2015"/>
      <c r="O24" s="2022"/>
      <c r="P24" s="3471"/>
      <c r="Q24" s="1506"/>
      <c r="R24" s="1507"/>
      <c r="S24" s="1508"/>
      <c r="T24" s="1507"/>
      <c r="U24" s="1508"/>
      <c r="V24" s="1507"/>
      <c r="W24" s="1508"/>
      <c r="X24" s="1501"/>
      <c r="Y24" s="3471"/>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471"/>
      <c r="Q25" s="1506" t="str">
        <f t="shared" ref="Q25:Q46" si="11">B25</f>
        <v>楼层-1</v>
      </c>
      <c r="R25" s="1507" t="s">
        <v>11</v>
      </c>
      <c r="S25" s="1508">
        <f>F25</f>
        <v>100</v>
      </c>
      <c r="T25" s="1507" t="s">
        <v>11</v>
      </c>
      <c r="U25" s="1508">
        <f>H25</f>
        <v>100</v>
      </c>
      <c r="V25" s="1507" t="s">
        <v>11</v>
      </c>
      <c r="W25" s="1508">
        <f>J25</f>
        <v>100</v>
      </c>
      <c r="X25" s="1501"/>
      <c r="Y25" s="3471"/>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471"/>
      <c r="Q26" s="1506" t="str">
        <f t="shared" si="11"/>
        <v>朝向</v>
      </c>
      <c r="R26" s="1507" t="s">
        <v>11</v>
      </c>
      <c r="S26" s="1508">
        <f>F26</f>
        <v>100</v>
      </c>
      <c r="T26" s="1507" t="s">
        <v>11</v>
      </c>
      <c r="U26" s="1508">
        <f>H26</f>
        <v>100</v>
      </c>
      <c r="V26" s="1507" t="s">
        <v>11</v>
      </c>
      <c r="W26" s="1508">
        <f>J26</f>
        <v>100</v>
      </c>
      <c r="X26" s="1501"/>
      <c r="Y26" s="3471"/>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471"/>
      <c r="Q27" s="1133" t="str">
        <f t="shared" si="11"/>
        <v>道路级别</v>
      </c>
      <c r="R27" s="1502" t="s">
        <v>11</v>
      </c>
      <c r="S27" s="1503">
        <f>F27</f>
        <v>100</v>
      </c>
      <c r="T27" s="1502" t="s">
        <v>11</v>
      </c>
      <c r="U27" s="1503">
        <f>H27</f>
        <v>100</v>
      </c>
      <c r="V27" s="1502" t="s">
        <v>11</v>
      </c>
      <c r="W27" s="1503">
        <f>J27</f>
        <v>100</v>
      </c>
      <c r="X27" s="1504"/>
      <c r="Y27" s="3471"/>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471"/>
      <c r="Q28" s="1506">
        <f t="shared" si="11"/>
        <v>111</v>
      </c>
      <c r="R28" s="1507" t="s">
        <v>11</v>
      </c>
      <c r="S28" s="1508">
        <f t="shared" ref="S28:S46" si="12">F28</f>
        <v>100</v>
      </c>
      <c r="T28" s="1507" t="s">
        <v>11</v>
      </c>
      <c r="U28" s="1508">
        <f t="shared" ref="U28:U46" si="13">H28</f>
        <v>100</v>
      </c>
      <c r="V28" s="1507" t="s">
        <v>11</v>
      </c>
      <c r="W28" s="1508">
        <f t="shared" ref="W28:W46" si="14">J28</f>
        <v>100</v>
      </c>
      <c r="X28" s="1501"/>
      <c r="Y28" s="3471"/>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471"/>
      <c r="Q29" s="1506">
        <f t="shared" si="11"/>
        <v>111</v>
      </c>
      <c r="R29" s="1507" t="s">
        <v>11</v>
      </c>
      <c r="S29" s="1508">
        <f t="shared" si="12"/>
        <v>100</v>
      </c>
      <c r="T29" s="1507" t="s">
        <v>11</v>
      </c>
      <c r="U29" s="1508">
        <f t="shared" si="13"/>
        <v>100</v>
      </c>
      <c r="V29" s="1507" t="s">
        <v>11</v>
      </c>
      <c r="W29" s="1508">
        <f t="shared" si="14"/>
        <v>100</v>
      </c>
      <c r="X29" s="1501"/>
      <c r="Y29" s="3471"/>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471"/>
      <c r="Q30" s="1506">
        <f t="shared" si="11"/>
        <v>111</v>
      </c>
      <c r="R30" s="1507" t="s">
        <v>11</v>
      </c>
      <c r="S30" s="1508">
        <f t="shared" si="12"/>
        <v>100</v>
      </c>
      <c r="T30" s="1507" t="s">
        <v>11</v>
      </c>
      <c r="U30" s="1508">
        <f t="shared" si="13"/>
        <v>100</v>
      </c>
      <c r="V30" s="1507" t="s">
        <v>11</v>
      </c>
      <c r="W30" s="1508">
        <f t="shared" si="14"/>
        <v>100</v>
      </c>
      <c r="X30" s="1501"/>
      <c r="Y30" s="3471"/>
      <c r="Z30" s="1509">
        <f t="shared" si="15"/>
        <v>111</v>
      </c>
      <c r="AA30" s="1510">
        <f t="shared" si="3"/>
        <v>1</v>
      </c>
      <c r="AB30" s="1510">
        <f t="shared" si="4"/>
        <v>1</v>
      </c>
      <c r="AC30" s="15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471"/>
      <c r="Q31" s="1506">
        <f t="shared" si="11"/>
        <v>111</v>
      </c>
      <c r="R31" s="1507" t="s">
        <v>11</v>
      </c>
      <c r="S31" s="1508">
        <f t="shared" si="12"/>
        <v>100</v>
      </c>
      <c r="T31" s="1507" t="s">
        <v>11</v>
      </c>
      <c r="U31" s="1508">
        <f t="shared" si="13"/>
        <v>100</v>
      </c>
      <c r="V31" s="1507" t="s">
        <v>11</v>
      </c>
      <c r="W31" s="1508">
        <f t="shared" si="14"/>
        <v>100</v>
      </c>
      <c r="X31" s="1501"/>
      <c r="Y31" s="3471"/>
      <c r="Z31" s="1509">
        <f t="shared" si="15"/>
        <v>111</v>
      </c>
      <c r="AA31" s="1510">
        <f t="shared" si="3"/>
        <v>1</v>
      </c>
      <c r="AB31" s="1510">
        <f t="shared" si="4"/>
        <v>1</v>
      </c>
      <c r="AC31" s="1510">
        <f t="shared" si="5"/>
        <v>1</v>
      </c>
    </row>
    <row r="32" spans="1:29" ht="15">
      <c r="A32" s="2623" t="s">
        <v>2735</v>
      </c>
      <c r="B32" s="170" t="s">
        <v>719</v>
      </c>
      <c r="C32" s="867" t="s">
        <v>3282</v>
      </c>
      <c r="D32" s="591">
        <v>100</v>
      </c>
      <c r="E32" s="868" t="s">
        <v>3282</v>
      </c>
      <c r="F32" s="569">
        <f>SUMIF(100:100,E32,101:101)-SUMIF(100:100,C32,101:101)+100</f>
        <v>100</v>
      </c>
      <c r="G32" s="867" t="s">
        <v>3282</v>
      </c>
      <c r="H32" s="591">
        <f>SUMIF(100:100,G32,101:101)-SUMIF(100:100,C32,101:101)+100</f>
        <v>100</v>
      </c>
      <c r="I32" s="868" t="s">
        <v>3282</v>
      </c>
      <c r="J32" s="534">
        <f>SUMIF(100:100,I32,101:101)-SUMIF(100:100,C32,101:101)+100</f>
        <v>100</v>
      </c>
      <c r="K32" s="853"/>
      <c r="L32" s="2023"/>
      <c r="M32" s="2015"/>
      <c r="N32" s="2015"/>
      <c r="O32" s="2022"/>
      <c r="P32" s="3472" t="s">
        <v>544</v>
      </c>
      <c r="Q32" s="1506" t="str">
        <f t="shared" si="11"/>
        <v>建筑类型</v>
      </c>
      <c r="R32" s="1507" t="s">
        <v>11</v>
      </c>
      <c r="S32" s="1508">
        <f t="shared" si="12"/>
        <v>100</v>
      </c>
      <c r="T32" s="1507" t="s">
        <v>11</v>
      </c>
      <c r="U32" s="1508">
        <f t="shared" si="13"/>
        <v>100</v>
      </c>
      <c r="V32" s="1507" t="s">
        <v>11</v>
      </c>
      <c r="W32" s="1508">
        <f t="shared" si="14"/>
        <v>100</v>
      </c>
      <c r="X32" s="1501"/>
      <c r="Y32" s="3473" t="s">
        <v>544</v>
      </c>
      <c r="Z32" s="1509" t="str">
        <f t="shared" si="15"/>
        <v>建筑类型</v>
      </c>
      <c r="AA32" s="1510">
        <f t="shared" si="3"/>
        <v>1</v>
      </c>
      <c r="AB32" s="1510">
        <f t="shared" si="4"/>
        <v>1</v>
      </c>
      <c r="AC32" s="1510">
        <f t="shared" si="5"/>
        <v>1</v>
      </c>
    </row>
    <row r="33" spans="1:29" s="1292" customFormat="1" ht="15" hidden="1">
      <c r="A33" s="597"/>
      <c r="B33" s="521" t="s">
        <v>720</v>
      </c>
      <c r="C33" s="869">
        <v>1</v>
      </c>
      <c r="D33" s="253">
        <v>100</v>
      </c>
      <c r="E33" s="528">
        <v>1</v>
      </c>
      <c r="F33" s="852">
        <f>LOOKUP(E33,103:103,104:104)-LOOKUP(C33,103:103,104:104)+100</f>
        <v>100</v>
      </c>
      <c r="G33" s="527">
        <v>1</v>
      </c>
      <c r="H33" s="253">
        <f>LOOKUP(G33,103:103,104:104)-LOOKUP(C33,103:103,104:104)+100</f>
        <v>100</v>
      </c>
      <c r="I33" s="528">
        <v>1</v>
      </c>
      <c r="J33" s="253">
        <f>LOOKUP(I33,103:103,104:104)-LOOKUP(C33,103:103,104:104)+100</f>
        <v>100</v>
      </c>
      <c r="K33" s="854"/>
      <c r="L33" s="2021"/>
      <c r="M33" s="2051"/>
      <c r="N33" s="2051"/>
      <c r="O33" s="2024"/>
      <c r="P33" s="3473"/>
      <c r="Q33" s="1535" t="str">
        <f t="shared" si="11"/>
        <v>项目建筑规模</v>
      </c>
      <c r="R33" s="1511" t="s">
        <v>11</v>
      </c>
      <c r="S33" s="1512">
        <f t="shared" si="12"/>
        <v>100</v>
      </c>
      <c r="T33" s="1511" t="s">
        <v>11</v>
      </c>
      <c r="U33" s="1512">
        <f t="shared" si="13"/>
        <v>100</v>
      </c>
      <c r="V33" s="1511" t="s">
        <v>11</v>
      </c>
      <c r="W33" s="1512">
        <f t="shared" si="14"/>
        <v>100</v>
      </c>
      <c r="X33" s="1513"/>
      <c r="Y33" s="3473"/>
      <c r="Z33" s="1514" t="str">
        <f t="shared" si="15"/>
        <v>项目建筑规模</v>
      </c>
      <c r="AA33" s="1510">
        <f t="shared" si="3"/>
        <v>1</v>
      </c>
      <c r="AB33" s="1510">
        <f t="shared" si="4"/>
        <v>1</v>
      </c>
      <c r="AC33" s="1510">
        <f t="shared" si="5"/>
        <v>1</v>
      </c>
    </row>
    <row r="34" spans="1:29" ht="15" hidden="1">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3"/>
      <c r="M34" s="2015"/>
      <c r="N34" s="2015"/>
      <c r="O34" s="2022"/>
      <c r="P34" s="3473"/>
      <c r="Q34" s="1506" t="str">
        <f t="shared" si="11"/>
        <v>建筑结构</v>
      </c>
      <c r="R34" s="1507" t="s">
        <v>11</v>
      </c>
      <c r="S34" s="1508">
        <f t="shared" si="12"/>
        <v>100</v>
      </c>
      <c r="T34" s="1507" t="s">
        <v>11</v>
      </c>
      <c r="U34" s="1508">
        <f t="shared" si="13"/>
        <v>100</v>
      </c>
      <c r="V34" s="1507" t="s">
        <v>11</v>
      </c>
      <c r="W34" s="1508">
        <f t="shared" si="14"/>
        <v>100</v>
      </c>
      <c r="X34" s="1501"/>
      <c r="Y34" s="3473"/>
      <c r="Z34" s="1509" t="str">
        <f t="shared" si="15"/>
        <v>建筑结构</v>
      </c>
      <c r="AA34" s="1510">
        <f t="shared" si="3"/>
        <v>1</v>
      </c>
      <c r="AB34" s="1510">
        <f t="shared" si="4"/>
        <v>1</v>
      </c>
      <c r="AC34" s="1510">
        <f t="shared" si="5"/>
        <v>1</v>
      </c>
    </row>
    <row r="35" spans="1:29" ht="15" hidden="1">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3"/>
      <c r="M35" s="2015"/>
      <c r="N35" s="2015"/>
      <c r="O35" s="2022"/>
      <c r="P35" s="3473"/>
      <c r="Q35" s="1506" t="str">
        <f t="shared" si="11"/>
        <v>建筑品质</v>
      </c>
      <c r="R35" s="1507" t="s">
        <v>11</v>
      </c>
      <c r="S35" s="1508">
        <f t="shared" si="12"/>
        <v>100</v>
      </c>
      <c r="T35" s="1507" t="s">
        <v>11</v>
      </c>
      <c r="U35" s="1508">
        <f t="shared" si="13"/>
        <v>100</v>
      </c>
      <c r="V35" s="1507" t="s">
        <v>11</v>
      </c>
      <c r="W35" s="1508">
        <f t="shared" si="14"/>
        <v>100</v>
      </c>
      <c r="X35" s="1501"/>
      <c r="Y35" s="3473"/>
      <c r="Z35" s="1509" t="str">
        <f t="shared" si="15"/>
        <v>建筑品质</v>
      </c>
      <c r="AA35" s="1510">
        <f t="shared" si="3"/>
        <v>1</v>
      </c>
      <c r="AB35" s="1510">
        <f t="shared" si="4"/>
        <v>1</v>
      </c>
      <c r="AC35" s="1510">
        <f t="shared" si="5"/>
        <v>1</v>
      </c>
    </row>
    <row r="36" spans="1:29" ht="15">
      <c r="A36" s="588"/>
      <c r="B36" s="521" t="s">
        <v>723</v>
      </c>
      <c r="C36" s="593" t="s">
        <v>3286</v>
      </c>
      <c r="D36" s="534">
        <v>100</v>
      </c>
      <c r="E36" s="863" t="s">
        <v>3286</v>
      </c>
      <c r="F36" s="569">
        <f>SUMIF(109:109,E36,110:110)-SUMIF(109:109,C36,110:110)+100</f>
        <v>100</v>
      </c>
      <c r="G36" s="593" t="s">
        <v>3286</v>
      </c>
      <c r="H36" s="534">
        <f>SUMIF(109:109,G36,110:110)-SUMIF(109:109,C36,110:110)+100</f>
        <v>100</v>
      </c>
      <c r="I36" s="863" t="s">
        <v>3286</v>
      </c>
      <c r="J36" s="534">
        <f>SUMIF(109:109,I36,110:110)-SUMIF(109:109,C36,110:110)+100</f>
        <v>100</v>
      </c>
      <c r="K36" s="853"/>
      <c r="L36" s="2023"/>
      <c r="M36" s="2015"/>
      <c r="N36" s="2015"/>
      <c r="O36" s="2022"/>
      <c r="P36" s="3473"/>
      <c r="Q36" s="1506" t="str">
        <f t="shared" si="11"/>
        <v>公共部分装修</v>
      </c>
      <c r="R36" s="1507" t="s">
        <v>11</v>
      </c>
      <c r="S36" s="1508">
        <f t="shared" si="12"/>
        <v>100</v>
      </c>
      <c r="T36" s="1507" t="s">
        <v>11</v>
      </c>
      <c r="U36" s="1508">
        <f t="shared" si="13"/>
        <v>100</v>
      </c>
      <c r="V36" s="1507" t="s">
        <v>11</v>
      </c>
      <c r="W36" s="1508">
        <f t="shared" si="14"/>
        <v>100</v>
      </c>
      <c r="X36" s="1501"/>
      <c r="Y36" s="3473"/>
      <c r="Z36" s="1509" t="str">
        <f t="shared" si="15"/>
        <v>公共部分装修</v>
      </c>
      <c r="AA36" s="1510">
        <f t="shared" si="3"/>
        <v>1</v>
      </c>
      <c r="AB36" s="1510">
        <f t="shared" si="4"/>
        <v>1</v>
      </c>
      <c r="AC36" s="1510">
        <f t="shared" si="5"/>
        <v>1</v>
      </c>
    </row>
    <row r="37" spans="1:29" s="1202" customFormat="1" ht="15">
      <c r="A37" s="594"/>
      <c r="B37" s="521" t="s">
        <v>724</v>
      </c>
      <c r="C37" s="872">
        <v>1</v>
      </c>
      <c r="D37" s="253">
        <v>100</v>
      </c>
      <c r="E37" s="873">
        <v>0.85</v>
      </c>
      <c r="F37" s="852">
        <f>LOOKUP(E37,112:112,113:113)-LOOKUP(C37,112:112,113:113)+100</f>
        <v>98</v>
      </c>
      <c r="G37" s="874">
        <v>0.85</v>
      </c>
      <c r="H37" s="253">
        <f>LOOKUP(G37,112:112,113:113)-LOOKUP(C37,112:112,113:113)+100</f>
        <v>98</v>
      </c>
      <c r="I37" s="873">
        <v>0.85</v>
      </c>
      <c r="J37" s="253">
        <f>LOOKUP(I37,112:112,113:113)-LOOKUP(C37,112:112,113:113)+100</f>
        <v>98</v>
      </c>
      <c r="K37" s="853">
        <v>2</v>
      </c>
      <c r="L37" s="2016"/>
      <c r="M37" s="2017"/>
      <c r="N37" s="2017"/>
      <c r="O37" s="2018"/>
      <c r="P37" s="3473"/>
      <c r="Q37" s="1133" t="str">
        <f t="shared" si="11"/>
        <v>成新度</v>
      </c>
      <c r="R37" s="1502" t="s">
        <v>11</v>
      </c>
      <c r="S37" s="1503">
        <f t="shared" si="12"/>
        <v>98</v>
      </c>
      <c r="T37" s="1502" t="s">
        <v>11</v>
      </c>
      <c r="U37" s="1503">
        <f t="shared" si="13"/>
        <v>98</v>
      </c>
      <c r="V37" s="1502" t="s">
        <v>11</v>
      </c>
      <c r="W37" s="1503">
        <f t="shared" si="14"/>
        <v>98</v>
      </c>
      <c r="X37" s="1504"/>
      <c r="Y37" s="3473"/>
      <c r="Z37" s="1132" t="str">
        <f t="shared" si="15"/>
        <v>成新度</v>
      </c>
      <c r="AA37" s="1505">
        <f t="shared" si="3"/>
        <v>1.0204081632653061</v>
      </c>
      <c r="AB37" s="1505">
        <f t="shared" si="4"/>
        <v>1.0204081632653061</v>
      </c>
      <c r="AC37" s="1505">
        <f t="shared" si="5"/>
        <v>1.0204081632653061</v>
      </c>
    </row>
    <row r="38" spans="1:29" ht="15" hidden="1">
      <c r="A38" s="588"/>
      <c r="B38" s="521" t="s">
        <v>725</v>
      </c>
      <c r="C38" s="593" t="s">
        <v>3290</v>
      </c>
      <c r="D38" s="534">
        <v>100</v>
      </c>
      <c r="E38" s="863" t="s">
        <v>3290</v>
      </c>
      <c r="F38" s="569">
        <f>SUMIF(114:114,E38,115:115)-SUMIF(114:114,C38,115:115)+100</f>
        <v>100</v>
      </c>
      <c r="G38" s="593" t="s">
        <v>3290</v>
      </c>
      <c r="H38" s="534">
        <f>SUMIF(114:114,G38,115:115)-SUMIF(114:114,C38,115:115)+100</f>
        <v>100</v>
      </c>
      <c r="I38" s="863" t="s">
        <v>3290</v>
      </c>
      <c r="J38" s="534">
        <f>SUMIF(114:114,I38,115:115)-SUMIF(114:114,C38,115:115)+100</f>
        <v>100</v>
      </c>
      <c r="K38" s="853"/>
      <c r="L38" s="2023"/>
      <c r="M38" s="2015"/>
      <c r="N38" s="2015"/>
      <c r="O38" s="2022"/>
      <c r="P38" s="3473" t="s">
        <v>544</v>
      </c>
      <c r="Q38" s="1506" t="str">
        <f t="shared" si="11"/>
        <v>物业管理</v>
      </c>
      <c r="R38" s="1507" t="s">
        <v>11</v>
      </c>
      <c r="S38" s="1508">
        <f t="shared" si="12"/>
        <v>100</v>
      </c>
      <c r="T38" s="1507" t="s">
        <v>11</v>
      </c>
      <c r="U38" s="1508">
        <f t="shared" si="13"/>
        <v>100</v>
      </c>
      <c r="V38" s="1507" t="s">
        <v>11</v>
      </c>
      <c r="W38" s="1508">
        <f t="shared" si="14"/>
        <v>100</v>
      </c>
      <c r="X38" s="1501"/>
      <c r="Y38" s="3473" t="s">
        <v>544</v>
      </c>
      <c r="Z38" s="1509" t="str">
        <f t="shared" si="15"/>
        <v>物业管理</v>
      </c>
      <c r="AA38" s="1510">
        <f t="shared" si="3"/>
        <v>1</v>
      </c>
      <c r="AB38" s="1510">
        <f t="shared" si="4"/>
        <v>1</v>
      </c>
      <c r="AC38" s="1510">
        <f t="shared" si="5"/>
        <v>1</v>
      </c>
    </row>
    <row r="39" spans="1:29" ht="15" hidden="1">
      <c r="A39" s="588"/>
      <c r="B39" s="1808"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3"/>
      <c r="M39" s="2015"/>
      <c r="N39" s="2015"/>
      <c r="O39" s="2022"/>
      <c r="P39" s="3473"/>
      <c r="Q39" s="1506" t="str">
        <f t="shared" si="11"/>
        <v>市政基础设施</v>
      </c>
      <c r="R39" s="1507" t="s">
        <v>11</v>
      </c>
      <c r="S39" s="1508">
        <f t="shared" si="12"/>
        <v>100</v>
      </c>
      <c r="T39" s="1507" t="s">
        <v>11</v>
      </c>
      <c r="U39" s="1508">
        <f t="shared" si="13"/>
        <v>100</v>
      </c>
      <c r="V39" s="1507" t="s">
        <v>11</v>
      </c>
      <c r="W39" s="1508">
        <f t="shared" si="14"/>
        <v>100</v>
      </c>
      <c r="X39" s="1501"/>
      <c r="Y39" s="3473"/>
      <c r="Z39" s="1509" t="str">
        <f t="shared" si="15"/>
        <v>市政基础设施</v>
      </c>
      <c r="AA39" s="1510">
        <f t="shared" si="3"/>
        <v>1</v>
      </c>
      <c r="AB39" s="1510">
        <f t="shared" si="4"/>
        <v>1</v>
      </c>
      <c r="AC39" s="1510">
        <f t="shared" si="5"/>
        <v>1</v>
      </c>
    </row>
    <row r="40" spans="1:29" ht="15" hidden="1">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3"/>
      <c r="M40" s="2015"/>
      <c r="N40" s="2015"/>
      <c r="O40" s="2022"/>
      <c r="P40" s="3473"/>
      <c r="Q40" s="1506" t="str">
        <f t="shared" si="11"/>
        <v>房型</v>
      </c>
      <c r="R40" s="1507" t="s">
        <v>11</v>
      </c>
      <c r="S40" s="1508">
        <f t="shared" si="12"/>
        <v>100</v>
      </c>
      <c r="T40" s="1507" t="s">
        <v>11</v>
      </c>
      <c r="U40" s="1508">
        <f t="shared" si="13"/>
        <v>100</v>
      </c>
      <c r="V40" s="1507" t="s">
        <v>11</v>
      </c>
      <c r="W40" s="1508">
        <f t="shared" si="14"/>
        <v>100</v>
      </c>
      <c r="X40" s="1501"/>
      <c r="Y40" s="3473"/>
      <c r="Z40" s="1509" t="str">
        <f t="shared" si="15"/>
        <v>房型</v>
      </c>
      <c r="AA40" s="1510">
        <f t="shared" si="3"/>
        <v>1</v>
      </c>
      <c r="AB40" s="1510">
        <f t="shared" si="4"/>
        <v>1</v>
      </c>
      <c r="AC40" s="1510">
        <f t="shared" si="5"/>
        <v>1</v>
      </c>
    </row>
    <row r="41" spans="1:29" s="1292" customFormat="1" ht="28.5" hidden="1">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1"/>
      <c r="M41" s="2051"/>
      <c r="N41" s="2051"/>
      <c r="O41" s="2024"/>
      <c r="P41" s="3473"/>
      <c r="Q41" s="1535" t="str">
        <f t="shared" si="11"/>
        <v>单套/主力户型建筑面积</v>
      </c>
      <c r="R41" s="1511" t="s">
        <v>11</v>
      </c>
      <c r="S41" s="1512">
        <f t="shared" si="12"/>
        <v>100</v>
      </c>
      <c r="T41" s="1511" t="s">
        <v>11</v>
      </c>
      <c r="U41" s="1512">
        <f t="shared" si="13"/>
        <v>100</v>
      </c>
      <c r="V41" s="1511" t="s">
        <v>11</v>
      </c>
      <c r="W41" s="1512">
        <f t="shared" si="14"/>
        <v>100</v>
      </c>
      <c r="X41" s="1513"/>
      <c r="Y41" s="3473"/>
      <c r="Z41" s="1514" t="str">
        <f t="shared" si="15"/>
        <v>单套/主力户型建筑面积</v>
      </c>
      <c r="AA41" s="1510">
        <f t="shared" si="3"/>
        <v>1</v>
      </c>
      <c r="AB41" s="1510">
        <f t="shared" si="4"/>
        <v>1</v>
      </c>
      <c r="AC41" s="1510">
        <f t="shared" si="5"/>
        <v>1</v>
      </c>
    </row>
    <row r="42" spans="1:29" ht="15">
      <c r="A42" s="588"/>
      <c r="B42" s="521" t="s">
        <v>728</v>
      </c>
      <c r="C42" s="593" t="s">
        <v>3286</v>
      </c>
      <c r="D42" s="534">
        <v>100</v>
      </c>
      <c r="E42" s="863" t="s">
        <v>3286</v>
      </c>
      <c r="F42" s="569">
        <f>SUMIF(122:122,E42,123:123)-SUMIF(122:122,C42,123:123)+100</f>
        <v>100</v>
      </c>
      <c r="G42" s="593" t="s">
        <v>3286</v>
      </c>
      <c r="H42" s="534">
        <f>SUMIF(122:122,G42,123:123)-SUMIF(122:122,C42,123:123)+100</f>
        <v>100</v>
      </c>
      <c r="I42" s="863" t="s">
        <v>3286</v>
      </c>
      <c r="J42" s="534">
        <f>SUMIF(122:122,I42,123:123)-SUMIF(122:122,C42,123:123)+100</f>
        <v>100</v>
      </c>
      <c r="K42" s="853"/>
      <c r="L42" s="2023"/>
      <c r="M42" s="2015"/>
      <c r="N42" s="2015"/>
      <c r="O42" s="2022"/>
      <c r="P42" s="3473"/>
      <c r="Q42" s="1506" t="str">
        <f t="shared" si="11"/>
        <v>内部装修</v>
      </c>
      <c r="R42" s="1507" t="s">
        <v>11</v>
      </c>
      <c r="S42" s="1508">
        <f t="shared" si="12"/>
        <v>100</v>
      </c>
      <c r="T42" s="1507" t="s">
        <v>11</v>
      </c>
      <c r="U42" s="1508">
        <f t="shared" si="13"/>
        <v>100</v>
      </c>
      <c r="V42" s="1507" t="s">
        <v>11</v>
      </c>
      <c r="W42" s="1508">
        <f t="shared" si="14"/>
        <v>100</v>
      </c>
      <c r="X42" s="1501"/>
      <c r="Y42" s="3473"/>
      <c r="Z42" s="1509" t="str">
        <f t="shared" si="15"/>
        <v>内部装修</v>
      </c>
      <c r="AA42" s="1510">
        <f t="shared" si="3"/>
        <v>1</v>
      </c>
      <c r="AB42" s="1510">
        <f t="shared" si="4"/>
        <v>1</v>
      </c>
      <c r="AC42" s="1510">
        <f t="shared" si="5"/>
        <v>1</v>
      </c>
    </row>
    <row r="43" spans="1:29" ht="27">
      <c r="A43" s="588"/>
      <c r="B43" s="521" t="s">
        <v>729</v>
      </c>
      <c r="C43" s="593" t="s">
        <v>3280</v>
      </c>
      <c r="D43" s="534">
        <v>100</v>
      </c>
      <c r="E43" s="863" t="s">
        <v>3280</v>
      </c>
      <c r="F43" s="569">
        <f>SUMIF(124:124,E43,125:125)-SUMIF(124:124,C43,125:125)+100</f>
        <v>100</v>
      </c>
      <c r="G43" s="593" t="s">
        <v>3280</v>
      </c>
      <c r="H43" s="534">
        <f>SUMIF(124:124,G43,125:125)-SUMIF(124:124,C43,125:125)+100</f>
        <v>100</v>
      </c>
      <c r="I43" s="863" t="s">
        <v>3280</v>
      </c>
      <c r="J43" s="534">
        <f>SUMIF(124:124,I43,125:125)-SUMIF(124:124,C43,125:125)+100</f>
        <v>100</v>
      </c>
      <c r="K43" s="853"/>
      <c r="L43" s="2023"/>
      <c r="M43" s="2015"/>
      <c r="N43" s="2015"/>
      <c r="O43" s="2022"/>
      <c r="P43" s="3473"/>
      <c r="Q43" s="1506" t="str">
        <f t="shared" si="11"/>
        <v>内部装修维护情况</v>
      </c>
      <c r="R43" s="1507" t="s">
        <v>11</v>
      </c>
      <c r="S43" s="1508">
        <f t="shared" si="12"/>
        <v>100</v>
      </c>
      <c r="T43" s="1507" t="s">
        <v>11</v>
      </c>
      <c r="U43" s="1508">
        <f t="shared" si="13"/>
        <v>100</v>
      </c>
      <c r="V43" s="1507" t="s">
        <v>11</v>
      </c>
      <c r="W43" s="1508">
        <f t="shared" si="14"/>
        <v>100</v>
      </c>
      <c r="X43" s="1501"/>
      <c r="Y43" s="3473"/>
      <c r="Z43" s="1509" t="str">
        <f t="shared" si="15"/>
        <v>内部装修维护情况</v>
      </c>
      <c r="AA43" s="1510">
        <f t="shared" si="3"/>
        <v>1</v>
      </c>
      <c r="AB43" s="1510">
        <f t="shared" si="4"/>
        <v>1</v>
      </c>
      <c r="AC43" s="1510">
        <f t="shared" si="5"/>
        <v>1</v>
      </c>
    </row>
    <row r="44" spans="1:29" s="1202" customFormat="1" ht="15.75" thickBot="1">
      <c r="A44" s="594"/>
      <c r="B44" s="3326" t="s">
        <v>3294</v>
      </c>
      <c r="C44" s="869" t="str">
        <f>C126</f>
        <v>待实施</v>
      </c>
      <c r="D44" s="253">
        <v>100</v>
      </c>
      <c r="E44" s="869" t="str">
        <f>D126</f>
        <v>已实施</v>
      </c>
      <c r="F44" s="852">
        <f>SUMIF(126:126,E44,127:127)-SUMIF(126:126,C44,127:127)+100</f>
        <v>105</v>
      </c>
      <c r="G44" s="869" t="str">
        <f>E44</f>
        <v>已实施</v>
      </c>
      <c r="H44" s="253">
        <f>SUMIF(126:126,G44,127:127)-SUMIF(126:126,C44,127:127)+100</f>
        <v>105</v>
      </c>
      <c r="I44" s="869" t="str">
        <f>E44</f>
        <v>已实施</v>
      </c>
      <c r="J44" s="253">
        <f>SUMIF(126:126,I44,127:127)-SUMIF(126:126,C44,127:127)+100</f>
        <v>105</v>
      </c>
      <c r="K44" s="854"/>
      <c r="L44" s="2016"/>
      <c r="M44" s="2017"/>
      <c r="N44" s="2017"/>
      <c r="O44" s="2018"/>
      <c r="P44" s="3473"/>
      <c r="Q44" s="1133" t="str">
        <f t="shared" si="11"/>
        <v>规划实施优先程度</v>
      </c>
      <c r="R44" s="1502" t="s">
        <v>11</v>
      </c>
      <c r="S44" s="1503">
        <f t="shared" si="12"/>
        <v>105</v>
      </c>
      <c r="T44" s="1502" t="s">
        <v>11</v>
      </c>
      <c r="U44" s="1503">
        <f t="shared" si="13"/>
        <v>105</v>
      </c>
      <c r="V44" s="1502" t="s">
        <v>11</v>
      </c>
      <c r="W44" s="1503">
        <f t="shared" si="14"/>
        <v>105</v>
      </c>
      <c r="X44" s="1504"/>
      <c r="Y44" s="3473"/>
      <c r="Z44" s="1132" t="str">
        <f t="shared" si="15"/>
        <v>规划实施优先程度</v>
      </c>
      <c r="AA44" s="1505">
        <f t="shared" si="3"/>
        <v>0.95238095238095233</v>
      </c>
      <c r="AB44" s="1505">
        <f t="shared" si="4"/>
        <v>0.95238095238095233</v>
      </c>
      <c r="AC44" s="1505">
        <f t="shared" si="5"/>
        <v>0.95238095238095233</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473"/>
      <c r="Q45" s="1506">
        <f t="shared" si="11"/>
        <v>111</v>
      </c>
      <c r="R45" s="1507" t="s">
        <v>11</v>
      </c>
      <c r="S45" s="1508">
        <f t="shared" si="12"/>
        <v>100</v>
      </c>
      <c r="T45" s="1507" t="s">
        <v>11</v>
      </c>
      <c r="U45" s="1508">
        <f t="shared" si="13"/>
        <v>100</v>
      </c>
      <c r="V45" s="1507" t="s">
        <v>11</v>
      </c>
      <c r="W45" s="1508">
        <f t="shared" si="14"/>
        <v>100</v>
      </c>
      <c r="X45" s="1501"/>
      <c r="Y45" s="3473"/>
      <c r="Z45" s="1509">
        <f t="shared" si="15"/>
        <v>111</v>
      </c>
      <c r="AA45" s="1510">
        <f t="shared" si="3"/>
        <v>1</v>
      </c>
      <c r="AB45" s="1510">
        <f t="shared" si="4"/>
        <v>1</v>
      </c>
      <c r="AC45" s="1510">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76"/>
      <c r="Q46" s="1506">
        <f t="shared" si="11"/>
        <v>111</v>
      </c>
      <c r="R46" s="1507" t="s">
        <v>10</v>
      </c>
      <c r="S46" s="1508">
        <f t="shared" si="12"/>
        <v>100</v>
      </c>
      <c r="T46" s="1507" t="s">
        <v>10</v>
      </c>
      <c r="U46" s="1508">
        <f t="shared" si="13"/>
        <v>100</v>
      </c>
      <c r="V46" s="1507" t="s">
        <v>10</v>
      </c>
      <c r="W46" s="1508">
        <f t="shared" si="14"/>
        <v>100</v>
      </c>
      <c r="X46" s="1501"/>
      <c r="Y46" s="3576"/>
      <c r="Z46" s="1509">
        <f t="shared" si="15"/>
        <v>111</v>
      </c>
      <c r="AA46" s="1510">
        <f t="shared" si="3"/>
        <v>1</v>
      </c>
      <c r="AB46" s="1510">
        <f t="shared" si="4"/>
        <v>1</v>
      </c>
      <c r="AC46" s="1510">
        <f t="shared" si="5"/>
        <v>1</v>
      </c>
    </row>
    <row r="47" spans="1:29" ht="15">
      <c r="A47" s="601" t="s">
        <v>730</v>
      </c>
      <c r="B47" s="876"/>
      <c r="C47" s="2469" t="s">
        <v>9</v>
      </c>
      <c r="D47" s="2470"/>
      <c r="E47" s="2471">
        <f>'住宅案例-天津'!D3</f>
        <v>2.2000000000000002</v>
      </c>
      <c r="F47" s="2472"/>
      <c r="G47" s="2473">
        <f>'住宅案例-天津'!D4</f>
        <v>1.8</v>
      </c>
      <c r="H47" s="2474"/>
      <c r="I47" s="2471">
        <f>'住宅案例-天津'!D5</f>
        <v>1.7</v>
      </c>
      <c r="J47" s="2474"/>
      <c r="K47" s="1536"/>
      <c r="L47" s="2025"/>
      <c r="M47" s="2026"/>
      <c r="N47" s="2015"/>
      <c r="O47" s="2026"/>
      <c r="P47" s="3468" t="str">
        <f>A47</f>
        <v>成交单价（元/平方米）</v>
      </c>
      <c r="Q47" s="3468"/>
      <c r="R47" s="3575">
        <f>E47</f>
        <v>2.2000000000000002</v>
      </c>
      <c r="S47" s="3575"/>
      <c r="T47" s="3575">
        <f>G47</f>
        <v>1.8</v>
      </c>
      <c r="U47" s="3575"/>
      <c r="V47" s="3575">
        <f>I47</f>
        <v>1.7</v>
      </c>
      <c r="W47" s="3575"/>
      <c r="X47" s="1496"/>
      <c r="Y47" s="1515"/>
      <c r="Z47" s="1496"/>
      <c r="AA47" s="1496"/>
      <c r="AB47" s="1496"/>
      <c r="AC47" s="1496"/>
    </row>
    <row r="48" spans="1:29" ht="15.75" thickBot="1">
      <c r="A48" s="609" t="s">
        <v>2740</v>
      </c>
      <c r="B48" s="877"/>
      <c r="C48" s="2475">
        <f>R49</f>
        <v>1.9</v>
      </c>
      <c r="D48" s="3013" t="s">
        <v>2964</v>
      </c>
      <c r="E48" s="2476">
        <f>R48</f>
        <v>2.1</v>
      </c>
      <c r="F48" s="3014"/>
      <c r="G48" s="2475">
        <f>T48</f>
        <v>1.9</v>
      </c>
      <c r="H48" s="3014"/>
      <c r="I48" s="2476">
        <f>V48</f>
        <v>1.8</v>
      </c>
      <c r="J48" s="3014"/>
      <c r="K48" s="3022">
        <f>F48+H48+J48</f>
        <v>0</v>
      </c>
      <c r="L48" s="2025"/>
      <c r="M48" s="2026"/>
      <c r="N48" s="2026"/>
      <c r="O48" s="2026"/>
      <c r="P48" s="3468" t="str">
        <f>A48</f>
        <v>比较价格（元/平方米）</v>
      </c>
      <c r="Q48" s="3468"/>
      <c r="R48" s="3575">
        <f>IF(F1="售价",ROUND(PRODUCT(R47,AA7:AA46),0),ROUND(PRODUCT(R47,AA7:AA46),1))</f>
        <v>2.1</v>
      </c>
      <c r="S48" s="3575"/>
      <c r="T48" s="3575">
        <f>IF(F1="售价",ROUND(PRODUCT(T47,AB7:AB46),0),ROUND(PRODUCT(T47,AB7:AB46),1))</f>
        <v>1.9</v>
      </c>
      <c r="U48" s="3575"/>
      <c r="V48" s="3575">
        <f>IF(F1="售价",ROUND(PRODUCT(V47,AC7:AC46),0),ROUND(PRODUCT(V47,AC7:AC46),1))</f>
        <v>1.8</v>
      </c>
      <c r="W48" s="3575"/>
      <c r="X48" s="1496"/>
      <c r="Y48" s="1496"/>
      <c r="Z48" s="1496"/>
      <c r="AA48" s="1496"/>
      <c r="AB48" s="1496"/>
      <c r="AC48" s="1496"/>
    </row>
    <row r="49" spans="1:29" ht="15.75" thickBot="1">
      <c r="A49" s="613" t="s">
        <v>3297</v>
      </c>
      <c r="B49" s="614"/>
      <c r="C49" s="2477">
        <f>R49</f>
        <v>1.9</v>
      </c>
      <c r="D49" s="2477"/>
      <c r="E49" s="2477"/>
      <c r="F49" s="2477"/>
      <c r="G49" s="2477"/>
      <c r="H49" s="2477"/>
      <c r="I49" s="2477"/>
      <c r="J49" s="2477"/>
      <c r="K49" s="1537"/>
      <c r="L49" s="2025"/>
      <c r="M49" s="2026"/>
      <c r="N49" s="2026"/>
      <c r="O49" s="2026"/>
      <c r="P49" s="3489" t="str">
        <f>A49</f>
        <v>估价对象住宅用房的比较价格（楼面单价，元/平方米）</v>
      </c>
      <c r="Q49" s="3490"/>
      <c r="R49" s="3574">
        <f>IF(F1="售价",ROUND(IF(D48="简单平均",AVERAGE(R48:V48),R48*F48+T48*H48+V48*J48),0),ROUND(IF(D48="简单平均",AVERAGE(R48:V48),R48*F48+T48*H48+V48*J48),1))</f>
        <v>1.9</v>
      </c>
      <c r="S49" s="3574"/>
      <c r="T49" s="3574"/>
      <c r="U49" s="3574"/>
      <c r="V49" s="3574"/>
      <c r="W49" s="3574"/>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4.7619047619047672E-2</v>
      </c>
      <c r="F52" s="619" t="str">
        <f>IF(OR(E52&gt;=0.3,E52&lt;=-0.3),"超过30%","")</f>
        <v/>
      </c>
      <c r="G52" s="618">
        <f>IF(G47&lt;G48,G48/G47-1,G47/G48-1)</f>
        <v>5.555555555555558E-2</v>
      </c>
      <c r="H52" s="619" t="str">
        <f>IF(OR(G52&gt;=0.3,G52&lt;=-0.3),"超过30%","")</f>
        <v/>
      </c>
      <c r="I52" s="618">
        <f>IF(I47&lt;I48,I48/I47-1,I47/I48-1)</f>
        <v>5.8823529411764719E-2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0.10526315789473695</v>
      </c>
      <c r="F53" s="619" t="str">
        <f>IF(OR(E53&gt;=0.2,E53&lt;=-0.2),"超过20%","")</f>
        <v/>
      </c>
      <c r="G53" s="618">
        <f>IF(G48&lt;I48,I48/G48-1,G48/I48-1)</f>
        <v>5.555555555555558E-2</v>
      </c>
      <c r="H53" s="619" t="str">
        <f>IF(OR(G53&gt;=0.2,G53&lt;=-0.2),"超过20%","")</f>
        <v/>
      </c>
      <c r="I53" s="618">
        <f>IF(I48&lt;E48,E48/I48-1,I48/E48-1)</f>
        <v>0.16666666666666674</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0.22222222222222232</v>
      </c>
      <c r="F54" s="619" t="str">
        <f>IF(OR(E54&gt;=0.3,E54&lt;=-0.3),"超过30%","")</f>
        <v/>
      </c>
      <c r="G54" s="618">
        <f>IF(G47&lt;I47,I47/G47-1,G47/I47-1)</f>
        <v>5.8823529411764719E-2</v>
      </c>
      <c r="H54" s="619" t="str">
        <f>IF(OR(G54&gt;=0.3,G54&lt;=-0.3),"超过30%","")</f>
        <v/>
      </c>
      <c r="I54" s="618">
        <f>IF(I47&lt;E47,E47/I47-1,I47/E47-1)</f>
        <v>0.29411764705882359</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20" t="str">
        <f>YEAR(C7)&amp;"-"&amp;MONTH(C7)</f>
        <v>2020-10</v>
      </c>
      <c r="D58" s="2520">
        <f>EDATE(C58,-1)</f>
        <v>44075</v>
      </c>
      <c r="E58" s="2520">
        <f t="shared" ref="E58:O58" si="16">EDATE(D58,-1)</f>
        <v>44044</v>
      </c>
      <c r="F58" s="2520">
        <f t="shared" si="16"/>
        <v>44013</v>
      </c>
      <c r="G58" s="2520">
        <f t="shared" si="16"/>
        <v>43983</v>
      </c>
      <c r="H58" s="2520">
        <f t="shared" si="16"/>
        <v>43952</v>
      </c>
      <c r="I58" s="2520">
        <f t="shared" si="16"/>
        <v>43922</v>
      </c>
      <c r="J58" s="2520">
        <f t="shared" si="16"/>
        <v>43891</v>
      </c>
      <c r="K58" s="2520">
        <f t="shared" si="16"/>
        <v>43862</v>
      </c>
      <c r="L58" s="2520">
        <f t="shared" si="16"/>
        <v>43831</v>
      </c>
      <c r="M58" s="2520">
        <f t="shared" si="16"/>
        <v>43800</v>
      </c>
      <c r="N58" s="2520">
        <f t="shared" si="16"/>
        <v>43770</v>
      </c>
      <c r="O58" s="2520">
        <f t="shared" si="16"/>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2"/>
      <c r="N59" s="642"/>
      <c r="O59" s="642"/>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97</v>
      </c>
      <c r="E77" s="671">
        <f>D77-$K15</f>
        <v>94</v>
      </c>
      <c r="F77" s="671">
        <f>E77-$K15</f>
        <v>91</v>
      </c>
      <c r="G77" s="671">
        <f>F77-$K15</f>
        <v>88</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1"/>
      <c r="B86" s="1809" t="s">
        <v>2245</v>
      </c>
      <c r="C86" s="680"/>
      <c r="D86" s="680"/>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
        <v>740</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5.75"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741</v>
      </c>
      <c r="C100" s="3323" t="s">
        <v>3283</v>
      </c>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v>100</v>
      </c>
      <c r="D104" s="663"/>
      <c r="E104" s="663"/>
      <c r="F104" s="663"/>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710"/>
      <c r="D107" s="710"/>
      <c r="E107" s="71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24" t="s">
        <v>3288</v>
      </c>
      <c r="D109" s="3324" t="s">
        <v>3289</v>
      </c>
      <c r="E109" s="680"/>
      <c r="F109" s="710"/>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3">
        <v>0.5</v>
      </c>
      <c r="D112" s="883">
        <v>0.6</v>
      </c>
      <c r="E112" s="883">
        <v>0.7</v>
      </c>
      <c r="F112" s="883">
        <v>0.8</v>
      </c>
      <c r="G112" s="883">
        <v>0.9</v>
      </c>
      <c r="H112" s="883">
        <v>1.0001</v>
      </c>
      <c r="I112" s="883"/>
      <c r="J112" s="884"/>
      <c r="K112" s="884"/>
      <c r="L112" s="885"/>
      <c r="M112" s="886"/>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24" t="s">
        <v>3291</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3324" t="s">
        <v>3292</v>
      </c>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3325" t="s">
        <v>3293</v>
      </c>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20"/>
      <c r="B120" s="665" t="s">
        <v>727</v>
      </c>
      <c r="C120" s="680"/>
      <c r="D120" s="680"/>
      <c r="E120" s="680"/>
      <c r="F120" s="680"/>
      <c r="G120" s="680"/>
      <c r="H120" s="680"/>
      <c r="I120" s="680"/>
      <c r="J120" s="680"/>
      <c r="K120" s="680"/>
      <c r="L120" s="879"/>
      <c r="M120" s="880"/>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24" t="s">
        <v>3285</v>
      </c>
      <c r="D122" s="3324" t="s">
        <v>3287</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3324" t="s">
        <v>3296</v>
      </c>
      <c r="D126" s="3324" t="s">
        <v>3295</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23" priority="19" stopIfTrue="1" operator="containsText" text="超过">
      <formula>NOT(ISERROR(SEARCH("超过",F52)))</formula>
    </cfRule>
  </conditionalFormatting>
  <conditionalFormatting sqref="J54">
    <cfRule type="containsText" dxfId="122" priority="18" stopIfTrue="1" operator="containsText" text="超过">
      <formula>NOT(ISERROR(SEARCH("超过",J54)))</formula>
    </cfRule>
  </conditionalFormatting>
  <conditionalFormatting sqref="H54">
    <cfRule type="containsText" dxfId="121" priority="17" stopIfTrue="1" operator="containsText" text="超过">
      <formula>NOT(ISERROR(SEARCH("超过",H54)))</formula>
    </cfRule>
  </conditionalFormatting>
  <conditionalFormatting sqref="F54">
    <cfRule type="containsText" dxfId="120" priority="16" stopIfTrue="1" operator="containsText" text="超过">
      <formula>NOT(ISERROR(SEARCH("超过",F54)))</formula>
    </cfRule>
  </conditionalFormatting>
  <conditionalFormatting sqref="F53 H53 J53">
    <cfRule type="containsText" dxfId="119" priority="15" stopIfTrue="1" operator="containsText" text="超过">
      <formula>NOT(ISERROR(SEARCH("超过",F53)))</formula>
    </cfRule>
  </conditionalFormatting>
  <conditionalFormatting sqref="E52">
    <cfRule type="expression" dxfId="118" priority="14" stopIfTrue="1">
      <formula>$F$52="超过30%"</formula>
    </cfRule>
  </conditionalFormatting>
  <conditionalFormatting sqref="G54">
    <cfRule type="expression" dxfId="117" priority="12" stopIfTrue="1">
      <formula>$H$54="超过30%"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5" zoomScale="85" zoomScaleNormal="60" zoomScaleSheetLayoutView="85" workbookViewId="0">
      <selection activeCell="N23" sqref="N23"/>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751</v>
      </c>
      <c r="C1" s="498" t="s">
        <v>714</v>
      </c>
      <c r="D1" s="2224"/>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513</v>
      </c>
      <c r="B3" s="504">
        <f>C49</f>
        <v>4.3</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6" t="s">
        <v>515</v>
      </c>
      <c r="B4" s="507"/>
      <c r="C4" s="3474" t="s">
        <v>516</v>
      </c>
      <c r="D4" s="3475"/>
      <c r="E4" s="3499" t="s">
        <v>517</v>
      </c>
      <c r="F4" s="3500"/>
      <c r="G4" s="3474" t="s">
        <v>518</v>
      </c>
      <c r="H4" s="3475"/>
      <c r="I4" s="3474" t="s">
        <v>519</v>
      </c>
      <c r="J4" s="3475"/>
      <c r="K4" s="508" t="s">
        <v>520</v>
      </c>
      <c r="L4" s="2014"/>
      <c r="M4" s="2015"/>
      <c r="N4" s="2015"/>
      <c r="O4" s="2015"/>
      <c r="P4" s="3476" t="s">
        <v>521</v>
      </c>
      <c r="Q4" s="3477"/>
      <c r="R4" s="3461" t="s">
        <v>517</v>
      </c>
      <c r="S4" s="3462"/>
      <c r="T4" s="3461" t="s">
        <v>518</v>
      </c>
      <c r="U4" s="3462"/>
      <c r="V4" s="3482" t="s">
        <v>519</v>
      </c>
      <c r="W4" s="3482"/>
      <c r="X4" s="1501"/>
      <c r="Y4" s="3461" t="s">
        <v>521</v>
      </c>
      <c r="Z4" s="3462"/>
      <c r="AA4" s="3456" t="s">
        <v>517</v>
      </c>
      <c r="AB4" s="3482" t="s">
        <v>518</v>
      </c>
      <c r="AC4" s="3456" t="s">
        <v>519</v>
      </c>
    </row>
    <row r="5" spans="1:29" ht="15">
      <c r="A5" s="509"/>
      <c r="B5" s="510"/>
      <c r="C5" s="3485" t="s">
        <v>2893</v>
      </c>
      <c r="D5" s="3486"/>
      <c r="E5" s="3577" t="s">
        <v>3341</v>
      </c>
      <c r="F5" s="3578"/>
      <c r="G5" s="3577" t="s">
        <v>3342</v>
      </c>
      <c r="H5" s="3578"/>
      <c r="I5" s="3577" t="s">
        <v>3343</v>
      </c>
      <c r="J5" s="3578"/>
      <c r="K5" s="508"/>
      <c r="L5" s="2014"/>
      <c r="M5" s="2015"/>
      <c r="N5" s="2015"/>
      <c r="O5" s="2015"/>
      <c r="P5" s="3478"/>
      <c r="Q5" s="3479"/>
      <c r="R5" s="3463"/>
      <c r="S5" s="3464"/>
      <c r="T5" s="3463"/>
      <c r="U5" s="3464"/>
      <c r="V5" s="3482"/>
      <c r="W5" s="3482"/>
      <c r="X5" s="1501"/>
      <c r="Y5" s="3463"/>
      <c r="Z5" s="3464"/>
      <c r="AA5" s="3457"/>
      <c r="AB5" s="3482"/>
      <c r="AC5" s="3457"/>
    </row>
    <row r="6" spans="1:29" ht="15.75" thickBot="1">
      <c r="A6" s="511"/>
      <c r="B6" s="512"/>
      <c r="C6" s="3483" t="s">
        <v>2897</v>
      </c>
      <c r="D6" s="3484"/>
      <c r="E6" s="3579" t="s">
        <v>3344</v>
      </c>
      <c r="F6" s="3580"/>
      <c r="G6" s="3579" t="s">
        <v>3344</v>
      </c>
      <c r="H6" s="3580"/>
      <c r="I6" s="3579" t="s">
        <v>3344</v>
      </c>
      <c r="J6" s="3580"/>
      <c r="K6" s="508" t="s">
        <v>522</v>
      </c>
      <c r="L6" s="2014"/>
      <c r="M6" s="2015"/>
      <c r="N6" s="2015"/>
      <c r="O6" s="2015"/>
      <c r="P6" s="3480"/>
      <c r="Q6" s="3481"/>
      <c r="R6" s="3463"/>
      <c r="S6" s="3464"/>
      <c r="T6" s="3466"/>
      <c r="U6" s="3467"/>
      <c r="V6" s="3482"/>
      <c r="W6" s="3482"/>
      <c r="X6" s="1501"/>
      <c r="Y6" s="3466"/>
      <c r="Z6" s="3467"/>
      <c r="AA6" s="3458"/>
      <c r="AB6" s="3482"/>
      <c r="AC6" s="3458"/>
    </row>
    <row r="7" spans="1:29" s="1202" customFormat="1" ht="15.75" thickBot="1">
      <c r="A7" s="2628"/>
      <c r="B7" s="2635" t="s">
        <v>523</v>
      </c>
      <c r="C7" s="513">
        <f>'数据-取费表'!B2</f>
        <v>44125</v>
      </c>
      <c r="D7" s="514">
        <v>100</v>
      </c>
      <c r="E7" s="515">
        <f>C7</f>
        <v>44125</v>
      </c>
      <c r="F7" s="516">
        <f>SUMIF(58:58,YEAR(E7)&amp;"-"&amp;MONTH(E7),59:59)</f>
        <v>100</v>
      </c>
      <c r="G7" s="515">
        <f>C7</f>
        <v>44125</v>
      </c>
      <c r="H7" s="514">
        <f>SUMIF(58:58,YEAR(G7)&amp;"-"&amp;MONTH(G7),59:59)</f>
        <v>100</v>
      </c>
      <c r="I7" s="515">
        <f>C7</f>
        <v>44125</v>
      </c>
      <c r="J7" s="514">
        <f>SUMIF(58:58,YEAR(I7)&amp;"-"&amp;MONTH(I7),59:59)</f>
        <v>100</v>
      </c>
      <c r="K7" s="518"/>
      <c r="L7" s="2016"/>
      <c r="M7" s="2017"/>
      <c r="N7" s="2017"/>
      <c r="O7" s="2017"/>
      <c r="P7" s="3459" t="s">
        <v>524</v>
      </c>
      <c r="Q7" s="3469"/>
      <c r="R7" s="1502" t="s">
        <v>8</v>
      </c>
      <c r="S7" s="1503">
        <f t="shared" ref="S7:S15" si="0">F7</f>
        <v>100</v>
      </c>
      <c r="T7" s="1502" t="s">
        <v>8</v>
      </c>
      <c r="U7" s="1503">
        <f t="shared" ref="U7:U15" si="1">H7</f>
        <v>100</v>
      </c>
      <c r="V7" s="1502" t="s">
        <v>8</v>
      </c>
      <c r="W7" s="1503">
        <f t="shared" ref="W7:W15" si="2">J7</f>
        <v>100</v>
      </c>
      <c r="X7" s="1504"/>
      <c r="Y7" s="3459" t="s">
        <v>524</v>
      </c>
      <c r="Z7" s="3460"/>
      <c r="AA7" s="1505">
        <f>D7/F7</f>
        <v>1</v>
      </c>
      <c r="AB7" s="1505">
        <f>D7/H7</f>
        <v>1</v>
      </c>
      <c r="AC7" s="1505">
        <f>D7/J7</f>
        <v>1</v>
      </c>
    </row>
    <row r="8" spans="1:29" s="1202" customFormat="1" ht="15.75" thickBot="1">
      <c r="A8" s="2629"/>
      <c r="B8" s="2636" t="s">
        <v>525</v>
      </c>
      <c r="C8" s="519" t="s">
        <v>570</v>
      </c>
      <c r="D8" s="514">
        <v>100</v>
      </c>
      <c r="E8" s="519" t="s">
        <v>3271</v>
      </c>
      <c r="F8" s="516">
        <f>SUMIF(61:61,E8,62:62)-SUMIF(61:61,C8,62:62)+100</f>
        <v>100</v>
      </c>
      <c r="G8" s="519" t="s">
        <v>3271</v>
      </c>
      <c r="H8" s="514">
        <f>SUMIF(61:61,G8,62:62)-SUMIF(61:61,C8,62:62)+100</f>
        <v>100</v>
      </c>
      <c r="I8" s="519" t="s">
        <v>3271</v>
      </c>
      <c r="J8" s="514">
        <f>SUMIF(61:61,I8,62:62)-SUMIF(61:61,C8,62:62)+100</f>
        <v>100</v>
      </c>
      <c r="K8" s="518"/>
      <c r="L8" s="2016"/>
      <c r="M8" s="2017"/>
      <c r="N8" s="2017"/>
      <c r="O8" s="2017"/>
      <c r="P8" s="3459" t="s">
        <v>527</v>
      </c>
      <c r="Q8" s="3460"/>
      <c r="R8" s="1502" t="s">
        <v>8</v>
      </c>
      <c r="S8" s="1503">
        <f t="shared" si="0"/>
        <v>100</v>
      </c>
      <c r="T8" s="1502" t="s">
        <v>8</v>
      </c>
      <c r="U8" s="1503">
        <f t="shared" si="1"/>
        <v>100</v>
      </c>
      <c r="V8" s="1502" t="s">
        <v>8</v>
      </c>
      <c r="W8" s="1503">
        <f t="shared" si="2"/>
        <v>100</v>
      </c>
      <c r="X8" s="1504"/>
      <c r="Y8" s="3459" t="s">
        <v>527</v>
      </c>
      <c r="Z8" s="3460"/>
      <c r="AA8" s="1505">
        <f t="shared" ref="AA8:AA46" si="3">D8/F8</f>
        <v>1</v>
      </c>
      <c r="AB8" s="1505">
        <f t="shared" ref="AB8:AB46" si="4">D8/H8</f>
        <v>1</v>
      </c>
      <c r="AC8" s="1505">
        <f t="shared" ref="AC8:AC46" si="5">D8/J8</f>
        <v>1</v>
      </c>
    </row>
    <row r="9" spans="1:29" s="1202" customFormat="1" ht="15">
      <c r="A9" s="2630"/>
      <c r="B9" s="2637" t="s">
        <v>2736</v>
      </c>
      <c r="C9" s="3317" t="s">
        <v>3346</v>
      </c>
      <c r="D9" s="252">
        <v>100</v>
      </c>
      <c r="E9" s="849" t="s">
        <v>3345</v>
      </c>
      <c r="F9" s="252">
        <f>SUMIF(63:63,E9,64:64)-SUMIF(63:63,C9,64:64)+100</f>
        <v>100</v>
      </c>
      <c r="G9" s="847" t="s">
        <v>3345</v>
      </c>
      <c r="H9" s="252">
        <f>SUMIF(63:63,G9,64:64)-SUMIF(63:63,C9,64:64)+100</f>
        <v>100</v>
      </c>
      <c r="I9" s="847" t="s">
        <v>3345</v>
      </c>
      <c r="J9" s="252">
        <f>SUMIF(63:63,I9,64:64)-SUMIF(63:63,C9,64:64)+100</f>
        <v>100</v>
      </c>
      <c r="K9" s="518"/>
      <c r="L9" s="2016"/>
      <c r="M9" s="2017"/>
      <c r="N9" s="2017"/>
      <c r="O9" s="2018"/>
      <c r="P9" s="3468" t="s">
        <v>529</v>
      </c>
      <c r="Q9" s="1133" t="str">
        <f t="shared" ref="Q9:Q15" si="6">B9</f>
        <v>用途</v>
      </c>
      <c r="R9" s="1502" t="s">
        <v>8</v>
      </c>
      <c r="S9" s="1503">
        <f t="shared" si="0"/>
        <v>100</v>
      </c>
      <c r="T9" s="1502" t="s">
        <v>8</v>
      </c>
      <c r="U9" s="1503">
        <f t="shared" si="1"/>
        <v>100</v>
      </c>
      <c r="V9" s="1502" t="s">
        <v>8</v>
      </c>
      <c r="W9" s="1503">
        <f t="shared" si="2"/>
        <v>100</v>
      </c>
      <c r="X9" s="1504"/>
      <c r="Y9" s="3465" t="s">
        <v>530</v>
      </c>
      <c r="Z9" s="1132" t="str">
        <f t="shared" ref="Z9:Z15" si="7">Q9</f>
        <v>用途</v>
      </c>
      <c r="AA9" s="1505">
        <f t="shared" si="3"/>
        <v>1</v>
      </c>
      <c r="AB9" s="1505">
        <f t="shared" si="4"/>
        <v>1</v>
      </c>
      <c r="AC9" s="1505">
        <f t="shared" si="5"/>
        <v>1</v>
      </c>
    </row>
    <row r="10" spans="1:29" s="1291" customFormat="1" ht="27.75" thickBot="1">
      <c r="A10" s="2631"/>
      <c r="B10" s="2636" t="s">
        <v>2737</v>
      </c>
      <c r="C10" s="850" t="s">
        <v>3328</v>
      </c>
      <c r="D10" s="253">
        <v>100</v>
      </c>
      <c r="E10" s="850" t="s">
        <v>3328</v>
      </c>
      <c r="F10" s="253">
        <f>SUMIF(65:65,E10,66:66)-SUMIF(65:65,C10,66:66)+100</f>
        <v>100</v>
      </c>
      <c r="G10" s="851" t="s">
        <v>3328</v>
      </c>
      <c r="H10" s="253">
        <f>SUMIF(65:65,G10,66:66)-SUMIF(65:65,C10,66:66)+100</f>
        <v>100</v>
      </c>
      <c r="I10" s="850" t="s">
        <v>3328</v>
      </c>
      <c r="J10" s="253">
        <f>SUMIF(65:65,I10,66:66)-SUMIF(65:65,C10,66:66)+100</f>
        <v>100</v>
      </c>
      <c r="K10" s="578"/>
      <c r="L10" s="2019"/>
      <c r="M10" s="2058"/>
      <c r="N10" s="2058"/>
      <c r="O10" s="2020"/>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7">
        <f>C11</f>
        <v>2</v>
      </c>
      <c r="F11" s="253">
        <f>LOOKUP(E11,68:68,69:69)-LOOKUP(C11,68:68,69:69)+100</f>
        <v>100</v>
      </c>
      <c r="G11" s="528">
        <f>C11</f>
        <v>2</v>
      </c>
      <c r="H11" s="253">
        <f>LOOKUP(G11,68:68,69:69)-LOOKUP(C11,68:68,69:69)+100</f>
        <v>100</v>
      </c>
      <c r="I11" s="527">
        <f>C11</f>
        <v>2</v>
      </c>
      <c r="J11" s="253">
        <f>LOOKUP(I11,68:68,69:69)-LOOKUP(C11,68:68,69:69)+100</f>
        <v>100</v>
      </c>
      <c r="K11" s="578"/>
      <c r="L11" s="2021"/>
      <c r="M11" s="2015"/>
      <c r="N11" s="2015"/>
      <c r="O11" s="2022"/>
      <c r="P11" s="3468"/>
      <c r="Q11" s="1133" t="str">
        <f t="shared" si="6"/>
        <v>容积率</v>
      </c>
      <c r="R11" s="1502" t="s">
        <v>8</v>
      </c>
      <c r="S11" s="1503">
        <f t="shared" si="0"/>
        <v>100</v>
      </c>
      <c r="T11" s="1502" t="s">
        <v>8</v>
      </c>
      <c r="U11" s="1503">
        <f t="shared" si="1"/>
        <v>100</v>
      </c>
      <c r="V11" s="1502" t="s">
        <v>8</v>
      </c>
      <c r="W11" s="1503">
        <f t="shared" si="2"/>
        <v>100</v>
      </c>
      <c r="X11" s="1504"/>
      <c r="Y11" s="3465"/>
      <c r="Z11" s="1132" t="str">
        <f t="shared" si="7"/>
        <v>容积率</v>
      </c>
      <c r="AA11" s="1505">
        <f t="shared" si="3"/>
        <v>1</v>
      </c>
      <c r="AB11" s="1505">
        <f t="shared" si="4"/>
        <v>1</v>
      </c>
      <c r="AC11" s="1505">
        <f t="shared" si="5"/>
        <v>1</v>
      </c>
    </row>
    <row r="12" spans="1:29" s="1202" customFormat="1" ht="15" hidden="1">
      <c r="A12" s="2633"/>
      <c r="B12" s="2639">
        <v>111</v>
      </c>
      <c r="C12" s="522"/>
      <c r="D12" s="532">
        <v>100</v>
      </c>
      <c r="E12" s="533"/>
      <c r="F12" s="253">
        <f>SUMIF(70:70,E12,71:71)-SUMIF(70:70,C12,71:71)+100</f>
        <v>100</v>
      </c>
      <c r="G12" s="901"/>
      <c r="H12" s="253">
        <f>SUMIF(70:70,G12,71:71)-SUMIF(70:70,C12,71:71)+100</f>
        <v>100</v>
      </c>
      <c r="I12" s="533"/>
      <c r="J12" s="253">
        <f>SUMIF(70:70,I12,71:71)-SUMIF(70:70,C12,71:71)+100</f>
        <v>100</v>
      </c>
      <c r="K12" s="575"/>
      <c r="L12" s="2016"/>
      <c r="M12" s="2017"/>
      <c r="N12" s="2017"/>
      <c r="O12" s="2018"/>
      <c r="P12" s="3468"/>
      <c r="Q12" s="1133">
        <f t="shared" si="6"/>
        <v>111</v>
      </c>
      <c r="R12" s="1502" t="s">
        <v>8</v>
      </c>
      <c r="S12" s="1503">
        <f t="shared" si="0"/>
        <v>100</v>
      </c>
      <c r="T12" s="1502" t="s">
        <v>8</v>
      </c>
      <c r="U12" s="1503">
        <f t="shared" si="1"/>
        <v>100</v>
      </c>
      <c r="V12" s="1502" t="s">
        <v>8</v>
      </c>
      <c r="W12" s="1503">
        <f t="shared" si="2"/>
        <v>100</v>
      </c>
      <c r="X12" s="1504"/>
      <c r="Y12" s="3465"/>
      <c r="Z12" s="1132">
        <f t="shared" si="7"/>
        <v>111</v>
      </c>
      <c r="AA12" s="1505">
        <f>D12/F12</f>
        <v>1</v>
      </c>
      <c r="AB12" s="1505">
        <f>D12/H12</f>
        <v>1</v>
      </c>
      <c r="AC12" s="1505">
        <f>D12/J12</f>
        <v>1</v>
      </c>
    </row>
    <row r="13" spans="1:29" ht="15" hidden="1">
      <c r="A13" s="2633"/>
      <c r="B13" s="2639">
        <v>111</v>
      </c>
      <c r="C13" s="533"/>
      <c r="D13" s="534">
        <v>100</v>
      </c>
      <c r="E13" s="533"/>
      <c r="F13" s="253">
        <f>SUMIF(72:72,E13,73:73)-SUMIF(72:72,C13,73:73)+100</f>
        <v>100</v>
      </c>
      <c r="G13" s="901"/>
      <c r="H13" s="534">
        <f>SUMIF(72:72,G13,73:73)-SUMIF(72:72,C13,73:73)+100</f>
        <v>100</v>
      </c>
      <c r="I13" s="533"/>
      <c r="J13" s="534">
        <f>SUMIF(72:72,I13,73:73)-SUMIF(72:72,C13,73:73)+100</f>
        <v>100</v>
      </c>
      <c r="K13" s="575"/>
      <c r="L13" s="2023"/>
      <c r="M13" s="2015"/>
      <c r="N13" s="2015"/>
      <c r="O13" s="2022"/>
      <c r="P13" s="3468"/>
      <c r="Q13" s="1133">
        <f t="shared" si="6"/>
        <v>111</v>
      </c>
      <c r="R13" s="1502" t="s">
        <v>8</v>
      </c>
      <c r="S13" s="1503">
        <f t="shared" si="0"/>
        <v>100</v>
      </c>
      <c r="T13" s="1502" t="s">
        <v>8</v>
      </c>
      <c r="U13" s="1503">
        <f t="shared" si="1"/>
        <v>100</v>
      </c>
      <c r="V13" s="1502" t="s">
        <v>8</v>
      </c>
      <c r="W13" s="1503">
        <f t="shared" si="2"/>
        <v>100</v>
      </c>
      <c r="X13" s="1504"/>
      <c r="Y13" s="3465"/>
      <c r="Z13" s="1132">
        <f t="shared" si="7"/>
        <v>111</v>
      </c>
      <c r="AA13" s="1505">
        <f t="shared" si="3"/>
        <v>1</v>
      </c>
      <c r="AB13" s="1505">
        <f t="shared" si="4"/>
        <v>1</v>
      </c>
      <c r="AC13" s="1505">
        <f t="shared" si="5"/>
        <v>1</v>
      </c>
    </row>
    <row r="14" spans="1:29" ht="15.75" hidden="1" thickBot="1">
      <c r="A14" s="2634"/>
      <c r="B14" s="2640">
        <v>111</v>
      </c>
      <c r="C14" s="539"/>
      <c r="D14" s="540">
        <v>100</v>
      </c>
      <c r="E14" s="539"/>
      <c r="F14" s="540">
        <f>SUMIF(74:74,E14,75:75)-SUMIF(74:74,C14,75:75)+100</f>
        <v>100</v>
      </c>
      <c r="G14" s="901"/>
      <c r="H14" s="540">
        <f>SUMIF(74:74,G14,75:75)-SUMIF(74:74,C14,75:75)+100</f>
        <v>100</v>
      </c>
      <c r="I14" s="533"/>
      <c r="J14" s="540">
        <f>SUMIF(74:74,I14,75:75)-SUMIF(74:74,C14,75:75)+100</f>
        <v>100</v>
      </c>
      <c r="K14" s="575"/>
      <c r="L14" s="2023"/>
      <c r="M14" s="2015"/>
      <c r="N14" s="2015"/>
      <c r="O14" s="2022"/>
      <c r="P14" s="3468"/>
      <c r="Q14" s="1133">
        <f t="shared" si="6"/>
        <v>111</v>
      </c>
      <c r="R14" s="1502" t="s">
        <v>8</v>
      </c>
      <c r="S14" s="1503">
        <f t="shared" si="0"/>
        <v>100</v>
      </c>
      <c r="T14" s="1502" t="s">
        <v>8</v>
      </c>
      <c r="U14" s="1503">
        <f t="shared" si="1"/>
        <v>100</v>
      </c>
      <c r="V14" s="1502" t="s">
        <v>8</v>
      </c>
      <c r="W14" s="1503">
        <f t="shared" si="2"/>
        <v>100</v>
      </c>
      <c r="X14" s="1504"/>
      <c r="Y14" s="3465"/>
      <c r="Z14" s="1132">
        <f t="shared" si="7"/>
        <v>111</v>
      </c>
      <c r="AA14" s="1505">
        <f t="shared" si="3"/>
        <v>1</v>
      </c>
      <c r="AB14" s="1505">
        <f t="shared" si="4"/>
        <v>1</v>
      </c>
      <c r="AC14" s="1505">
        <f t="shared" si="5"/>
        <v>1</v>
      </c>
    </row>
    <row r="15" spans="1:29" ht="28.5">
      <c r="A15" s="2626" t="s">
        <v>2734</v>
      </c>
      <c r="B15" s="164" t="s">
        <v>535</v>
      </c>
      <c r="C15" s="856" t="str">
        <f>估价对象房地状况!C4</f>
        <v>现状差，未来较好</v>
      </c>
      <c r="D15" s="543">
        <v>100</v>
      </c>
      <c r="E15" s="544"/>
      <c r="F15" s="545">
        <f>SUMIF(76:76,E16,77:77)-SUMIF(76:76,C16,77:77)+100</f>
        <v>100</v>
      </c>
      <c r="G15" s="546"/>
      <c r="H15" s="543">
        <f>SUMIF(76:76,G16,77:77)-SUMIF(76:76,C16,77:77)+100</f>
        <v>100</v>
      </c>
      <c r="I15" s="544"/>
      <c r="J15" s="543">
        <f>SUMIF(76:76,I16,77:77)-SUMIF(76:76,C16,77:77)+100</f>
        <v>100</v>
      </c>
      <c r="K15" s="887"/>
      <c r="L15" s="2023"/>
      <c r="M15" s="2015"/>
      <c r="N15" s="2015"/>
      <c r="O15" s="2022"/>
      <c r="P15" s="3470" t="s">
        <v>534</v>
      </c>
      <c r="Q15" s="1506" t="str">
        <f t="shared" si="6"/>
        <v>商业繁华度</v>
      </c>
      <c r="R15" s="1507" t="s">
        <v>8</v>
      </c>
      <c r="S15" s="1508">
        <f t="shared" si="0"/>
        <v>100</v>
      </c>
      <c r="T15" s="1507" t="s">
        <v>8</v>
      </c>
      <c r="U15" s="1508">
        <f t="shared" si="1"/>
        <v>100</v>
      </c>
      <c r="V15" s="1507" t="s">
        <v>8</v>
      </c>
      <c r="W15" s="1508">
        <f t="shared" si="2"/>
        <v>100</v>
      </c>
      <c r="X15" s="1501"/>
      <c r="Y15" s="3470" t="s">
        <v>534</v>
      </c>
      <c r="Z15" s="1509" t="str">
        <f t="shared" si="7"/>
        <v>商业繁华度</v>
      </c>
      <c r="AA15" s="1510">
        <f t="shared" si="3"/>
        <v>1</v>
      </c>
      <c r="AB15" s="1510">
        <f t="shared" si="4"/>
        <v>1</v>
      </c>
      <c r="AC15" s="1510">
        <f t="shared" si="5"/>
        <v>1</v>
      </c>
    </row>
    <row r="16" spans="1:29" ht="15">
      <c r="A16" s="526"/>
      <c r="B16" s="858"/>
      <c r="C16" s="570" t="s">
        <v>3280</v>
      </c>
      <c r="D16" s="549"/>
      <c r="E16" s="570" t="s">
        <v>3280</v>
      </c>
      <c r="F16" s="551"/>
      <c r="G16" s="570" t="s">
        <v>3280</v>
      </c>
      <c r="H16" s="553"/>
      <c r="I16" s="570" t="s">
        <v>3280</v>
      </c>
      <c r="J16" s="549"/>
      <c r="K16" s="888"/>
      <c r="L16" s="2023"/>
      <c r="M16" s="2015"/>
      <c r="N16" s="2015"/>
      <c r="O16" s="2022"/>
      <c r="P16" s="3471"/>
      <c r="Q16" s="1506"/>
      <c r="R16" s="1507"/>
      <c r="S16" s="1508"/>
      <c r="T16" s="1507"/>
      <c r="U16" s="1508"/>
      <c r="V16" s="1507"/>
      <c r="W16" s="1508"/>
      <c r="X16" s="1501"/>
      <c r="Y16" s="3471"/>
      <c r="Z16" s="1509"/>
      <c r="AA16" s="1510">
        <v>1</v>
      </c>
      <c r="AB16" s="1510">
        <v>1</v>
      </c>
      <c r="AC16" s="1510">
        <v>1</v>
      </c>
    </row>
    <row r="17" spans="1:29" ht="33" customHeight="1">
      <c r="A17" s="526"/>
      <c r="B17" s="860" t="s">
        <v>296</v>
      </c>
      <c r="C17" s="861" t="str">
        <f>估价对象房地状况!C6</f>
        <v>现状差，未来较好</v>
      </c>
      <c r="D17" s="553">
        <v>100</v>
      </c>
      <c r="E17" s="556"/>
      <c r="F17" s="557">
        <f>SUMIF(78:78,E18,79:79)-SUMIF(78:78,C18,79:79)+100</f>
        <v>100</v>
      </c>
      <c r="G17" s="558"/>
      <c r="H17" s="559">
        <f>SUMIF(78:78,G18,79:79)-SUMIF(78:78,C18,79:79)+100</f>
        <v>100</v>
      </c>
      <c r="I17" s="556"/>
      <c r="J17" s="559">
        <f>SUMIF(78:78,I18,79:79)-SUMIF(78:78,C18,79:79)+100</f>
        <v>100</v>
      </c>
      <c r="K17" s="887">
        <v>3</v>
      </c>
      <c r="L17" s="3342" t="s">
        <v>3409</v>
      </c>
      <c r="M17" s="3342" t="s">
        <v>3410</v>
      </c>
      <c r="N17" s="3342" t="s">
        <v>3410</v>
      </c>
      <c r="O17" s="2022"/>
      <c r="P17" s="3471"/>
      <c r="Q17" s="1506" t="str">
        <f>B17</f>
        <v>交通便捷度</v>
      </c>
      <c r="R17" s="1507" t="s">
        <v>8</v>
      </c>
      <c r="S17" s="1508">
        <f>F17</f>
        <v>100</v>
      </c>
      <c r="T17" s="1507" t="s">
        <v>8</v>
      </c>
      <c r="U17" s="1508">
        <f>H17</f>
        <v>100</v>
      </c>
      <c r="V17" s="1507" t="s">
        <v>8</v>
      </c>
      <c r="W17" s="1508">
        <f>J17</f>
        <v>100</v>
      </c>
      <c r="X17" s="1501"/>
      <c r="Y17" s="3471"/>
      <c r="Z17" s="1509" t="str">
        <f>Q17</f>
        <v>交通便捷度</v>
      </c>
      <c r="AA17" s="1510">
        <f t="shared" si="3"/>
        <v>1</v>
      </c>
      <c r="AB17" s="1510">
        <f t="shared" si="4"/>
        <v>1</v>
      </c>
      <c r="AC17" s="1510">
        <f t="shared" si="5"/>
        <v>1</v>
      </c>
    </row>
    <row r="18" spans="1:29" ht="15">
      <c r="A18" s="526"/>
      <c r="B18" s="589"/>
      <c r="C18" s="862" t="s">
        <v>3280</v>
      </c>
      <c r="D18" s="553"/>
      <c r="E18" s="562" t="s">
        <v>3280</v>
      </c>
      <c r="F18" s="557"/>
      <c r="G18" s="563" t="s">
        <v>3280</v>
      </c>
      <c r="H18" s="549"/>
      <c r="I18" s="562" t="s">
        <v>3280</v>
      </c>
      <c r="J18" s="549"/>
      <c r="K18" s="888"/>
      <c r="L18" s="2015">
        <v>1</v>
      </c>
      <c r="M18" s="2015">
        <v>1</v>
      </c>
      <c r="N18" s="2015">
        <f>ROUND($C$49*M18,1)</f>
        <v>4.3</v>
      </c>
      <c r="O18" s="2022"/>
      <c r="P18" s="3471"/>
      <c r="Q18" s="1506"/>
      <c r="R18" s="1507"/>
      <c r="S18" s="1508"/>
      <c r="T18" s="1507"/>
      <c r="U18" s="1508"/>
      <c r="V18" s="1507"/>
      <c r="W18" s="1508"/>
      <c r="X18" s="1501"/>
      <c r="Y18" s="3471"/>
      <c r="Z18" s="1509"/>
      <c r="AA18" s="1510">
        <v>1</v>
      </c>
      <c r="AB18" s="1510">
        <v>1</v>
      </c>
      <c r="AC18" s="1510">
        <v>1</v>
      </c>
    </row>
    <row r="19" spans="1:29" ht="15">
      <c r="A19" s="526"/>
      <c r="B19" s="2443" t="s">
        <v>2527</v>
      </c>
      <c r="C19" s="861" t="str">
        <f>估价对象房地状况!C7</f>
        <v>现状差，未来好</v>
      </c>
      <c r="D19" s="559">
        <v>100</v>
      </c>
      <c r="E19" s="564"/>
      <c r="F19" s="565">
        <f>SUMIF(80:80,E20,81:81)-SUMIF(80:80,C20,81:81)+100</f>
        <v>97</v>
      </c>
      <c r="G19" s="566"/>
      <c r="H19" s="553">
        <f>SUMIF(80:80,G20,81:81)-SUMIF(80:80,C20,81:81)+100</f>
        <v>97</v>
      </c>
      <c r="I19" s="564"/>
      <c r="J19" s="553">
        <f>SUMIF(80:80,I20,81:81)-SUMIF(80:80,C20,81:81)+100</f>
        <v>97</v>
      </c>
      <c r="K19" s="887">
        <v>3</v>
      </c>
      <c r="L19" s="2015">
        <v>2</v>
      </c>
      <c r="M19" s="2015">
        <v>0.6</v>
      </c>
      <c r="N19" s="2015">
        <f t="shared" ref="N19:N21" si="8">ROUND($C$49*M19,1)</f>
        <v>2.6</v>
      </c>
      <c r="O19" s="2022"/>
      <c r="P19" s="3471"/>
      <c r="Q19" s="1506" t="str">
        <f>B19</f>
        <v>公共配套设施</v>
      </c>
      <c r="R19" s="1507" t="s">
        <v>8</v>
      </c>
      <c r="S19" s="1508">
        <f>F19</f>
        <v>97</v>
      </c>
      <c r="T19" s="1507" t="s">
        <v>8</v>
      </c>
      <c r="U19" s="1508">
        <f>H19</f>
        <v>97</v>
      </c>
      <c r="V19" s="1507" t="s">
        <v>8</v>
      </c>
      <c r="W19" s="1508">
        <f>J19</f>
        <v>97</v>
      </c>
      <c r="X19" s="1501"/>
      <c r="Y19" s="3471"/>
      <c r="Z19" s="1509" t="str">
        <f>Q19</f>
        <v>公共配套设施</v>
      </c>
      <c r="AA19" s="1510">
        <f t="shared" si="3"/>
        <v>1.0309278350515463</v>
      </c>
      <c r="AB19" s="1510">
        <f t="shared" si="4"/>
        <v>1.0309278350515463</v>
      </c>
      <c r="AC19" s="1510">
        <f t="shared" si="5"/>
        <v>1.0309278350515463</v>
      </c>
    </row>
    <row r="20" spans="1:29" ht="15">
      <c r="A20" s="526"/>
      <c r="B20" s="589"/>
      <c r="C20" s="570" t="s">
        <v>3278</v>
      </c>
      <c r="D20" s="549"/>
      <c r="E20" s="550" t="s">
        <v>3280</v>
      </c>
      <c r="F20" s="551"/>
      <c r="G20" s="552" t="s">
        <v>3280</v>
      </c>
      <c r="H20" s="549"/>
      <c r="I20" s="550" t="s">
        <v>3280</v>
      </c>
      <c r="J20" s="549"/>
      <c r="K20" s="888"/>
      <c r="L20" s="2015">
        <v>3</v>
      </c>
      <c r="M20" s="2015">
        <v>0.5</v>
      </c>
      <c r="N20" s="2015">
        <f t="shared" si="8"/>
        <v>2.2000000000000002</v>
      </c>
      <c r="O20" s="2022"/>
      <c r="P20" s="3471"/>
      <c r="Q20" s="1506"/>
      <c r="R20" s="1507"/>
      <c r="S20" s="1508"/>
      <c r="T20" s="1507"/>
      <c r="U20" s="1508"/>
      <c r="V20" s="1507"/>
      <c r="W20" s="1508"/>
      <c r="X20" s="1501"/>
      <c r="Y20" s="3471"/>
      <c r="Z20" s="1509"/>
      <c r="AA20" s="1510">
        <v>1</v>
      </c>
      <c r="AB20" s="1510">
        <v>1</v>
      </c>
      <c r="AC20" s="1510">
        <v>1</v>
      </c>
    </row>
    <row r="21" spans="1:29" ht="19.5" customHeight="1">
      <c r="A21" s="526"/>
      <c r="B21" s="2436" t="s">
        <v>2539</v>
      </c>
      <c r="C21" s="861" t="str">
        <f>估价对象房地状况!C8</f>
        <v>七桶</v>
      </c>
      <c r="D21" s="559">
        <v>100</v>
      </c>
      <c r="E21" s="566"/>
      <c r="F21" s="565">
        <f>SUMIF(82:82,E22,83:83)-SUMIF(82:82,C22,83:83)+100</f>
        <v>100</v>
      </c>
      <c r="G21" s="566"/>
      <c r="H21" s="559">
        <f>SUMIF(82:82,G22,83:83)-SUMIF(82:82,C22,83:83)+100</f>
        <v>100</v>
      </c>
      <c r="I21" s="564"/>
      <c r="J21" s="559">
        <f>SUMIF(82:82,I22,83:83)-SUMIF(82:82,C22,83:83)+100</f>
        <v>100</v>
      </c>
      <c r="K21" s="887"/>
      <c r="L21" s="2015">
        <v>4</v>
      </c>
      <c r="M21" s="2015">
        <v>0.5</v>
      </c>
      <c r="N21" s="2015">
        <f t="shared" si="8"/>
        <v>2.2000000000000002</v>
      </c>
      <c r="O21" s="2022"/>
      <c r="P21" s="3471"/>
      <c r="Q21" s="2428" t="str">
        <f>B21</f>
        <v>基础设施水平</v>
      </c>
      <c r="R21" s="1507" t="s">
        <v>8</v>
      </c>
      <c r="S21" s="1508">
        <f>F21</f>
        <v>100</v>
      </c>
      <c r="T21" s="1507" t="s">
        <v>8</v>
      </c>
      <c r="U21" s="1508">
        <f>H21</f>
        <v>100</v>
      </c>
      <c r="V21" s="1507" t="s">
        <v>8</v>
      </c>
      <c r="W21" s="1508">
        <f>J21</f>
        <v>100</v>
      </c>
      <c r="X21" s="2430"/>
      <c r="Y21" s="3471"/>
      <c r="Z21" s="2429" t="str">
        <f>Q21</f>
        <v>基础设施水平</v>
      </c>
      <c r="AA21" s="1510">
        <f t="shared" ref="AA21" si="9">D21/F21</f>
        <v>1</v>
      </c>
      <c r="AB21" s="1510">
        <f t="shared" ref="AB21" si="10">D21/H21</f>
        <v>1</v>
      </c>
      <c r="AC21" s="1510">
        <f t="shared" ref="AC21" si="11">D21/J21</f>
        <v>1</v>
      </c>
    </row>
    <row r="22" spans="1:29" ht="15">
      <c r="A22" s="526"/>
      <c r="B22" s="911"/>
      <c r="C22" s="862" t="s">
        <v>3279</v>
      </c>
      <c r="D22" s="549"/>
      <c r="E22" s="570" t="s">
        <v>3279</v>
      </c>
      <c r="F22" s="551"/>
      <c r="G22" s="570" t="s">
        <v>3279</v>
      </c>
      <c r="H22" s="549"/>
      <c r="I22" s="570" t="s">
        <v>3279</v>
      </c>
      <c r="J22" s="549"/>
      <c r="K22" s="2445"/>
      <c r="L22" s="2015" t="s">
        <v>3411</v>
      </c>
      <c r="M22" s="2015" t="s">
        <v>3412</v>
      </c>
      <c r="N22" s="2015">
        <f>ROUND(AVERAGE(N18:N21),1)</f>
        <v>2.8</v>
      </c>
      <c r="O22" s="2022"/>
      <c r="P22" s="3471"/>
      <c r="Q22" s="2428"/>
      <c r="R22" s="1507"/>
      <c r="S22" s="1508"/>
      <c r="T22" s="1507"/>
      <c r="U22" s="1508"/>
      <c r="V22" s="1507"/>
      <c r="W22" s="1508"/>
      <c r="X22" s="2430"/>
      <c r="Y22" s="3471"/>
      <c r="Z22" s="2429"/>
      <c r="AA22" s="1510">
        <v>1</v>
      </c>
      <c r="AB22" s="1510">
        <v>1</v>
      </c>
      <c r="AC22" s="1510">
        <v>1</v>
      </c>
    </row>
    <row r="23" spans="1:29" ht="28.5">
      <c r="A23" s="526"/>
      <c r="B23" s="860" t="s">
        <v>297</v>
      </c>
      <c r="C23" s="889" t="str">
        <f>估价对象房地状况!C9</f>
        <v>现状一般，未来较好</v>
      </c>
      <c r="D23" s="553">
        <v>100</v>
      </c>
      <c r="E23" s="556"/>
      <c r="F23" s="557">
        <f>SUMIF(84:84,E24,85:85)-SUMIF(84:84,C24,85:85)+100</f>
        <v>97</v>
      </c>
      <c r="G23" s="558"/>
      <c r="H23" s="553">
        <f>SUMIF(84:84,G24,85:85)-SUMIF(84:84,C24,85:85)+100</f>
        <v>97</v>
      </c>
      <c r="I23" s="556"/>
      <c r="J23" s="553">
        <f>SUMIF(84:84,I24,85:85)-SUMIF(84:84,C24,85:85)+100</f>
        <v>97</v>
      </c>
      <c r="K23" s="887">
        <v>3</v>
      </c>
      <c r="L23" s="2015" t="s">
        <v>3413</v>
      </c>
      <c r="M23" s="2015" t="s">
        <v>3412</v>
      </c>
      <c r="N23" s="2015">
        <f>ROUND(AVERAGE(N18:N19),1)</f>
        <v>3.5</v>
      </c>
      <c r="O23" s="2022"/>
      <c r="P23" s="3471"/>
      <c r="Q23" s="1506" t="str">
        <f>B23</f>
        <v>自然及人文环境</v>
      </c>
      <c r="R23" s="1507" t="s">
        <v>8</v>
      </c>
      <c r="S23" s="1508">
        <f>F23</f>
        <v>97</v>
      </c>
      <c r="T23" s="1507" t="s">
        <v>8</v>
      </c>
      <c r="U23" s="1508">
        <f>H23</f>
        <v>97</v>
      </c>
      <c r="V23" s="1507" t="s">
        <v>8</v>
      </c>
      <c r="W23" s="1508">
        <f>J23</f>
        <v>97</v>
      </c>
      <c r="X23" s="1501"/>
      <c r="Y23" s="3471"/>
      <c r="Z23" s="1509" t="str">
        <f>Q23</f>
        <v>自然及人文环境</v>
      </c>
      <c r="AA23" s="1510">
        <f t="shared" si="3"/>
        <v>1.0309278350515463</v>
      </c>
      <c r="AB23" s="1510">
        <f t="shared" si="4"/>
        <v>1.0309278350515463</v>
      </c>
      <c r="AC23" s="1510">
        <f t="shared" si="5"/>
        <v>1.0309278350515463</v>
      </c>
    </row>
    <row r="24" spans="1:29" ht="15">
      <c r="A24" s="526"/>
      <c r="B24" s="589"/>
      <c r="C24" s="570" t="s">
        <v>3280</v>
      </c>
      <c r="D24" s="549"/>
      <c r="E24" s="550" t="s">
        <v>3281</v>
      </c>
      <c r="F24" s="551"/>
      <c r="G24" s="552" t="s">
        <v>3281</v>
      </c>
      <c r="H24" s="549"/>
      <c r="I24" s="550" t="s">
        <v>3281</v>
      </c>
      <c r="J24" s="549"/>
      <c r="K24" s="888"/>
      <c r="L24" s="2023"/>
      <c r="M24" s="2015"/>
      <c r="N24" s="2015"/>
      <c r="O24" s="2022"/>
      <c r="P24" s="3471"/>
      <c r="Q24" s="1506"/>
      <c r="R24" s="1507"/>
      <c r="S24" s="1508"/>
      <c r="T24" s="1507"/>
      <c r="U24" s="1508"/>
      <c r="V24" s="1507"/>
      <c r="W24" s="1508"/>
      <c r="X24" s="1501"/>
      <c r="Y24" s="3471"/>
      <c r="Z24" s="1509"/>
      <c r="AA24" s="1510">
        <v>1</v>
      </c>
      <c r="AB24" s="1510">
        <v>1</v>
      </c>
      <c r="AC24" s="1510">
        <v>1</v>
      </c>
    </row>
    <row r="25" spans="1:29" ht="29.25" thickBot="1">
      <c r="A25" s="526"/>
      <c r="B25" s="521" t="s">
        <v>541</v>
      </c>
      <c r="C25" s="577" t="s">
        <v>3347</v>
      </c>
      <c r="D25" s="534">
        <v>100</v>
      </c>
      <c r="E25" s="577" t="s">
        <v>3280</v>
      </c>
      <c r="F25" s="569">
        <f>SUMIF(86:86,E25,87:87)-SUMIF(86:86,C25,87:87)+100</f>
        <v>100</v>
      </c>
      <c r="G25" s="577" t="s">
        <v>3280</v>
      </c>
      <c r="H25" s="534">
        <f>SUMIF(86:86,G25,87:87)-SUMIF(86:86,C25,87:87)+100</f>
        <v>100</v>
      </c>
      <c r="I25" s="577" t="s">
        <v>3280</v>
      </c>
      <c r="J25" s="534">
        <f>SUMIF(86:86,I25,87:87)-SUMIF(86:86,C25,87:87)+100</f>
        <v>100</v>
      </c>
      <c r="K25" s="578"/>
      <c r="L25" s="2023"/>
      <c r="M25" s="2015"/>
      <c r="N25" s="2015"/>
      <c r="O25" s="2022"/>
      <c r="P25" s="3471"/>
      <c r="Q25" s="1506" t="str">
        <f t="shared" ref="Q25:Q46" si="12">B25</f>
        <v>临街状况</v>
      </c>
      <c r="R25" s="1507" t="s">
        <v>8</v>
      </c>
      <c r="S25" s="1508">
        <f>F25</f>
        <v>100</v>
      </c>
      <c r="T25" s="1507" t="s">
        <v>8</v>
      </c>
      <c r="U25" s="1508">
        <f>H25</f>
        <v>100</v>
      </c>
      <c r="V25" s="1507" t="s">
        <v>8</v>
      </c>
      <c r="W25" s="1508">
        <f>J25</f>
        <v>100</v>
      </c>
      <c r="X25" s="1501"/>
      <c r="Y25" s="3471"/>
      <c r="Z25" s="1509" t="str">
        <f>Q25</f>
        <v>临街状况</v>
      </c>
      <c r="AA25" s="1510">
        <f t="shared" si="3"/>
        <v>1</v>
      </c>
      <c r="AB25" s="1510">
        <f t="shared" si="4"/>
        <v>1</v>
      </c>
      <c r="AC25" s="1510">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471"/>
      <c r="Q26" s="1506" t="str">
        <f t="shared" si="12"/>
        <v>平面位置/可视性</v>
      </c>
      <c r="R26" s="1507" t="s">
        <v>8</v>
      </c>
      <c r="S26" s="1508">
        <f>F26</f>
        <v>100</v>
      </c>
      <c r="T26" s="1507" t="s">
        <v>8</v>
      </c>
      <c r="U26" s="1508">
        <f>H26</f>
        <v>100</v>
      </c>
      <c r="V26" s="1507" t="s">
        <v>8</v>
      </c>
      <c r="W26" s="1508">
        <f>J26</f>
        <v>100</v>
      </c>
      <c r="X26" s="1501"/>
      <c r="Y26" s="3471"/>
      <c r="Z26" s="1509" t="str">
        <f>Q26</f>
        <v>平面位置/可视性</v>
      </c>
      <c r="AA26" s="1510">
        <f t="shared" si="3"/>
        <v>1</v>
      </c>
      <c r="AB26" s="1510">
        <f t="shared" si="4"/>
        <v>1</v>
      </c>
      <c r="AC26" s="1510">
        <f t="shared" si="5"/>
        <v>1</v>
      </c>
    </row>
    <row r="27" spans="1:29" s="1202" customFormat="1" ht="15" hidden="1">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6"/>
      <c r="M27" s="2017"/>
      <c r="N27" s="2017"/>
      <c r="O27" s="2018"/>
      <c r="P27" s="3471"/>
      <c r="Q27" s="1133" t="str">
        <f t="shared" si="12"/>
        <v>人流量</v>
      </c>
      <c r="R27" s="1502" t="s">
        <v>8</v>
      </c>
      <c r="S27" s="1503">
        <f>F27</f>
        <v>100</v>
      </c>
      <c r="T27" s="1502" t="s">
        <v>8</v>
      </c>
      <c r="U27" s="1503">
        <f>H27</f>
        <v>100</v>
      </c>
      <c r="V27" s="1502" t="s">
        <v>8</v>
      </c>
      <c r="W27" s="1503">
        <f>J27</f>
        <v>100</v>
      </c>
      <c r="X27" s="1504"/>
      <c r="Y27" s="3471"/>
      <c r="Z27" s="1132" t="str">
        <f>Q27</f>
        <v>人流量</v>
      </c>
      <c r="AA27" s="1510">
        <f>D27/F27</f>
        <v>1</v>
      </c>
      <c r="AB27" s="1510">
        <f>D27/H27</f>
        <v>1</v>
      </c>
      <c r="AC27" s="1510">
        <f>D27/J27</f>
        <v>1</v>
      </c>
    </row>
    <row r="28" spans="1:29" ht="15" hidden="1">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471"/>
      <c r="Q28" s="1506" t="str">
        <f t="shared" si="12"/>
        <v>楼层</v>
      </c>
      <c r="R28" s="1507" t="s">
        <v>8</v>
      </c>
      <c r="S28" s="1508">
        <f t="shared" ref="S28:S46" si="13">F28</f>
        <v>100</v>
      </c>
      <c r="T28" s="1507" t="s">
        <v>8</v>
      </c>
      <c r="U28" s="1508">
        <f t="shared" ref="U28:U46" si="14">H28</f>
        <v>100</v>
      </c>
      <c r="V28" s="1507" t="s">
        <v>8</v>
      </c>
      <c r="W28" s="1508">
        <f t="shared" ref="W28:W46" si="15">J28</f>
        <v>100</v>
      </c>
      <c r="X28" s="1501"/>
      <c r="Y28" s="3471"/>
      <c r="Z28" s="1509" t="str">
        <f t="shared" ref="Z28:Z46" si="16">Q28</f>
        <v>楼层</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471"/>
      <c r="Q29" s="1506">
        <f t="shared" si="12"/>
        <v>111</v>
      </c>
      <c r="R29" s="1507" t="s">
        <v>8</v>
      </c>
      <c r="S29" s="1508">
        <f t="shared" si="13"/>
        <v>100</v>
      </c>
      <c r="T29" s="1507" t="s">
        <v>8</v>
      </c>
      <c r="U29" s="1508">
        <f t="shared" si="14"/>
        <v>100</v>
      </c>
      <c r="V29" s="1507" t="s">
        <v>8</v>
      </c>
      <c r="W29" s="1508">
        <f t="shared" si="15"/>
        <v>100</v>
      </c>
      <c r="X29" s="1501"/>
      <c r="Y29" s="3471"/>
      <c r="Z29" s="1509">
        <f t="shared" si="16"/>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471"/>
      <c r="Q30" s="1506">
        <f t="shared" si="12"/>
        <v>111</v>
      </c>
      <c r="R30" s="1507" t="s">
        <v>8</v>
      </c>
      <c r="S30" s="1508">
        <f t="shared" si="13"/>
        <v>100</v>
      </c>
      <c r="T30" s="1507" t="s">
        <v>8</v>
      </c>
      <c r="U30" s="1508">
        <f t="shared" si="14"/>
        <v>100</v>
      </c>
      <c r="V30" s="1507" t="s">
        <v>8</v>
      </c>
      <c r="W30" s="1508">
        <f t="shared" si="15"/>
        <v>100</v>
      </c>
      <c r="X30" s="1501"/>
      <c r="Y30" s="3471"/>
      <c r="Z30" s="1509">
        <f t="shared" si="16"/>
        <v>111</v>
      </c>
      <c r="AA30" s="1510">
        <f t="shared" si="3"/>
        <v>1</v>
      </c>
      <c r="AB30" s="1510">
        <f t="shared" si="4"/>
        <v>1</v>
      </c>
      <c r="AC30" s="1510">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471"/>
      <c r="Q31" s="1506">
        <f t="shared" si="12"/>
        <v>111</v>
      </c>
      <c r="R31" s="1507" t="s">
        <v>8</v>
      </c>
      <c r="S31" s="1508">
        <f t="shared" si="13"/>
        <v>100</v>
      </c>
      <c r="T31" s="1507" t="s">
        <v>8</v>
      </c>
      <c r="U31" s="1508">
        <f t="shared" si="14"/>
        <v>100</v>
      </c>
      <c r="V31" s="1507" t="s">
        <v>8</v>
      </c>
      <c r="W31" s="1508">
        <f t="shared" si="15"/>
        <v>100</v>
      </c>
      <c r="X31" s="1501"/>
      <c r="Y31" s="3471"/>
      <c r="Z31" s="1509">
        <f t="shared" si="16"/>
        <v>111</v>
      </c>
      <c r="AA31" s="1510">
        <f t="shared" si="3"/>
        <v>1</v>
      </c>
      <c r="AB31" s="1510">
        <f t="shared" si="4"/>
        <v>1</v>
      </c>
      <c r="AC31" s="1510">
        <f t="shared" si="5"/>
        <v>1</v>
      </c>
    </row>
    <row r="32" spans="1:29" ht="15">
      <c r="A32" s="2623" t="s">
        <v>2735</v>
      </c>
      <c r="B32" s="170" t="s">
        <v>756</v>
      </c>
      <c r="C32" s="867" t="s">
        <v>3352</v>
      </c>
      <c r="D32" s="591">
        <v>100</v>
      </c>
      <c r="E32" s="867" t="s">
        <v>3350</v>
      </c>
      <c r="F32" s="569">
        <f>SUMIF(100:100,E32,101:101)-SUMIF(100:100,C32,101:101)+100</f>
        <v>105</v>
      </c>
      <c r="G32" s="867" t="s">
        <v>3352</v>
      </c>
      <c r="H32" s="534">
        <f>SUMIF(100:100,G32,101:101)-SUMIF(100:100,C32,101:101)+100</f>
        <v>100</v>
      </c>
      <c r="I32" s="867" t="s">
        <v>3352</v>
      </c>
      <c r="J32" s="591">
        <f>SUMIF(100:100,I32,101:101)-SUMIF(100:100,C32,101:101)+100</f>
        <v>100</v>
      </c>
      <c r="K32" s="578">
        <v>5</v>
      </c>
      <c r="L32" s="2023"/>
      <c r="M32" s="2015"/>
      <c r="N32" s="2015"/>
      <c r="O32" s="2022"/>
      <c r="P32" s="3472" t="s">
        <v>544</v>
      </c>
      <c r="Q32" s="1506" t="str">
        <f t="shared" si="12"/>
        <v>商业类型</v>
      </c>
      <c r="R32" s="1507" t="s">
        <v>8</v>
      </c>
      <c r="S32" s="1508">
        <f t="shared" si="13"/>
        <v>105</v>
      </c>
      <c r="T32" s="1507" t="s">
        <v>8</v>
      </c>
      <c r="U32" s="1508">
        <f t="shared" si="14"/>
        <v>100</v>
      </c>
      <c r="V32" s="1507" t="s">
        <v>8</v>
      </c>
      <c r="W32" s="1508">
        <f t="shared" si="15"/>
        <v>100</v>
      </c>
      <c r="X32" s="1501"/>
      <c r="Y32" s="3473" t="s">
        <v>544</v>
      </c>
      <c r="Z32" s="1509" t="str">
        <f t="shared" si="16"/>
        <v>商业类型</v>
      </c>
      <c r="AA32" s="1510">
        <f t="shared" si="3"/>
        <v>0.95238095238095233</v>
      </c>
      <c r="AB32" s="1510">
        <f t="shared" si="4"/>
        <v>1</v>
      </c>
      <c r="AC32" s="1510">
        <f t="shared" si="5"/>
        <v>1</v>
      </c>
    </row>
    <row r="33" spans="1:29" s="1292" customFormat="1" ht="15" hidden="1">
      <c r="A33" s="597"/>
      <c r="B33" s="521" t="s">
        <v>720</v>
      </c>
      <c r="C33" s="869">
        <v>1</v>
      </c>
      <c r="D33" s="253">
        <v>100</v>
      </c>
      <c r="E33" s="528">
        <f>C33</f>
        <v>1</v>
      </c>
      <c r="F33" s="852">
        <f>LOOKUP(E33,103:103,104:104)-LOOKUP(C33,103:103,104:104)+100</f>
        <v>100</v>
      </c>
      <c r="G33" s="527">
        <f>C33</f>
        <v>1</v>
      </c>
      <c r="H33" s="253">
        <f>LOOKUP(G33,103:103,104:104)-LOOKUP(C33,103:103,104:104)+100</f>
        <v>100</v>
      </c>
      <c r="I33" s="527">
        <f>C33</f>
        <v>1</v>
      </c>
      <c r="J33" s="253">
        <f>LOOKUP(I33,103:103,104:104)-LOOKUP(C33,103:103,104:104)+100</f>
        <v>100</v>
      </c>
      <c r="K33" s="575"/>
      <c r="L33" s="2021"/>
      <c r="M33" s="2051"/>
      <c r="N33" s="2051"/>
      <c r="O33" s="2024"/>
      <c r="P33" s="3473"/>
      <c r="Q33" s="1535" t="str">
        <f t="shared" si="12"/>
        <v>项目建筑规模</v>
      </c>
      <c r="R33" s="1511" t="s">
        <v>8</v>
      </c>
      <c r="S33" s="1512">
        <f t="shared" si="13"/>
        <v>100</v>
      </c>
      <c r="T33" s="1511" t="s">
        <v>8</v>
      </c>
      <c r="U33" s="1512">
        <f t="shared" si="14"/>
        <v>100</v>
      </c>
      <c r="V33" s="1511" t="s">
        <v>8</v>
      </c>
      <c r="W33" s="1512">
        <f t="shared" si="15"/>
        <v>100</v>
      </c>
      <c r="X33" s="1513"/>
      <c r="Y33" s="3473"/>
      <c r="Z33" s="1514" t="str">
        <f t="shared" si="16"/>
        <v>项目建筑规模</v>
      </c>
      <c r="AA33" s="1510">
        <f t="shared" si="3"/>
        <v>1</v>
      </c>
      <c r="AB33" s="1510">
        <f t="shared" si="4"/>
        <v>1</v>
      </c>
      <c r="AC33" s="1510">
        <f t="shared" si="5"/>
        <v>1</v>
      </c>
    </row>
    <row r="34" spans="1:29" ht="15">
      <c r="A34" s="588"/>
      <c r="B34" s="521" t="s">
        <v>721</v>
      </c>
      <c r="C34" s="870" t="s">
        <v>3361</v>
      </c>
      <c r="D34" s="534">
        <v>100</v>
      </c>
      <c r="E34" s="871" t="s">
        <v>3361</v>
      </c>
      <c r="F34" s="569">
        <f>SUMIF(105:105,E34,106:106)-SUMIF(105:105,C34,106:106)+100</f>
        <v>100</v>
      </c>
      <c r="G34" s="870" t="s">
        <v>3361</v>
      </c>
      <c r="H34" s="534">
        <f>SUMIF(105:105,G34,106:106)-SUMIF(105:105,C34,106:106)+100</f>
        <v>100</v>
      </c>
      <c r="I34" s="870" t="s">
        <v>3361</v>
      </c>
      <c r="J34" s="534">
        <f>SUMIF(105:105,I34,106:106)-SUMIF(105:105,C34,106:106)+100</f>
        <v>100</v>
      </c>
      <c r="K34" s="578"/>
      <c r="L34" s="2023"/>
      <c r="M34" s="2015"/>
      <c r="N34" s="2015"/>
      <c r="O34" s="2022"/>
      <c r="P34" s="3473"/>
      <c r="Q34" s="1506" t="str">
        <f t="shared" si="12"/>
        <v>建筑结构</v>
      </c>
      <c r="R34" s="1507" t="s">
        <v>8</v>
      </c>
      <c r="S34" s="1508">
        <f t="shared" si="13"/>
        <v>100</v>
      </c>
      <c r="T34" s="1507" t="s">
        <v>8</v>
      </c>
      <c r="U34" s="1508">
        <f t="shared" si="14"/>
        <v>100</v>
      </c>
      <c r="V34" s="1507" t="s">
        <v>8</v>
      </c>
      <c r="W34" s="1508">
        <f t="shared" si="15"/>
        <v>100</v>
      </c>
      <c r="X34" s="1501"/>
      <c r="Y34" s="3473"/>
      <c r="Z34" s="1509" t="str">
        <f t="shared" si="16"/>
        <v>建筑结构</v>
      </c>
      <c r="AA34" s="1510">
        <f t="shared" si="3"/>
        <v>1</v>
      </c>
      <c r="AB34" s="1510">
        <f t="shared" si="4"/>
        <v>1</v>
      </c>
      <c r="AC34" s="1510">
        <f t="shared" si="5"/>
        <v>1</v>
      </c>
    </row>
    <row r="35" spans="1:29" ht="15" hidden="1">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473"/>
      <c r="Q35" s="1506" t="str">
        <f t="shared" si="12"/>
        <v>公共部分装修</v>
      </c>
      <c r="R35" s="1507" t="s">
        <v>8</v>
      </c>
      <c r="S35" s="1508">
        <f t="shared" si="13"/>
        <v>100</v>
      </c>
      <c r="T35" s="1507" t="s">
        <v>8</v>
      </c>
      <c r="U35" s="1508">
        <f t="shared" si="14"/>
        <v>100</v>
      </c>
      <c r="V35" s="1507" t="s">
        <v>8</v>
      </c>
      <c r="W35" s="1508">
        <f t="shared" si="15"/>
        <v>100</v>
      </c>
      <c r="X35" s="1501"/>
      <c r="Y35" s="3473"/>
      <c r="Z35" s="1509" t="str">
        <f t="shared" si="16"/>
        <v>公共部分装修</v>
      </c>
      <c r="AA35" s="1510">
        <f t="shared" si="3"/>
        <v>1</v>
      </c>
      <c r="AB35" s="1510">
        <f t="shared" si="4"/>
        <v>1</v>
      </c>
      <c r="AC35" s="1510">
        <f t="shared" si="5"/>
        <v>1</v>
      </c>
    </row>
    <row r="36" spans="1:29" ht="15">
      <c r="A36" s="588"/>
      <c r="B36" s="521" t="s">
        <v>758</v>
      </c>
      <c r="C36" s="872">
        <v>1</v>
      </c>
      <c r="D36" s="534">
        <v>100</v>
      </c>
      <c r="E36" s="872">
        <v>0.85</v>
      </c>
      <c r="F36" s="569">
        <f>LOOKUP(E36,110:110,111:111)-LOOKUP(C36,110:110,111:111)+100</f>
        <v>98</v>
      </c>
      <c r="G36" s="872">
        <f>E36</f>
        <v>0.85</v>
      </c>
      <c r="H36" s="569">
        <f>LOOKUP(G36,110:110,111:111)-LOOKUP(C36,110:110,111:111)+100</f>
        <v>98</v>
      </c>
      <c r="I36" s="872">
        <f>E36</f>
        <v>0.85</v>
      </c>
      <c r="J36" s="534">
        <f>LOOKUP(I36,110:110,111:111)-LOOKUP(C36,110:110,111:111)+100</f>
        <v>98</v>
      </c>
      <c r="K36" s="578">
        <v>2</v>
      </c>
      <c r="L36" s="2023"/>
      <c r="M36" s="2015"/>
      <c r="N36" s="2015"/>
      <c r="O36" s="2022"/>
      <c r="P36" s="3473"/>
      <c r="Q36" s="1506" t="str">
        <f t="shared" si="12"/>
        <v>成新度</v>
      </c>
      <c r="R36" s="1507" t="s">
        <v>8</v>
      </c>
      <c r="S36" s="1508">
        <f t="shared" si="13"/>
        <v>98</v>
      </c>
      <c r="T36" s="1507" t="s">
        <v>8</v>
      </c>
      <c r="U36" s="1508">
        <f t="shared" si="14"/>
        <v>98</v>
      </c>
      <c r="V36" s="1507" t="s">
        <v>8</v>
      </c>
      <c r="W36" s="1508">
        <f t="shared" si="15"/>
        <v>98</v>
      </c>
      <c r="X36" s="1501"/>
      <c r="Y36" s="3473"/>
      <c r="Z36" s="1509" t="str">
        <f t="shared" si="16"/>
        <v>成新度</v>
      </c>
      <c r="AA36" s="1510">
        <f t="shared" si="3"/>
        <v>1.0204081632653061</v>
      </c>
      <c r="AB36" s="1510">
        <f t="shared" si="4"/>
        <v>1.0204081632653061</v>
      </c>
      <c r="AC36" s="1510">
        <f t="shared" si="5"/>
        <v>1.0204081632653061</v>
      </c>
    </row>
    <row r="37" spans="1:29" s="1202" customFormat="1" ht="15" hidden="1">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473"/>
      <c r="Q37" s="1133" t="str">
        <f t="shared" si="12"/>
        <v>市政基础设施</v>
      </c>
      <c r="R37" s="1502" t="s">
        <v>8</v>
      </c>
      <c r="S37" s="1503">
        <f t="shared" si="13"/>
        <v>100</v>
      </c>
      <c r="T37" s="1502" t="s">
        <v>8</v>
      </c>
      <c r="U37" s="1503">
        <f t="shared" si="14"/>
        <v>100</v>
      </c>
      <c r="V37" s="1502" t="s">
        <v>8</v>
      </c>
      <c r="W37" s="1503">
        <f t="shared" si="15"/>
        <v>100</v>
      </c>
      <c r="X37" s="1504"/>
      <c r="Y37" s="3473"/>
      <c r="Z37" s="1132" t="str">
        <f t="shared" si="16"/>
        <v>市政基础设施</v>
      </c>
      <c r="AA37" s="1505">
        <f t="shared" si="3"/>
        <v>1</v>
      </c>
      <c r="AB37" s="1505">
        <f t="shared" si="4"/>
        <v>1</v>
      </c>
      <c r="AC37" s="1505">
        <f t="shared" si="5"/>
        <v>1</v>
      </c>
    </row>
    <row r="38" spans="1:29" ht="15" hidden="1">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473" t="s">
        <v>760</v>
      </c>
      <c r="Q38" s="1506" t="str">
        <f t="shared" si="12"/>
        <v>业态</v>
      </c>
      <c r="R38" s="1507" t="s">
        <v>8</v>
      </c>
      <c r="S38" s="1508">
        <f t="shared" si="13"/>
        <v>100</v>
      </c>
      <c r="T38" s="1507" t="s">
        <v>8</v>
      </c>
      <c r="U38" s="1508">
        <f t="shared" si="14"/>
        <v>100</v>
      </c>
      <c r="V38" s="1507" t="s">
        <v>8</v>
      </c>
      <c r="W38" s="1508">
        <f t="shared" si="15"/>
        <v>100</v>
      </c>
      <c r="X38" s="1501"/>
      <c r="Y38" s="3473" t="s">
        <v>760</v>
      </c>
      <c r="Z38" s="1509" t="str">
        <f t="shared" si="16"/>
        <v>业态</v>
      </c>
      <c r="AA38" s="1510">
        <f t="shared" si="3"/>
        <v>1</v>
      </c>
      <c r="AB38" s="1510">
        <f t="shared" si="4"/>
        <v>1</v>
      </c>
      <c r="AC38" s="1510">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473"/>
      <c r="Q39" s="1506" t="str">
        <f t="shared" si="12"/>
        <v>层高</v>
      </c>
      <c r="R39" s="1507" t="s">
        <v>8</v>
      </c>
      <c r="S39" s="1508">
        <f t="shared" si="13"/>
        <v>100</v>
      </c>
      <c r="T39" s="1507" t="s">
        <v>8</v>
      </c>
      <c r="U39" s="1508">
        <f t="shared" si="14"/>
        <v>100</v>
      </c>
      <c r="V39" s="1507" t="s">
        <v>8</v>
      </c>
      <c r="W39" s="1508">
        <f t="shared" si="15"/>
        <v>100</v>
      </c>
      <c r="X39" s="1501"/>
      <c r="Y39" s="3473"/>
      <c r="Z39" s="1509" t="str">
        <f t="shared" si="16"/>
        <v>层高</v>
      </c>
      <c r="AA39" s="1510">
        <f t="shared" si="3"/>
        <v>1</v>
      </c>
      <c r="AB39" s="1510">
        <f t="shared" si="4"/>
        <v>1</v>
      </c>
      <c r="AC39" s="1510">
        <f t="shared" si="5"/>
        <v>1</v>
      </c>
    </row>
    <row r="40" spans="1:29" ht="15" hidden="1">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3"/>
      <c r="M40" s="2015"/>
      <c r="N40" s="2015"/>
      <c r="O40" s="2022"/>
      <c r="P40" s="3473"/>
      <c r="Q40" s="1506" t="str">
        <f t="shared" si="12"/>
        <v>单套建筑面积</v>
      </c>
      <c r="R40" s="1507" t="s">
        <v>8</v>
      </c>
      <c r="S40" s="1508">
        <f t="shared" si="13"/>
        <v>100</v>
      </c>
      <c r="T40" s="1507" t="s">
        <v>8</v>
      </c>
      <c r="U40" s="1508">
        <f t="shared" si="14"/>
        <v>100</v>
      </c>
      <c r="V40" s="1507" t="s">
        <v>8</v>
      </c>
      <c r="W40" s="1508">
        <f t="shared" si="15"/>
        <v>100</v>
      </c>
      <c r="X40" s="1501"/>
      <c r="Y40" s="3473"/>
      <c r="Z40" s="1509" t="str">
        <f t="shared" si="16"/>
        <v>单套建筑面积</v>
      </c>
      <c r="AA40" s="1510">
        <f t="shared" si="3"/>
        <v>1</v>
      </c>
      <c r="AB40" s="1510">
        <f t="shared" si="4"/>
        <v>1</v>
      </c>
      <c r="AC40" s="1510">
        <f t="shared" si="5"/>
        <v>1</v>
      </c>
    </row>
    <row r="41" spans="1:29" s="1292" customFormat="1" ht="15" hidden="1">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473"/>
      <c r="Q41" s="1535" t="str">
        <f t="shared" si="12"/>
        <v>进深比</v>
      </c>
      <c r="R41" s="1511" t="s">
        <v>8</v>
      </c>
      <c r="S41" s="1512">
        <f t="shared" si="13"/>
        <v>100</v>
      </c>
      <c r="T41" s="1511" t="s">
        <v>8</v>
      </c>
      <c r="U41" s="1512">
        <f t="shared" si="14"/>
        <v>100</v>
      </c>
      <c r="V41" s="1511" t="s">
        <v>8</v>
      </c>
      <c r="W41" s="1512">
        <f t="shared" si="15"/>
        <v>100</v>
      </c>
      <c r="X41" s="1513"/>
      <c r="Y41" s="3473"/>
      <c r="Z41" s="1514" t="str">
        <f t="shared" si="16"/>
        <v>进深比</v>
      </c>
      <c r="AA41" s="1510">
        <f t="shared" si="3"/>
        <v>1</v>
      </c>
      <c r="AB41" s="1510">
        <f t="shared" si="4"/>
        <v>1</v>
      </c>
      <c r="AC41" s="1510">
        <f t="shared" si="5"/>
        <v>1</v>
      </c>
    </row>
    <row r="42" spans="1:29" ht="15">
      <c r="A42" s="588"/>
      <c r="B42" s="521" t="s">
        <v>764</v>
      </c>
      <c r="C42" s="593" t="s">
        <v>3357</v>
      </c>
      <c r="D42" s="534">
        <v>100</v>
      </c>
      <c r="E42" s="593" t="s">
        <v>3355</v>
      </c>
      <c r="F42" s="569">
        <f>SUMIF(122:122,E42,123:123)-SUMIF(122:122,C42,123:123)+100</f>
        <v>102</v>
      </c>
      <c r="G42" s="593" t="s">
        <v>3355</v>
      </c>
      <c r="H42" s="534">
        <f>SUMIF(122:122,G42,123:123)-SUMIF(122:122,C42,123:123)+100</f>
        <v>102</v>
      </c>
      <c r="I42" s="593" t="s">
        <v>3355</v>
      </c>
      <c r="J42" s="534">
        <f>SUMIF(122:122,I42,123:123)-SUMIF(122:122,C42,123:123)+100</f>
        <v>102</v>
      </c>
      <c r="K42" s="578">
        <v>2</v>
      </c>
      <c r="L42" s="2023"/>
      <c r="M42" s="2015"/>
      <c r="N42" s="2015"/>
      <c r="O42" s="2022"/>
      <c r="P42" s="3473"/>
      <c r="Q42" s="1506" t="str">
        <f t="shared" si="12"/>
        <v>内部装修</v>
      </c>
      <c r="R42" s="1507" t="s">
        <v>8</v>
      </c>
      <c r="S42" s="1508">
        <f t="shared" si="13"/>
        <v>102</v>
      </c>
      <c r="T42" s="1507" t="s">
        <v>8</v>
      </c>
      <c r="U42" s="1508">
        <f t="shared" si="14"/>
        <v>102</v>
      </c>
      <c r="V42" s="1507" t="s">
        <v>8</v>
      </c>
      <c r="W42" s="1508">
        <f t="shared" si="15"/>
        <v>102</v>
      </c>
      <c r="X42" s="1501"/>
      <c r="Y42" s="3473"/>
      <c r="Z42" s="1509" t="str">
        <f t="shared" si="16"/>
        <v>内部装修</v>
      </c>
      <c r="AA42" s="1510">
        <f t="shared" si="3"/>
        <v>0.98039215686274506</v>
      </c>
      <c r="AB42" s="1510">
        <f t="shared" si="4"/>
        <v>0.98039215686274506</v>
      </c>
      <c r="AC42" s="1510">
        <f t="shared" si="5"/>
        <v>0.98039215686274506</v>
      </c>
    </row>
    <row r="43" spans="1:29" ht="27" hidden="1">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473"/>
      <c r="Q43" s="1506" t="str">
        <f t="shared" si="12"/>
        <v>内部装修维护情况</v>
      </c>
      <c r="R43" s="1507" t="s">
        <v>8</v>
      </c>
      <c r="S43" s="1508">
        <f t="shared" si="13"/>
        <v>100</v>
      </c>
      <c r="T43" s="1507" t="s">
        <v>8</v>
      </c>
      <c r="U43" s="1508">
        <f t="shared" si="14"/>
        <v>100</v>
      </c>
      <c r="V43" s="1507" t="s">
        <v>8</v>
      </c>
      <c r="W43" s="1508">
        <f t="shared" si="15"/>
        <v>100</v>
      </c>
      <c r="X43" s="1501"/>
      <c r="Y43" s="3473"/>
      <c r="Z43" s="1509" t="str">
        <f t="shared" si="16"/>
        <v>内部装修维护情况</v>
      </c>
      <c r="AA43" s="1510">
        <f t="shared" si="3"/>
        <v>1</v>
      </c>
      <c r="AB43" s="1510">
        <f t="shared" si="4"/>
        <v>1</v>
      </c>
      <c r="AC43" s="1510">
        <f t="shared" si="5"/>
        <v>1</v>
      </c>
    </row>
    <row r="44" spans="1:29" s="1202" customFormat="1" ht="15">
      <c r="A44" s="594"/>
      <c r="B44" s="866" t="str">
        <f>'不动产比较法-住宅'!B44</f>
        <v>规划实施优先程度</v>
      </c>
      <c r="C44" s="869" t="str">
        <f>C126</f>
        <v>待实施</v>
      </c>
      <c r="D44" s="253">
        <v>100</v>
      </c>
      <c r="E44" s="533" t="str">
        <f>D126</f>
        <v>已实施</v>
      </c>
      <c r="F44" s="852">
        <f>SUMIF(126:126,E44,127:127)-SUMIF(126:126,C44,127:127)+100</f>
        <v>105</v>
      </c>
      <c r="G44" s="533" t="str">
        <f>E44</f>
        <v>已实施</v>
      </c>
      <c r="H44" s="253">
        <f>SUMIF(126:126,G44,127:127)-SUMIF(126:126,C44,127:127)+100</f>
        <v>105</v>
      </c>
      <c r="I44" s="533" t="str">
        <f>E44</f>
        <v>已实施</v>
      </c>
      <c r="J44" s="253">
        <f>SUMIF(126:126,I44,127:127)-SUMIF(126:126,C44,127:127)+100</f>
        <v>105</v>
      </c>
      <c r="K44" s="575"/>
      <c r="L44" s="2016"/>
      <c r="M44" s="2017"/>
      <c r="N44" s="2017"/>
      <c r="O44" s="2018"/>
      <c r="P44" s="3473"/>
      <c r="Q44" s="1133" t="str">
        <f t="shared" si="12"/>
        <v>规划实施优先程度</v>
      </c>
      <c r="R44" s="1502" t="s">
        <v>8</v>
      </c>
      <c r="S44" s="1503">
        <f t="shared" si="13"/>
        <v>105</v>
      </c>
      <c r="T44" s="1502" t="s">
        <v>8</v>
      </c>
      <c r="U44" s="1503">
        <f t="shared" si="14"/>
        <v>105</v>
      </c>
      <c r="V44" s="1502" t="s">
        <v>8</v>
      </c>
      <c r="W44" s="1503">
        <f t="shared" si="15"/>
        <v>105</v>
      </c>
      <c r="X44" s="1504"/>
      <c r="Y44" s="3473"/>
      <c r="Z44" s="1132" t="str">
        <f t="shared" si="16"/>
        <v>规划实施优先程度</v>
      </c>
      <c r="AA44" s="1505">
        <f t="shared" si="3"/>
        <v>0.95238095238095233</v>
      </c>
      <c r="AB44" s="1505">
        <f t="shared" si="4"/>
        <v>0.95238095238095233</v>
      </c>
      <c r="AC44" s="1505">
        <f t="shared" si="5"/>
        <v>0.95238095238095233</v>
      </c>
    </row>
    <row r="45" spans="1:29" ht="15">
      <c r="A45" s="588"/>
      <c r="B45" s="3326" t="s">
        <v>3359</v>
      </c>
      <c r="C45" s="533" t="str">
        <f>C128</f>
        <v>好</v>
      </c>
      <c r="D45" s="534">
        <v>100</v>
      </c>
      <c r="E45" s="3332" t="s">
        <v>3349</v>
      </c>
      <c r="F45" s="569">
        <f>SUMIF(128:128,E45,129:129)-SUMIF(128:128,C45,129:129)+100</f>
        <v>95</v>
      </c>
      <c r="G45" s="533" t="str">
        <f>E45</f>
        <v>较好</v>
      </c>
      <c r="H45" s="534">
        <f>SUMIF(128:128,G45,129:129)-SUMIF(128:128,C45,129:129)+100</f>
        <v>95</v>
      </c>
      <c r="I45" s="533" t="str">
        <f>E45</f>
        <v>较好</v>
      </c>
      <c r="J45" s="534">
        <f>SUMIF(128:128,I45,129:129)-SUMIF(128:128,C45,129:129)+100</f>
        <v>95</v>
      </c>
      <c r="K45" s="575"/>
      <c r="L45" s="2023"/>
      <c r="M45" s="2015"/>
      <c r="N45" s="2015"/>
      <c r="O45" s="2022"/>
      <c r="P45" s="3473"/>
      <c r="Q45" s="1506" t="str">
        <f t="shared" si="12"/>
        <v>设施设备</v>
      </c>
      <c r="R45" s="1507" t="s">
        <v>8</v>
      </c>
      <c r="S45" s="1508">
        <f t="shared" si="13"/>
        <v>95</v>
      </c>
      <c r="T45" s="1507" t="s">
        <v>8</v>
      </c>
      <c r="U45" s="1508">
        <f t="shared" si="14"/>
        <v>95</v>
      </c>
      <c r="V45" s="1507" t="s">
        <v>8</v>
      </c>
      <c r="W45" s="1508">
        <f t="shared" si="15"/>
        <v>95</v>
      </c>
      <c r="X45" s="1501"/>
      <c r="Y45" s="3473"/>
      <c r="Z45" s="1509" t="str">
        <f t="shared" si="16"/>
        <v>设施设备</v>
      </c>
      <c r="AA45" s="1510">
        <f t="shared" si="3"/>
        <v>1.0526315789473684</v>
      </c>
      <c r="AB45" s="1510">
        <f t="shared" si="4"/>
        <v>1.0526315789473684</v>
      </c>
      <c r="AC45" s="1510">
        <f t="shared" si="5"/>
        <v>1.0526315789473684</v>
      </c>
    </row>
    <row r="46" spans="1:29" ht="15.75" thickBot="1">
      <c r="A46" s="875"/>
      <c r="B46" s="3331" t="s">
        <v>3360</v>
      </c>
      <c r="C46" s="539" t="s">
        <v>3406</v>
      </c>
      <c r="D46" s="540">
        <v>100</v>
      </c>
      <c r="E46" s="533" t="s">
        <v>3408</v>
      </c>
      <c r="F46" s="855">
        <f>SUMIF(130:130,E46,131:131)-SUMIF(130:130,C46,131:131)+100</f>
        <v>95</v>
      </c>
      <c r="G46" s="533" t="str">
        <f>C46</f>
        <v>1层</v>
      </c>
      <c r="H46" s="540">
        <f>SUMIF(130:130,G46,131:131)-SUMIF(130:130,C46,131:131)+100</f>
        <v>100</v>
      </c>
      <c r="I46" s="533" t="str">
        <f>C46</f>
        <v>1层</v>
      </c>
      <c r="J46" s="540">
        <f>SUMIF(130:130,I46,131:131)-SUMIF(130:130,C46,131:131)+100</f>
        <v>100</v>
      </c>
      <c r="K46" s="575"/>
      <c r="L46" s="2023"/>
      <c r="M46" s="2015"/>
      <c r="N46" s="2015"/>
      <c r="O46" s="2022"/>
      <c r="P46" s="3576"/>
      <c r="Q46" s="1506" t="str">
        <f t="shared" si="12"/>
        <v>楼层</v>
      </c>
      <c r="R46" s="1507" t="s">
        <v>8</v>
      </c>
      <c r="S46" s="1508">
        <f t="shared" si="13"/>
        <v>95</v>
      </c>
      <c r="T46" s="1507" t="s">
        <v>8</v>
      </c>
      <c r="U46" s="1508">
        <f t="shared" si="14"/>
        <v>100</v>
      </c>
      <c r="V46" s="1507" t="s">
        <v>8</v>
      </c>
      <c r="W46" s="1508">
        <f t="shared" si="15"/>
        <v>100</v>
      </c>
      <c r="X46" s="1501"/>
      <c r="Y46" s="3576"/>
      <c r="Z46" s="1509" t="str">
        <f t="shared" si="16"/>
        <v>楼层</v>
      </c>
      <c r="AA46" s="1510">
        <f t="shared" si="3"/>
        <v>1.0526315789473684</v>
      </c>
      <c r="AB46" s="1510">
        <f t="shared" si="4"/>
        <v>1</v>
      </c>
      <c r="AC46" s="1510">
        <f t="shared" si="5"/>
        <v>1</v>
      </c>
    </row>
    <row r="47" spans="1:29" ht="15">
      <c r="A47" s="601" t="s">
        <v>730</v>
      </c>
      <c r="B47" s="876"/>
      <c r="C47" s="2469" t="s">
        <v>1</v>
      </c>
      <c r="D47" s="2470"/>
      <c r="E47" s="2471">
        <v>4.08</v>
      </c>
      <c r="F47" s="2472"/>
      <c r="G47" s="2473">
        <v>4</v>
      </c>
      <c r="H47" s="2474"/>
      <c r="I47" s="2471">
        <v>4</v>
      </c>
      <c r="J47" s="2474"/>
      <c r="K47" s="1540"/>
      <c r="L47" s="2025"/>
      <c r="M47" s="2026"/>
      <c r="N47" s="2015"/>
      <c r="O47" s="2026"/>
      <c r="P47" s="3468" t="str">
        <f>A47</f>
        <v>成交单价（元/平方米）</v>
      </c>
      <c r="Q47" s="3468"/>
      <c r="R47" s="3575">
        <f>E47</f>
        <v>4.08</v>
      </c>
      <c r="S47" s="3575"/>
      <c r="T47" s="3575">
        <f>G47</f>
        <v>4</v>
      </c>
      <c r="U47" s="3575"/>
      <c r="V47" s="3575">
        <f>I47</f>
        <v>4</v>
      </c>
      <c r="W47" s="3575"/>
      <c r="X47" s="1496"/>
      <c r="Y47" s="1515"/>
      <c r="Z47" s="1496"/>
      <c r="AA47" s="1496"/>
      <c r="AB47" s="1496"/>
      <c r="AC47" s="1496"/>
    </row>
    <row r="48" spans="1:29" ht="15.75" thickBot="1">
      <c r="A48" s="609" t="s">
        <v>2740</v>
      </c>
      <c r="B48" s="877"/>
      <c r="C48" s="2475">
        <f>R49</f>
        <v>4.3</v>
      </c>
      <c r="D48" s="3013" t="s">
        <v>2964</v>
      </c>
      <c r="E48" s="2476">
        <f>R48</f>
        <v>4.4000000000000004</v>
      </c>
      <c r="F48" s="3014"/>
      <c r="G48" s="2475">
        <f>T48</f>
        <v>4.3</v>
      </c>
      <c r="H48" s="3014"/>
      <c r="I48" s="2476">
        <f>V48</f>
        <v>4.3</v>
      </c>
      <c r="J48" s="3014"/>
      <c r="K48" s="3022">
        <f>F48+H48+J48</f>
        <v>0</v>
      </c>
      <c r="L48" s="2025"/>
      <c r="M48" s="2026"/>
      <c r="N48" s="2015"/>
      <c r="O48" s="2026"/>
      <c r="P48" s="3468" t="str">
        <f>A48</f>
        <v>比较价格（元/平方米）</v>
      </c>
      <c r="Q48" s="3468"/>
      <c r="R48" s="3575">
        <f>IF(F1="售价",ROUND(PRODUCT(R47,AA7:AA46),0),ROUND(PRODUCT(R47,AA7:AA46),1))</f>
        <v>4.4000000000000004</v>
      </c>
      <c r="S48" s="3575"/>
      <c r="T48" s="3575">
        <f>IF(F1="售价",ROUND(PRODUCT(T47,AB7:AB46),0),ROUND(PRODUCT(T47,AB7:AB46),1))</f>
        <v>4.3</v>
      </c>
      <c r="U48" s="3575"/>
      <c r="V48" s="3575">
        <f>IF(F1="售价",ROUND(PRODUCT(V47,AC7:AC46),0),ROUND(PRODUCT(V47,AC7:AC46),1))</f>
        <v>4.3</v>
      </c>
      <c r="W48" s="3575"/>
      <c r="X48" s="1496"/>
      <c r="Y48" s="1496"/>
      <c r="Z48" s="1496"/>
      <c r="AA48" s="1496"/>
      <c r="AB48" s="1496"/>
      <c r="AC48" s="1496"/>
    </row>
    <row r="49" spans="1:29" ht="15.75" thickBot="1">
      <c r="A49" s="613" t="s">
        <v>3365</v>
      </c>
      <c r="B49" s="614"/>
      <c r="C49" s="2477">
        <f>R49</f>
        <v>4.3</v>
      </c>
      <c r="D49" s="2477"/>
      <c r="E49" s="2477"/>
      <c r="F49" s="2477"/>
      <c r="G49" s="2477"/>
      <c r="H49" s="2477"/>
      <c r="I49" s="2477"/>
      <c r="J49" s="2477"/>
      <c r="K49" s="1541"/>
      <c r="L49" s="2025"/>
      <c r="M49" s="2026"/>
      <c r="N49" s="2015"/>
      <c r="O49" s="2026"/>
      <c r="P49" s="3489" t="str">
        <f>A49</f>
        <v>估价对象商业用房的比较价格（楼面单价，元/平方米）</v>
      </c>
      <c r="Q49" s="3490"/>
      <c r="R49" s="3574">
        <f>IF(F1="售价",ROUND(IF(D48="简单平均",AVERAGE(R48:V48),R48*F48+T48*H48+V48*J48),0),ROUND(IF(D48="简单平均",AVERAGE(R48:V48),R48*F48+T48*H48+V48*J48),1))</f>
        <v>4.3</v>
      </c>
      <c r="S49" s="3574"/>
      <c r="T49" s="3574"/>
      <c r="U49" s="3574"/>
      <c r="V49" s="3574"/>
      <c r="W49" s="3574"/>
      <c r="X49" s="1496"/>
      <c r="Y49" s="1496"/>
      <c r="Z49" s="1496"/>
      <c r="AA49" s="1496"/>
      <c r="AB49" s="1496"/>
      <c r="AC49" s="1496"/>
    </row>
    <row r="50" spans="1:29">
      <c r="A50" s="3211"/>
      <c r="B50" s="3211"/>
      <c r="C50" s="3211"/>
      <c r="D50" s="3211"/>
      <c r="E50" s="3211"/>
      <c r="F50" s="3211"/>
      <c r="G50" s="3213"/>
      <c r="H50" s="3211"/>
      <c r="I50" s="3211"/>
      <c r="J50" s="3211"/>
      <c r="K50" s="3214"/>
      <c r="L50" s="2030"/>
      <c r="M50" s="2026"/>
      <c r="N50" s="2026"/>
      <c r="O50" s="2026"/>
      <c r="P50" s="2026"/>
      <c r="Q50" s="2026"/>
      <c r="R50" s="2026"/>
      <c r="S50" s="2026"/>
      <c r="T50" s="2026"/>
      <c r="U50" s="2026"/>
      <c r="V50" s="2026"/>
      <c r="W50" s="2026"/>
      <c r="X50" s="2026"/>
      <c r="Y50" s="2026"/>
      <c r="Z50" s="2026"/>
      <c r="AA50" s="2026"/>
      <c r="AB50" s="2026"/>
      <c r="AC50" s="2026"/>
    </row>
    <row r="51" spans="1:29">
      <c r="A51" s="3211"/>
      <c r="B51" s="3211"/>
      <c r="C51" s="3211"/>
      <c r="D51" s="3211"/>
      <c r="E51" s="3211"/>
      <c r="F51" s="3211"/>
      <c r="G51" s="3211"/>
      <c r="H51" s="3211"/>
      <c r="I51" s="3211"/>
      <c r="J51" s="3211"/>
      <c r="K51" s="3214"/>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1"/>
      <c r="B52" s="3211"/>
      <c r="C52" s="616" t="s">
        <v>551</v>
      </c>
      <c r="D52" s="617"/>
      <c r="E52" s="618">
        <f>IF(E47&lt;E48,E48/E47-1,E47/E48-1)</f>
        <v>7.8431372549019773E-2</v>
      </c>
      <c r="F52" s="619" t="str">
        <f>IF(OR(E52&gt;=0.3,E52&lt;=-0.3),"超过30%","")</f>
        <v/>
      </c>
      <c r="G52" s="618">
        <f>IF(G47&lt;G48,G48/G47-1,G47/G48-1)</f>
        <v>7.4999999999999956E-2</v>
      </c>
      <c r="H52" s="619" t="str">
        <f>IF(OR(G52&gt;=0.3,G52&lt;=-0.3),"超过30%","")</f>
        <v/>
      </c>
      <c r="I52" s="618">
        <f>IF(I47&lt;I48,I48/I47-1,I47/I48-1)</f>
        <v>7.4999999999999956E-2</v>
      </c>
      <c r="J52" s="619" t="str">
        <f>IF(OR(I52&gt;=0.3,I52&lt;=-0.3),"超过30%","")</f>
        <v/>
      </c>
      <c r="K52" s="3214"/>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1"/>
      <c r="B53" s="3211"/>
      <c r="C53" s="616" t="s">
        <v>552</v>
      </c>
      <c r="D53" s="620"/>
      <c r="E53" s="618">
        <f>IF(E48&lt;G48,G48/E48-1,E48/G48-1)</f>
        <v>2.3255813953488413E-2</v>
      </c>
      <c r="F53" s="619" t="str">
        <f>IF(OR(E53&gt;=0.2,E53&lt;=-0.2),"超过20%","")</f>
        <v/>
      </c>
      <c r="G53" s="618">
        <f>IF(G48&lt;I48,I48/G48-1,G48/I48-1)</f>
        <v>0</v>
      </c>
      <c r="H53" s="619" t="str">
        <f>IF(OR(G53&gt;=0.2,G53&lt;=-0.2),"超过20%","")</f>
        <v/>
      </c>
      <c r="I53" s="618">
        <f>IF(I48&lt;E48,E48/I48-1,I48/E48-1)</f>
        <v>2.3255813953488413E-2</v>
      </c>
      <c r="J53" s="619" t="str">
        <f>IF(OR(I53&gt;=0.2,I53&lt;=-0.2),"超过20%","")</f>
        <v/>
      </c>
      <c r="K53" s="3214"/>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2"/>
      <c r="B54" s="3212"/>
      <c r="C54" s="616" t="s">
        <v>553</v>
      </c>
      <c r="D54" s="620"/>
      <c r="E54" s="618">
        <f>IF(E47&lt;G47,G47/E47-1,E47/G47-1)</f>
        <v>2.0000000000000018E-2</v>
      </c>
      <c r="F54" s="619" t="str">
        <f>IF(OR(E54&gt;=0.3,E54&lt;=-0.3),"超过30%","")</f>
        <v/>
      </c>
      <c r="G54" s="618">
        <f>IF(G47&lt;I47,I47/G47-1,G47/I47-1)</f>
        <v>0</v>
      </c>
      <c r="H54" s="619" t="str">
        <f>IF(OR(G54&gt;=0.3,G54&lt;=-0.3),"超过30%","")</f>
        <v/>
      </c>
      <c r="I54" s="618">
        <f>IF(I47&lt;E47,E47/I47-1,I47/E47-1)</f>
        <v>2.0000000000000018E-2</v>
      </c>
      <c r="J54" s="619" t="str">
        <f>IF(OR(I54&gt;=0.3,I54&lt;=-0.3),"超过30%","")</f>
        <v/>
      </c>
      <c r="K54" s="3215"/>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5">
      <c r="A58" s="637" t="s">
        <v>523</v>
      </c>
      <c r="B58" s="638"/>
      <c r="C58" s="2518" t="str">
        <f>YEAR(C7)&amp;"-"&amp;MONTH(C7)</f>
        <v>2020-10</v>
      </c>
      <c r="D58" s="2520">
        <f>EDATE(C58,-1)</f>
        <v>44075</v>
      </c>
      <c r="E58" s="2520">
        <f t="shared" ref="E58:O58" si="17">EDATE(D58,-1)</f>
        <v>44044</v>
      </c>
      <c r="F58" s="2520">
        <f t="shared" si="17"/>
        <v>44013</v>
      </c>
      <c r="G58" s="2520">
        <f t="shared" si="17"/>
        <v>43983</v>
      </c>
      <c r="H58" s="2520">
        <f t="shared" si="17"/>
        <v>43952</v>
      </c>
      <c r="I58" s="2520">
        <f t="shared" si="17"/>
        <v>43922</v>
      </c>
      <c r="J58" s="2520">
        <f t="shared" si="17"/>
        <v>43891</v>
      </c>
      <c r="K58" s="2520">
        <f t="shared" si="17"/>
        <v>43862</v>
      </c>
      <c r="L58" s="2520">
        <f t="shared" si="17"/>
        <v>43831</v>
      </c>
      <c r="M58" s="2520">
        <f t="shared" si="17"/>
        <v>43800</v>
      </c>
      <c r="N58" s="2520">
        <f t="shared" si="17"/>
        <v>43770</v>
      </c>
      <c r="O58" s="2520">
        <f t="shared" si="17"/>
        <v>43739</v>
      </c>
      <c r="P58" s="2040"/>
      <c r="Q58" s="2041"/>
      <c r="R58" s="2041"/>
      <c r="S58" s="2041"/>
      <c r="T58" s="2041"/>
      <c r="U58" s="2041"/>
      <c r="V58" s="2041"/>
      <c r="W58" s="2041"/>
      <c r="X58" s="2041"/>
      <c r="Y58" s="2041"/>
      <c r="Z58" s="2041"/>
      <c r="AA58" s="2041"/>
      <c r="AB58" s="2041"/>
      <c r="AC58" s="2041"/>
    </row>
    <row r="59" spans="1:29" s="1202" customFormat="1" ht="15">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7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5">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1"/>
      <c r="B62" s="640"/>
      <c r="C62" s="878">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c r="A63" s="656" t="s">
        <v>571</v>
      </c>
      <c r="B63" s="657" t="s">
        <v>528</v>
      </c>
      <c r="C63" s="696" t="str">
        <f>C9</f>
        <v>商业</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5.75"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673" t="s">
        <v>532</v>
      </c>
      <c r="C67" s="674" t="str">
        <f>C68&amp;"（含）"&amp;"-"&amp;D68</f>
        <v>1（含）-3</v>
      </c>
      <c r="D67" s="674" t="str">
        <f t="shared" ref="D67:L67" si="18">D68&amp;"（含）"&amp;"-"&amp;E68</f>
        <v>3（含）-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1"/>
      <c r="B68" s="675"/>
      <c r="C68" s="535">
        <v>1</v>
      </c>
      <c r="D68" s="535">
        <v>3</v>
      </c>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5.75"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C79-$K17</f>
        <v>97</v>
      </c>
      <c r="E79" s="671">
        <f>D79-$K17</f>
        <v>94</v>
      </c>
      <c r="F79" s="671">
        <f>E79-$K17</f>
        <v>91</v>
      </c>
      <c r="G79" s="671">
        <f>F79-$K17</f>
        <v>88</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7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5.75" thickBot="1">
      <c r="A81" s="661"/>
      <c r="B81" s="670"/>
      <c r="C81" s="671">
        <v>100</v>
      </c>
      <c r="D81" s="671">
        <f>C81-$K19</f>
        <v>97</v>
      </c>
      <c r="E81" s="671">
        <f>D81-$K19</f>
        <v>94</v>
      </c>
      <c r="F81" s="671">
        <f>E81-$K19</f>
        <v>91</v>
      </c>
      <c r="G81" s="671">
        <f>F81-$K19</f>
        <v>88</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75" thickTop="1">
      <c r="A82" s="661"/>
      <c r="B82" s="2440" t="s">
        <v>2539</v>
      </c>
      <c r="C82" s="2441" t="s">
        <v>2540</v>
      </c>
      <c r="D82" s="2441" t="s">
        <v>2541</v>
      </c>
      <c r="E82" s="2441" t="s">
        <v>2542</v>
      </c>
      <c r="F82" s="2441" t="s">
        <v>2543</v>
      </c>
      <c r="G82" s="2441" t="s">
        <v>2544</v>
      </c>
      <c r="H82" s="666"/>
      <c r="I82" s="666"/>
      <c r="J82" s="666"/>
      <c r="K82" s="666"/>
      <c r="L82" s="666"/>
      <c r="M82" s="2444"/>
      <c r="N82" s="2046"/>
      <c r="O82" s="2046"/>
      <c r="P82" s="2045"/>
      <c r="Q82" s="2038"/>
      <c r="R82" s="2026"/>
      <c r="S82" s="2026"/>
      <c r="T82" s="2026"/>
      <c r="U82" s="2026"/>
      <c r="V82" s="2026"/>
      <c r="W82" s="2026"/>
      <c r="X82" s="2026"/>
      <c r="Y82" s="2026"/>
      <c r="Z82" s="2026"/>
      <c r="AA82" s="2026"/>
      <c r="AB82" s="2026"/>
      <c r="AC82" s="2026"/>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6"/>
      <c r="O83" s="2046"/>
      <c r="P83" s="2045"/>
      <c r="Q83" s="2038"/>
      <c r="R83" s="2026"/>
      <c r="S83" s="2026"/>
      <c r="T83" s="2026"/>
      <c r="U83" s="2026"/>
      <c r="V83" s="2026"/>
      <c r="W83" s="2026"/>
      <c r="X83" s="2026"/>
      <c r="Y83" s="2026"/>
      <c r="Z83" s="2026"/>
      <c r="AA83" s="2026"/>
      <c r="AB83" s="2026"/>
      <c r="AC83" s="2026"/>
    </row>
    <row r="84" spans="1:29" ht="15.7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671">
        <v>100</v>
      </c>
      <c r="D85" s="671">
        <f>C85-$K23</f>
        <v>97</v>
      </c>
      <c r="E85" s="671">
        <f>D85-$K23</f>
        <v>94</v>
      </c>
      <c r="F85" s="671">
        <f>E85-$K23</f>
        <v>91</v>
      </c>
      <c r="G85" s="671">
        <f>F85-$K23</f>
        <v>88</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27.75" thickTop="1">
      <c r="A86" s="701"/>
      <c r="B86" s="665" t="s">
        <v>765</v>
      </c>
      <c r="C86" s="3324" t="s">
        <v>3348</v>
      </c>
      <c r="D86" s="3324" t="s">
        <v>3349</v>
      </c>
      <c r="E86" s="680"/>
      <c r="F86" s="680"/>
      <c r="G86" s="680"/>
      <c r="H86" s="680"/>
      <c r="I86" s="680"/>
      <c r="J86" s="680"/>
      <c r="K86" s="680"/>
      <c r="L86" s="879"/>
      <c r="M86" s="880"/>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1"/>
      <c r="B88" s="665" t="str">
        <f>B26</f>
        <v>平面位置/可视性</v>
      </c>
      <c r="C88" s="680"/>
      <c r="D88" s="680"/>
      <c r="E88" s="680"/>
      <c r="F88" s="881"/>
      <c r="G88" s="680"/>
      <c r="H88" s="680"/>
      <c r="I88" s="680"/>
      <c r="J88" s="680"/>
      <c r="K88" s="680"/>
      <c r="L88" s="680"/>
      <c r="M88" s="880"/>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9"/>
      <c r="B91" s="670"/>
      <c r="C91" s="704">
        <v>100</v>
      </c>
      <c r="D91" s="671">
        <f>C91-$K27</f>
        <v>100</v>
      </c>
      <c r="E91" s="671">
        <f t="shared" ref="E91:M91" si="21">D91-$K27</f>
        <v>100</v>
      </c>
      <c r="F91" s="671">
        <f t="shared" si="21"/>
        <v>100</v>
      </c>
      <c r="G91" s="671">
        <f t="shared" si="21"/>
        <v>100</v>
      </c>
      <c r="H91" s="671">
        <f t="shared" si="21"/>
        <v>100</v>
      </c>
      <c r="I91" s="671">
        <f t="shared" si="21"/>
        <v>100</v>
      </c>
      <c r="J91" s="671">
        <f t="shared" si="21"/>
        <v>100</v>
      </c>
      <c r="K91" s="671">
        <f t="shared" si="21"/>
        <v>100</v>
      </c>
      <c r="L91" s="671">
        <f t="shared" si="21"/>
        <v>100</v>
      </c>
      <c r="M91" s="671">
        <f t="shared" si="21"/>
        <v>100</v>
      </c>
      <c r="N91" s="2047"/>
      <c r="O91" s="2047"/>
      <c r="P91" s="2048"/>
      <c r="Q91" s="2049"/>
      <c r="R91" s="2050"/>
      <c r="S91" s="2050"/>
      <c r="T91" s="2050"/>
      <c r="U91" s="2050"/>
      <c r="V91" s="2050"/>
      <c r="W91" s="2050"/>
      <c r="X91" s="2050"/>
      <c r="Y91" s="2050"/>
      <c r="Z91" s="2050"/>
      <c r="AA91" s="2050"/>
      <c r="AB91" s="2050"/>
      <c r="AC91" s="2050"/>
    </row>
    <row r="92" spans="1:29" ht="15.75" thickTop="1">
      <c r="A92" s="661"/>
      <c r="B92" s="665" t="str">
        <f>B28</f>
        <v>楼层</v>
      </c>
      <c r="C92" s="680"/>
      <c r="D92" s="680"/>
      <c r="E92" s="680"/>
      <c r="F92" s="680"/>
      <c r="G92" s="680"/>
      <c r="H92" s="680"/>
      <c r="I92" s="680"/>
      <c r="J92" s="680"/>
      <c r="K92" s="680"/>
      <c r="L92" s="879"/>
      <c r="M92" s="880"/>
      <c r="N92" s="2044"/>
      <c r="O92" s="2044"/>
      <c r="P92" s="2045"/>
      <c r="Q92" s="2038"/>
      <c r="R92" s="2026"/>
      <c r="S92" s="2026"/>
      <c r="T92" s="2026"/>
      <c r="U92" s="2026"/>
      <c r="V92" s="2026"/>
      <c r="W92" s="2026"/>
      <c r="X92" s="2026"/>
      <c r="Y92" s="2026"/>
      <c r="Z92" s="2026"/>
      <c r="AA92" s="2026"/>
      <c r="AB92" s="2026"/>
      <c r="AC92" s="2026"/>
    </row>
    <row r="93" spans="1:29" ht="15.75"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5.75"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5.75"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5.75"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5.75"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5.75"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5.75" thickBot="1">
      <c r="A99" s="882"/>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c r="A100" s="656" t="s">
        <v>545</v>
      </c>
      <c r="B100" s="657" t="s">
        <v>766</v>
      </c>
      <c r="C100" s="3323" t="s">
        <v>3351</v>
      </c>
      <c r="D100" s="3323" t="s">
        <v>3353</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1"/>
      <c r="B102" s="665" t="s">
        <v>742</v>
      </c>
      <c r="C102" s="700" t="str">
        <f>C103&amp;"(含)"&amp;"-"&amp;D103</f>
        <v>1(含)-10000</v>
      </c>
      <c r="D102" s="700" t="str">
        <f t="shared" ref="D102:L102" si="23">D103&amp;"(含)"&amp;"-"&amp;E103</f>
        <v>10000(含)-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1</v>
      </c>
      <c r="D103" s="722">
        <v>10000</v>
      </c>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24" t="s">
        <v>3354</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2">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2">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3">
        <v>0.5</v>
      </c>
      <c r="D110" s="883">
        <v>0.6</v>
      </c>
      <c r="E110" s="883">
        <v>0.7</v>
      </c>
      <c r="F110" s="883">
        <v>0.8</v>
      </c>
      <c r="G110" s="883">
        <v>0.9</v>
      </c>
      <c r="H110" s="883">
        <v>1.0001</v>
      </c>
      <c r="I110" s="894"/>
      <c r="J110" s="894"/>
      <c r="K110" s="895"/>
      <c r="L110" s="896"/>
      <c r="M110" s="897"/>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704">
        <v>100</v>
      </c>
      <c r="D111" s="671">
        <f>C111+$K36</f>
        <v>102</v>
      </c>
      <c r="E111" s="671">
        <f t="shared" ref="E111:M111" si="26">D111+$K36</f>
        <v>104</v>
      </c>
      <c r="F111" s="671">
        <f t="shared" si="26"/>
        <v>106</v>
      </c>
      <c r="G111" s="671">
        <f t="shared" si="26"/>
        <v>108</v>
      </c>
      <c r="H111" s="671">
        <f t="shared" si="26"/>
        <v>110</v>
      </c>
      <c r="I111" s="671">
        <f t="shared" si="26"/>
        <v>112</v>
      </c>
      <c r="J111" s="671">
        <f t="shared" si="26"/>
        <v>114</v>
      </c>
      <c r="K111" s="671">
        <f t="shared" si="26"/>
        <v>116</v>
      </c>
      <c r="L111" s="671">
        <f t="shared" si="26"/>
        <v>118</v>
      </c>
      <c r="M111" s="671">
        <f t="shared" si="26"/>
        <v>120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9"/>
      <c r="B113" s="670"/>
      <c r="C113" s="671">
        <v>100</v>
      </c>
      <c r="D113" s="671">
        <f>C113-$K37</f>
        <v>100</v>
      </c>
      <c r="E113" s="671">
        <f t="shared" ref="E113:M113" si="27">D113-$K37</f>
        <v>100</v>
      </c>
      <c r="F113" s="671">
        <f t="shared" si="27"/>
        <v>100</v>
      </c>
      <c r="G113" s="671">
        <f t="shared" si="27"/>
        <v>100</v>
      </c>
      <c r="H113" s="671">
        <f t="shared" si="27"/>
        <v>100</v>
      </c>
      <c r="I113" s="671">
        <f t="shared" si="27"/>
        <v>100</v>
      </c>
      <c r="J113" s="671">
        <f t="shared" si="27"/>
        <v>100</v>
      </c>
      <c r="K113" s="671">
        <f t="shared" si="27"/>
        <v>100</v>
      </c>
      <c r="L113" s="671">
        <f t="shared" si="27"/>
        <v>100</v>
      </c>
      <c r="M113" s="671">
        <f t="shared" si="27"/>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5.75" thickBot="1">
      <c r="A115" s="661"/>
      <c r="B115" s="670"/>
      <c r="C115" s="671">
        <v>100</v>
      </c>
      <c r="D115" s="671">
        <f t="shared" ref="D115:M115" si="28">C115-$K38</f>
        <v>100</v>
      </c>
      <c r="E115" s="671">
        <f t="shared" si="28"/>
        <v>100</v>
      </c>
      <c r="F115" s="671">
        <f t="shared" si="28"/>
        <v>100</v>
      </c>
      <c r="G115" s="671">
        <f t="shared" si="28"/>
        <v>100</v>
      </c>
      <c r="H115" s="671">
        <f t="shared" si="28"/>
        <v>100</v>
      </c>
      <c r="I115" s="671">
        <f t="shared" si="28"/>
        <v>100</v>
      </c>
      <c r="J115" s="671">
        <f t="shared" si="28"/>
        <v>100</v>
      </c>
      <c r="K115" s="671">
        <f t="shared" si="28"/>
        <v>100</v>
      </c>
      <c r="L115" s="671">
        <f t="shared" si="28"/>
        <v>100</v>
      </c>
      <c r="M115" s="672">
        <f t="shared" si="28"/>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8"/>
      <c r="D118" s="898"/>
      <c r="E118" s="898"/>
      <c r="F118" s="898"/>
      <c r="G118" s="898"/>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5.75"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9"/>
      <c r="B121" s="662"/>
      <c r="C121" s="704">
        <v>100</v>
      </c>
      <c r="D121" s="671">
        <f>C121-$K41</f>
        <v>100</v>
      </c>
      <c r="E121" s="671">
        <f t="shared" ref="E121:M121" si="29">D121-$K41</f>
        <v>100</v>
      </c>
      <c r="F121" s="671">
        <f t="shared" si="29"/>
        <v>100</v>
      </c>
      <c r="G121" s="671">
        <f t="shared" si="29"/>
        <v>100</v>
      </c>
      <c r="H121" s="671">
        <f t="shared" si="29"/>
        <v>100</v>
      </c>
      <c r="I121" s="671">
        <f t="shared" si="29"/>
        <v>100</v>
      </c>
      <c r="J121" s="671">
        <f t="shared" si="29"/>
        <v>100</v>
      </c>
      <c r="K121" s="671">
        <f t="shared" si="29"/>
        <v>100</v>
      </c>
      <c r="L121" s="671">
        <f t="shared" si="29"/>
        <v>100</v>
      </c>
      <c r="M121" s="672">
        <f t="shared" si="29"/>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24" t="s">
        <v>3356</v>
      </c>
      <c r="D122" s="3324" t="s">
        <v>3358</v>
      </c>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5.75"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2">
        <f t="shared" si="30"/>
        <v>80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20"/>
      <c r="B126" s="665" t="str">
        <f>B44</f>
        <v>规划实施优先程度</v>
      </c>
      <c r="C126" s="680" t="str">
        <f>'不动产比较法-住宅'!C126</f>
        <v>待实施</v>
      </c>
      <c r="D126" s="3324" t="s">
        <v>3362</v>
      </c>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9"/>
      <c r="B127" s="670"/>
      <c r="C127" s="684">
        <v>100</v>
      </c>
      <c r="D127" s="663">
        <v>105</v>
      </c>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5" thickTop="1">
      <c r="A128" s="727"/>
      <c r="B128" s="665" t="str">
        <f>B45</f>
        <v>设施设备</v>
      </c>
      <c r="C128" s="3324" t="s">
        <v>3363</v>
      </c>
      <c r="D128" s="3324" t="s">
        <v>3349</v>
      </c>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5.75" thickBot="1">
      <c r="A129" s="661"/>
      <c r="B129" s="670"/>
      <c r="C129" s="684">
        <v>100</v>
      </c>
      <c r="D129" s="663">
        <v>95</v>
      </c>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5" thickTop="1">
      <c r="A130" s="727"/>
      <c r="B130" s="673" t="str">
        <f>B46</f>
        <v>楼层</v>
      </c>
      <c r="C130" s="680" t="s">
        <v>3364</v>
      </c>
      <c r="D130" s="680" t="s">
        <v>3407</v>
      </c>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5.75" thickBot="1">
      <c r="A131" s="882"/>
      <c r="B131" s="691"/>
      <c r="C131" s="692">
        <v>95</v>
      </c>
      <c r="D131" s="692">
        <v>100</v>
      </c>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105" priority="21" stopIfTrue="1" operator="containsText" text="超过">
      <formula>NOT(ISERROR(SEARCH("超过",F52)))</formula>
    </cfRule>
  </conditionalFormatting>
  <conditionalFormatting sqref="H54">
    <cfRule type="containsText" dxfId="104" priority="19" stopIfTrue="1" operator="containsText" text="超过">
      <formula>NOT(ISERROR(SEARCH("超过",H54)))</formula>
    </cfRule>
  </conditionalFormatting>
  <conditionalFormatting sqref="F54">
    <cfRule type="containsText" dxfId="103" priority="18" stopIfTrue="1" operator="containsText" text="超过">
      <formula>NOT(ISERROR(SEARCH("超过",F54)))</formula>
    </cfRule>
  </conditionalFormatting>
  <conditionalFormatting sqref="F53 H53">
    <cfRule type="containsText" dxfId="102" priority="17" stopIfTrue="1" operator="containsText" text="超过">
      <formula>NOT(ISERROR(SEARCH("超过",F53)))</formula>
    </cfRule>
  </conditionalFormatting>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G54">
    <cfRule type="expression" dxfId="98" priority="13" stopIfTrue="1">
      <formula>$H$54="超过30%"</formula>
    </cfRule>
  </conditionalFormatting>
  <conditionalFormatting sqref="G52">
    <cfRule type="expression" dxfId="97" priority="12" stopIfTrue="1">
      <formula>$H$52="超过30%"</formula>
    </cfRule>
  </conditionalFormatting>
  <conditionalFormatting sqref="G53">
    <cfRule type="expression" dxfId="96" priority="11" stopIfTrue="1">
      <formula>$H$53="超过20%"</formula>
    </cfRule>
  </conditionalFormatting>
  <conditionalFormatting sqref="J52">
    <cfRule type="containsText" dxfId="95" priority="10" stopIfTrue="1" operator="containsText" text="超过">
      <formula>NOT(ISERROR(SEARCH("超过",J52)))</formula>
    </cfRule>
  </conditionalFormatting>
  <conditionalFormatting sqref="J54">
    <cfRule type="containsText" dxfId="94" priority="9" stopIfTrue="1" operator="containsText" text="超过">
      <formula>NOT(ISERROR(SEARCH("超过",J54)))</formula>
    </cfRule>
  </conditionalFormatting>
  <conditionalFormatting sqref="J53">
    <cfRule type="containsText" dxfId="93" priority="8" stopIfTrue="1" operator="containsText" text="超过">
      <formula>NOT(ISERROR(SEARCH("超过",J53)))</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F48">
    <cfRule type="expression" dxfId="89" priority="4">
      <formula>$D$48="简单平均"</formula>
    </cfRule>
  </conditionalFormatting>
  <conditionalFormatting sqref="H48">
    <cfRule type="expression" dxfId="88" priority="3">
      <formula>$D$48="简单平均"</formula>
    </cfRule>
  </conditionalFormatting>
  <conditionalFormatting sqref="J48">
    <cfRule type="expression" dxfId="87" priority="2">
      <formula>$D$48="简单平均"</formula>
    </cfRule>
  </conditionalFormatting>
  <conditionalFormatting sqref="F7:F46 H7:H46 J7:J46">
    <cfRule type="cellIs" dxfId="86"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heetViews>
  <sheetFormatPr defaultColWidth="11" defaultRowHeight="13.5"/>
  <cols>
    <col min="1" max="16384" width="11" style="3329"/>
  </cols>
  <sheetData/>
  <phoneticPr fontId="229"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85" zoomScaleNormal="60" zoomScaleSheetLayoutView="85" workbookViewId="0">
      <selection activeCell="L19" sqref="L19"/>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210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771</v>
      </c>
      <c r="C1" s="498" t="s">
        <v>714</v>
      </c>
      <c r="D1" s="838"/>
      <c r="E1" s="500"/>
      <c r="F1" s="2523"/>
      <c r="G1" s="1531" t="s">
        <v>715</v>
      </c>
      <c r="H1" s="500"/>
      <c r="I1" s="500"/>
      <c r="J1" s="500"/>
      <c r="K1" s="501"/>
      <c r="L1" s="3207"/>
      <c r="M1" s="3208"/>
      <c r="N1" s="3208"/>
      <c r="O1" s="3208"/>
      <c r="P1" s="3271"/>
      <c r="Q1" s="2013"/>
      <c r="R1" s="2013"/>
      <c r="S1" s="2013"/>
      <c r="T1" s="2013"/>
      <c r="U1" s="2013"/>
      <c r="V1" s="2013"/>
      <c r="W1" s="2013"/>
      <c r="X1" s="2013"/>
      <c r="Y1" s="2013"/>
      <c r="Z1" s="2013"/>
      <c r="AA1" s="2013"/>
      <c r="AB1" s="2013"/>
      <c r="AC1" s="3209"/>
    </row>
    <row r="2" spans="1:29" s="1289" customFormat="1" ht="28.5" customHeight="1">
      <c r="A2" s="417" t="s">
        <v>461</v>
      </c>
      <c r="B2" s="839">
        <f>ROUND(B3*D3/10000,0)</f>
        <v>0</v>
      </c>
      <c r="C2" s="2008"/>
      <c r="D2" s="2008"/>
      <c r="E2" s="1943"/>
      <c r="F2" s="2010"/>
      <c r="G2" s="2009"/>
      <c r="H2" s="2009"/>
      <c r="I2" s="2009"/>
      <c r="J2" s="2009"/>
      <c r="K2" s="2009"/>
      <c r="L2" s="2012"/>
      <c r="M2" s="2013"/>
      <c r="N2" s="2013"/>
      <c r="O2" s="2013"/>
      <c r="P2" s="3271"/>
      <c r="Q2" s="2013"/>
      <c r="R2" s="2013"/>
      <c r="S2" s="2013"/>
      <c r="T2" s="2013"/>
      <c r="U2" s="2013"/>
      <c r="V2" s="2013"/>
      <c r="W2" s="2013"/>
      <c r="X2" s="2013"/>
      <c r="Y2" s="2013"/>
      <c r="Z2" s="2013"/>
      <c r="AA2" s="2013"/>
      <c r="AB2" s="2013"/>
      <c r="AC2" s="3209"/>
    </row>
    <row r="3" spans="1:29" s="1289" customFormat="1" ht="28.5" customHeight="1" thickBot="1">
      <c r="A3" s="503" t="s">
        <v>513</v>
      </c>
      <c r="B3" s="504">
        <f>C50</f>
        <v>2.5</v>
      </c>
      <c r="C3" s="841" t="s">
        <v>716</v>
      </c>
      <c r="D3" s="840">
        <f>SUMIF('数据-汇总表'!$C19:$C33,D1,'数据-汇总表'!$E19:$E33)</f>
        <v>0</v>
      </c>
      <c r="E3" s="1943"/>
      <c r="F3" s="2010"/>
      <c r="G3" s="2009"/>
      <c r="H3" s="2009"/>
      <c r="I3" s="2009"/>
      <c r="J3" s="2009"/>
      <c r="K3" s="2011"/>
      <c r="L3" s="2012"/>
      <c r="M3" s="2013"/>
      <c r="N3" s="2013"/>
      <c r="O3" s="2013"/>
      <c r="P3" s="3271"/>
      <c r="Q3" s="2013"/>
      <c r="R3" s="2013"/>
      <c r="S3" s="2013"/>
      <c r="T3" s="2013"/>
      <c r="U3" s="2013"/>
      <c r="V3" s="2013"/>
      <c r="W3" s="2013"/>
      <c r="X3" s="2013"/>
      <c r="Y3" s="2013"/>
      <c r="Z3" s="2013"/>
      <c r="AA3" s="2013"/>
      <c r="AB3" s="2013"/>
      <c r="AC3" s="3209"/>
    </row>
    <row r="4" spans="1:29" ht="15">
      <c r="A4" s="506" t="s">
        <v>515</v>
      </c>
      <c r="B4" s="507"/>
      <c r="C4" s="3474" t="s">
        <v>516</v>
      </c>
      <c r="D4" s="3475"/>
      <c r="E4" s="3499" t="s">
        <v>517</v>
      </c>
      <c r="F4" s="3500"/>
      <c r="G4" s="3474" t="s">
        <v>518</v>
      </c>
      <c r="H4" s="3475"/>
      <c r="I4" s="3474" t="s">
        <v>519</v>
      </c>
      <c r="J4" s="3475"/>
      <c r="K4" s="508" t="s">
        <v>520</v>
      </c>
      <c r="L4" s="2014"/>
      <c r="M4" s="2015"/>
      <c r="N4" s="2015"/>
      <c r="O4" s="2015"/>
      <c r="P4" s="3583" t="s">
        <v>521</v>
      </c>
      <c r="Q4" s="3477"/>
      <c r="R4" s="3461" t="s">
        <v>517</v>
      </c>
      <c r="S4" s="3462"/>
      <c r="T4" s="3461" t="s">
        <v>518</v>
      </c>
      <c r="U4" s="3462"/>
      <c r="V4" s="3482" t="s">
        <v>519</v>
      </c>
      <c r="W4" s="3482"/>
      <c r="X4" s="1501"/>
      <c r="Y4" s="3461" t="s">
        <v>521</v>
      </c>
      <c r="Z4" s="3462"/>
      <c r="AA4" s="3456" t="s">
        <v>517</v>
      </c>
      <c r="AB4" s="3456" t="s">
        <v>518</v>
      </c>
      <c r="AC4" s="3456" t="s">
        <v>519</v>
      </c>
    </row>
    <row r="5" spans="1:29" ht="15">
      <c r="A5" s="509"/>
      <c r="B5" s="510"/>
      <c r="C5" s="3485" t="s">
        <v>2893</v>
      </c>
      <c r="D5" s="3486"/>
      <c r="E5" s="3572" t="s">
        <v>3322</v>
      </c>
      <c r="F5" s="3502"/>
      <c r="G5" s="3573" t="s">
        <v>3323</v>
      </c>
      <c r="H5" s="3486"/>
      <c r="I5" s="3573" t="s">
        <v>3324</v>
      </c>
      <c r="J5" s="3486"/>
      <c r="K5" s="508"/>
      <c r="L5" s="2014"/>
      <c r="M5" s="2015"/>
      <c r="N5" s="2015"/>
      <c r="O5" s="2015"/>
      <c r="P5" s="3584"/>
      <c r="Q5" s="3479"/>
      <c r="R5" s="3463"/>
      <c r="S5" s="3464"/>
      <c r="T5" s="3463"/>
      <c r="U5" s="3464"/>
      <c r="V5" s="3482"/>
      <c r="W5" s="3482"/>
      <c r="X5" s="1501"/>
      <c r="Y5" s="3463"/>
      <c r="Z5" s="3464"/>
      <c r="AA5" s="3457"/>
      <c r="AB5" s="3457"/>
      <c r="AC5" s="3457"/>
    </row>
    <row r="6" spans="1:29" ht="15.75" thickBot="1">
      <c r="A6" s="511"/>
      <c r="B6" s="512"/>
      <c r="C6" s="3483" t="s">
        <v>2897</v>
      </c>
      <c r="D6" s="3484"/>
      <c r="E6" s="3581" t="s">
        <v>3325</v>
      </c>
      <c r="F6" s="3504"/>
      <c r="G6" s="3582" t="str">
        <f>E6</f>
        <v>石家庄</v>
      </c>
      <c r="H6" s="3484"/>
      <c r="I6" s="3483" t="str">
        <f>E6</f>
        <v>石家庄</v>
      </c>
      <c r="J6" s="3484"/>
      <c r="K6" s="508" t="s">
        <v>522</v>
      </c>
      <c r="L6" s="2014"/>
      <c r="M6" s="2015"/>
      <c r="N6" s="2015"/>
      <c r="O6" s="2015"/>
      <c r="P6" s="3585"/>
      <c r="Q6" s="3481"/>
      <c r="R6" s="3463"/>
      <c r="S6" s="3464"/>
      <c r="T6" s="3466"/>
      <c r="U6" s="3467"/>
      <c r="V6" s="3482"/>
      <c r="W6" s="3482"/>
      <c r="X6" s="1501"/>
      <c r="Y6" s="3466"/>
      <c r="Z6" s="3467"/>
      <c r="AA6" s="3458"/>
      <c r="AB6" s="3458"/>
      <c r="AC6" s="3458"/>
    </row>
    <row r="7" spans="1:29" s="1202" customFormat="1" ht="15.75" thickBot="1">
      <c r="A7" s="2628"/>
      <c r="B7" s="2635" t="s">
        <v>523</v>
      </c>
      <c r="C7" s="513">
        <f>'数据-取费表'!B2</f>
        <v>44125</v>
      </c>
      <c r="D7" s="514">
        <v>100</v>
      </c>
      <c r="E7" s="515">
        <f>C7</f>
        <v>44125</v>
      </c>
      <c r="F7" s="516">
        <f>SUMIF(59:59,YEAR(E7)&amp;"-"&amp;MONTH(E7),60:60)</f>
        <v>100</v>
      </c>
      <c r="G7" s="515">
        <f>C7</f>
        <v>44125</v>
      </c>
      <c r="H7" s="514">
        <f>SUMIF(59:59,YEAR(G7)&amp;"-"&amp;MONTH(G7),60:60)</f>
        <v>100</v>
      </c>
      <c r="I7" s="515">
        <f>C7</f>
        <v>44125</v>
      </c>
      <c r="J7" s="514">
        <f>SUMIF(59:59,YEAR(I7)&amp;"-"&amp;MONTH(I7),60:60)</f>
        <v>100</v>
      </c>
      <c r="K7" s="518"/>
      <c r="L7" s="2016"/>
      <c r="M7" s="2017"/>
      <c r="N7" s="2017"/>
      <c r="O7" s="2017"/>
      <c r="P7" s="3469" t="s">
        <v>524</v>
      </c>
      <c r="Q7" s="3469"/>
      <c r="R7" s="1502" t="s">
        <v>8</v>
      </c>
      <c r="S7" s="1503">
        <f t="shared" ref="S7:S15" si="0">F7</f>
        <v>100</v>
      </c>
      <c r="T7" s="1502" t="s">
        <v>8</v>
      </c>
      <c r="U7" s="1503">
        <f t="shared" ref="U7:U15" si="1">H7</f>
        <v>100</v>
      </c>
      <c r="V7" s="1502" t="s">
        <v>8</v>
      </c>
      <c r="W7" s="1503">
        <f t="shared" ref="W7:W15" si="2">J7</f>
        <v>100</v>
      </c>
      <c r="X7" s="1504"/>
      <c r="Y7" s="3459" t="s">
        <v>524</v>
      </c>
      <c r="Z7" s="3460"/>
      <c r="AA7" s="1505">
        <f>D7/F7</f>
        <v>1</v>
      </c>
      <c r="AB7" s="1505">
        <f>D7/H7</f>
        <v>1</v>
      </c>
      <c r="AC7" s="1505">
        <f>D7/J7</f>
        <v>1</v>
      </c>
    </row>
    <row r="8" spans="1:29" s="1202" customFormat="1" ht="15.75" thickBot="1">
      <c r="A8" s="2629"/>
      <c r="B8" s="2636" t="s">
        <v>525</v>
      </c>
      <c r="C8" s="519" t="s">
        <v>570</v>
      </c>
      <c r="D8" s="514">
        <v>100</v>
      </c>
      <c r="E8" s="519" t="s">
        <v>3271</v>
      </c>
      <c r="F8" s="516">
        <f>SUMIF(62:62,E8,63:63)-SUMIF(62:62,C8,63:63)+100</f>
        <v>100</v>
      </c>
      <c r="G8" s="519" t="s">
        <v>3271</v>
      </c>
      <c r="H8" s="514">
        <f>SUMIF(62:62,G8,63:63)-SUMIF(62:62,C8,63:63)+100</f>
        <v>100</v>
      </c>
      <c r="I8" s="519" t="s">
        <v>3271</v>
      </c>
      <c r="J8" s="514">
        <f>SUMIF(62:62,I8,63:63)-SUMIF(62:62,C8,63:63)+100</f>
        <v>100</v>
      </c>
      <c r="K8" s="518"/>
      <c r="L8" s="2016"/>
      <c r="M8" s="2017"/>
      <c r="N8" s="2017"/>
      <c r="O8" s="2017"/>
      <c r="P8" s="3469" t="s">
        <v>527</v>
      </c>
      <c r="Q8" s="3460"/>
      <c r="R8" s="1502" t="s">
        <v>8</v>
      </c>
      <c r="S8" s="1503">
        <f t="shared" si="0"/>
        <v>100</v>
      </c>
      <c r="T8" s="1502" t="s">
        <v>8</v>
      </c>
      <c r="U8" s="1503">
        <f t="shared" si="1"/>
        <v>100</v>
      </c>
      <c r="V8" s="1502" t="s">
        <v>8</v>
      </c>
      <c r="W8" s="1503">
        <f t="shared" si="2"/>
        <v>100</v>
      </c>
      <c r="X8" s="1504"/>
      <c r="Y8" s="3459" t="s">
        <v>527</v>
      </c>
      <c r="Z8" s="3460"/>
      <c r="AA8" s="1505">
        <f t="shared" ref="AA8:AA47" si="3">D8/F8</f>
        <v>1</v>
      </c>
      <c r="AB8" s="1505">
        <f t="shared" ref="AB8:AB47" si="4">D8/H8</f>
        <v>1</v>
      </c>
      <c r="AC8" s="1505">
        <f t="shared" ref="AC8:AC47" si="5">D8/J8</f>
        <v>1</v>
      </c>
    </row>
    <row r="9" spans="1:29" s="1202" customFormat="1" ht="15">
      <c r="A9" s="2630"/>
      <c r="B9" s="2637" t="s">
        <v>2736</v>
      </c>
      <c r="C9" s="3317" t="s">
        <v>3327</v>
      </c>
      <c r="D9" s="252">
        <v>100</v>
      </c>
      <c r="E9" s="849" t="s">
        <v>3326</v>
      </c>
      <c r="F9" s="252">
        <f>SUMIF(64:64,E9,65:65)-SUMIF(64:64,C9,65:65)+100</f>
        <v>100</v>
      </c>
      <c r="G9" s="847" t="s">
        <v>3326</v>
      </c>
      <c r="H9" s="252">
        <f>SUMIF(64:64,G9,65:65)-SUMIF(64:64,C9,65:65)+100</f>
        <v>100</v>
      </c>
      <c r="I9" s="847" t="s">
        <v>3326</v>
      </c>
      <c r="J9" s="252">
        <f>SUMIF(64:64,I9,65:65)-SUMIF(64:64,C9,65:65)+100</f>
        <v>100</v>
      </c>
      <c r="K9" s="518"/>
      <c r="L9" s="2016"/>
      <c r="M9" s="2017"/>
      <c r="N9" s="2017"/>
      <c r="O9" s="2017"/>
      <c r="P9" s="3468" t="s">
        <v>529</v>
      </c>
      <c r="Q9" s="1133" t="str">
        <f t="shared" ref="Q9:Q15" si="6">B9</f>
        <v>用途</v>
      </c>
      <c r="R9" s="1502" t="s">
        <v>8</v>
      </c>
      <c r="S9" s="1503">
        <f t="shared" si="0"/>
        <v>100</v>
      </c>
      <c r="T9" s="1502" t="s">
        <v>8</v>
      </c>
      <c r="U9" s="1503">
        <f t="shared" si="1"/>
        <v>100</v>
      </c>
      <c r="V9" s="1502" t="s">
        <v>8</v>
      </c>
      <c r="W9" s="1503">
        <f t="shared" si="2"/>
        <v>100</v>
      </c>
      <c r="X9" s="1504"/>
      <c r="Y9" s="3465" t="s">
        <v>530</v>
      </c>
      <c r="Z9" s="1132" t="str">
        <f t="shared" ref="Z9:Z15" si="7">Q9</f>
        <v>用途</v>
      </c>
      <c r="AA9" s="1505">
        <f t="shared" si="3"/>
        <v>1</v>
      </c>
      <c r="AB9" s="1505">
        <f t="shared" si="4"/>
        <v>1</v>
      </c>
      <c r="AC9" s="1505">
        <f t="shared" si="5"/>
        <v>1</v>
      </c>
    </row>
    <row r="10" spans="1:29" s="1291" customFormat="1" ht="27.75" thickBot="1">
      <c r="A10" s="2631"/>
      <c r="B10" s="2636" t="s">
        <v>2737</v>
      </c>
      <c r="C10" s="850" t="s">
        <v>3328</v>
      </c>
      <c r="D10" s="253">
        <v>100</v>
      </c>
      <c r="E10" s="850" t="s">
        <v>3328</v>
      </c>
      <c r="F10" s="253">
        <f>SUMIF(66:66,E10,67:67)-SUMIF(66:66,C10,67:67)+100</f>
        <v>100</v>
      </c>
      <c r="G10" s="851" t="s">
        <v>3328</v>
      </c>
      <c r="H10" s="253">
        <f>SUMIF(66:66,G10,67:67)-SUMIF(66:66,C10,67:67)+100</f>
        <v>100</v>
      </c>
      <c r="I10" s="850" t="s">
        <v>3328</v>
      </c>
      <c r="J10" s="253">
        <f>SUMIF(66:66,I10,67:67)-SUMIF(66:66,C10,67:67)+100</f>
        <v>100</v>
      </c>
      <c r="K10" s="578"/>
      <c r="L10" s="2019"/>
      <c r="M10" s="2058"/>
      <c r="N10" s="2058"/>
      <c r="O10" s="2058"/>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hidden="1">
      <c r="A11" s="2632"/>
      <c r="B11" s="2636" t="s">
        <v>2738</v>
      </c>
      <c r="C11" s="527">
        <v>2</v>
      </c>
      <c r="D11" s="253">
        <v>100</v>
      </c>
      <c r="E11" s="527">
        <f>C11</f>
        <v>2</v>
      </c>
      <c r="F11" s="253">
        <f>LOOKUP(E11,69:69,70:70)-LOOKUP(C11,69:69,70:70)+100</f>
        <v>100</v>
      </c>
      <c r="G11" s="528">
        <f>C11</f>
        <v>2</v>
      </c>
      <c r="H11" s="253">
        <f>LOOKUP(G11,69:69,70:70)-LOOKUP(C11,69:69,70:70)+100</f>
        <v>100</v>
      </c>
      <c r="I11" s="527">
        <f>C11</f>
        <v>2</v>
      </c>
      <c r="J11" s="253">
        <f>LOOKUP(I11,69:69,70:70)-LOOKUP(C11,69:69,70:70)+100</f>
        <v>100</v>
      </c>
      <c r="K11" s="578"/>
      <c r="L11" s="2021"/>
      <c r="M11" s="2015"/>
      <c r="N11" s="2015"/>
      <c r="O11" s="2015"/>
      <c r="P11" s="3468"/>
      <c r="Q11" s="1133" t="str">
        <f t="shared" si="6"/>
        <v>容积率</v>
      </c>
      <c r="R11" s="1502" t="s">
        <v>8</v>
      </c>
      <c r="S11" s="1503">
        <f t="shared" si="0"/>
        <v>100</v>
      </c>
      <c r="T11" s="1502" t="s">
        <v>8</v>
      </c>
      <c r="U11" s="1503">
        <f t="shared" si="1"/>
        <v>100</v>
      </c>
      <c r="V11" s="1502" t="s">
        <v>8</v>
      </c>
      <c r="W11" s="1503">
        <f t="shared" si="2"/>
        <v>100</v>
      </c>
      <c r="X11" s="1504"/>
      <c r="Y11" s="3465"/>
      <c r="Z11" s="1132" t="str">
        <f t="shared" si="7"/>
        <v>容积率</v>
      </c>
      <c r="AA11" s="1505">
        <f t="shared" si="3"/>
        <v>1</v>
      </c>
      <c r="AB11" s="1505">
        <f t="shared" si="4"/>
        <v>1</v>
      </c>
      <c r="AC11" s="1505">
        <f t="shared" si="5"/>
        <v>1</v>
      </c>
    </row>
    <row r="12" spans="1:29" s="1202" customFormat="1" ht="15" hidden="1">
      <c r="A12" s="2633"/>
      <c r="B12" s="2639">
        <v>111</v>
      </c>
      <c r="C12" s="522"/>
      <c r="D12" s="532">
        <v>100</v>
      </c>
      <c r="E12" s="522"/>
      <c r="F12" s="253">
        <f>SUMIF(71:71,E12,72:72)-SUMIF(71:71,C12,72:72)+100</f>
        <v>100</v>
      </c>
      <c r="G12" s="899"/>
      <c r="H12" s="253">
        <f>SUMIF(71:71,G12,72:72)-SUMIF(71:71,C12,72:72)+100</f>
        <v>100</v>
      </c>
      <c r="I12" s="522"/>
      <c r="J12" s="253">
        <f>SUMIF(71:71,I12,72:72)-SUMIF(71:71,C12,72:72)+100</f>
        <v>100</v>
      </c>
      <c r="K12" s="575"/>
      <c r="L12" s="2016"/>
      <c r="M12" s="2017"/>
      <c r="N12" s="2017"/>
      <c r="O12" s="2017"/>
      <c r="P12" s="3468"/>
      <c r="Q12" s="1133">
        <f t="shared" si="6"/>
        <v>111</v>
      </c>
      <c r="R12" s="1502" t="s">
        <v>8</v>
      </c>
      <c r="S12" s="1503">
        <f t="shared" si="0"/>
        <v>100</v>
      </c>
      <c r="T12" s="1502" t="s">
        <v>8</v>
      </c>
      <c r="U12" s="1503">
        <f t="shared" si="1"/>
        <v>100</v>
      </c>
      <c r="V12" s="1502" t="s">
        <v>8</v>
      </c>
      <c r="W12" s="1503">
        <f t="shared" si="2"/>
        <v>100</v>
      </c>
      <c r="X12" s="1504"/>
      <c r="Y12" s="3465"/>
      <c r="Z12" s="1132">
        <f t="shared" si="7"/>
        <v>111</v>
      </c>
      <c r="AA12" s="1505">
        <f>D12/F12</f>
        <v>1</v>
      </c>
      <c r="AB12" s="1505">
        <f>D12/H12</f>
        <v>1</v>
      </c>
      <c r="AC12" s="1505">
        <f>D12/J12</f>
        <v>1</v>
      </c>
    </row>
    <row r="13" spans="1:29" ht="15" hidden="1">
      <c r="A13" s="2633"/>
      <c r="B13" s="2639">
        <v>111</v>
      </c>
      <c r="C13" s="533"/>
      <c r="D13" s="534">
        <v>100</v>
      </c>
      <c r="E13" s="522"/>
      <c r="F13" s="253">
        <f>SUMIF(73:73,E13,74:74)-SUMIF(73:73,C13,74:74)+100</f>
        <v>100</v>
      </c>
      <c r="G13" s="899"/>
      <c r="H13" s="534">
        <f>SUMIF(73:73,G13,74:74)-SUMIF(73:73,C13,74:74)+100</f>
        <v>100</v>
      </c>
      <c r="I13" s="522"/>
      <c r="J13" s="534">
        <f>SUMIF(73:73,I13,74:74)-SUMIF(73:73,C13,74:74)+100</f>
        <v>100</v>
      </c>
      <c r="K13" s="575"/>
      <c r="L13" s="2023"/>
      <c r="M13" s="2015"/>
      <c r="N13" s="2015"/>
      <c r="O13" s="2015"/>
      <c r="P13" s="3468"/>
      <c r="Q13" s="1133">
        <f t="shared" si="6"/>
        <v>111</v>
      </c>
      <c r="R13" s="1502" t="s">
        <v>8</v>
      </c>
      <c r="S13" s="1503">
        <f t="shared" si="0"/>
        <v>100</v>
      </c>
      <c r="T13" s="1502" t="s">
        <v>8</v>
      </c>
      <c r="U13" s="1503">
        <f t="shared" si="1"/>
        <v>100</v>
      </c>
      <c r="V13" s="1502" t="s">
        <v>8</v>
      </c>
      <c r="W13" s="1503">
        <f t="shared" si="2"/>
        <v>100</v>
      </c>
      <c r="X13" s="1504"/>
      <c r="Y13" s="3465"/>
      <c r="Z13" s="1132">
        <f t="shared" si="7"/>
        <v>111</v>
      </c>
      <c r="AA13" s="1505">
        <f t="shared" si="3"/>
        <v>1</v>
      </c>
      <c r="AB13" s="1505">
        <f t="shared" si="4"/>
        <v>1</v>
      </c>
      <c r="AC13" s="1505">
        <f t="shared" si="5"/>
        <v>1</v>
      </c>
    </row>
    <row r="14" spans="1:29" ht="15.75" hidden="1" thickBot="1">
      <c r="A14" s="2634"/>
      <c r="B14" s="2640">
        <v>111</v>
      </c>
      <c r="C14" s="539"/>
      <c r="D14" s="540">
        <v>100</v>
      </c>
      <c r="E14" s="900"/>
      <c r="F14" s="540">
        <f>SUMIF(75:75,E14,76:76)-SUMIF(75:75,C14,76:76)+100</f>
        <v>100</v>
      </c>
      <c r="G14" s="899"/>
      <c r="H14" s="540">
        <f>SUMIF(75:75,G14,76:76)-SUMIF(75:75,C14,76:76)+100</f>
        <v>100</v>
      </c>
      <c r="I14" s="522"/>
      <c r="J14" s="540">
        <f>SUMIF(75:75,I14,76:76)-SUMIF(75:75,C14,76:76)+100</f>
        <v>100</v>
      </c>
      <c r="K14" s="575"/>
      <c r="L14" s="2023"/>
      <c r="M14" s="2015"/>
      <c r="N14" s="2015"/>
      <c r="O14" s="2015"/>
      <c r="P14" s="3468"/>
      <c r="Q14" s="1133">
        <f t="shared" si="6"/>
        <v>111</v>
      </c>
      <c r="R14" s="1502" t="s">
        <v>8</v>
      </c>
      <c r="S14" s="1503">
        <f t="shared" si="0"/>
        <v>100</v>
      </c>
      <c r="T14" s="1502" t="s">
        <v>8</v>
      </c>
      <c r="U14" s="1503">
        <f t="shared" si="1"/>
        <v>100</v>
      </c>
      <c r="V14" s="1502" t="s">
        <v>8</v>
      </c>
      <c r="W14" s="1503">
        <f t="shared" si="2"/>
        <v>100</v>
      </c>
      <c r="X14" s="1504"/>
      <c r="Y14" s="3465"/>
      <c r="Z14" s="1132">
        <f t="shared" si="7"/>
        <v>111</v>
      </c>
      <c r="AA14" s="1505">
        <f t="shared" si="3"/>
        <v>1</v>
      </c>
      <c r="AB14" s="1505">
        <f t="shared" si="4"/>
        <v>1</v>
      </c>
      <c r="AC14" s="1505">
        <f t="shared" si="5"/>
        <v>1</v>
      </c>
    </row>
    <row r="15" spans="1:29" ht="28.5">
      <c r="A15" s="2626" t="s">
        <v>2734</v>
      </c>
      <c r="B15" s="541" t="s">
        <v>536</v>
      </c>
      <c r="C15" s="542" t="str">
        <f>估价对象房地状况!C5</f>
        <v>现状差，未来较好</v>
      </c>
      <c r="D15" s="543">
        <v>100</v>
      </c>
      <c r="E15" s="546"/>
      <c r="F15" s="543">
        <f>SUMIF(77:77,E16,78:78)-SUMIF(77:77,C16,78:78)+100</f>
        <v>97</v>
      </c>
      <c r="G15" s="544"/>
      <c r="H15" s="543">
        <f>SUMIF(77:77,G16,78:78)-SUMIF(77:77,C16,78:78)+100</f>
        <v>97</v>
      </c>
      <c r="I15" s="544"/>
      <c r="J15" s="543">
        <f>SUMIF(77:77,I16,78:78)-SUMIF(77:77,C16,78:78)+100</f>
        <v>97</v>
      </c>
      <c r="K15" s="887">
        <v>3</v>
      </c>
      <c r="L15" s="2023"/>
      <c r="M15" s="2015"/>
      <c r="N15" s="2015"/>
      <c r="O15" s="2015"/>
      <c r="P15" s="3470" t="s">
        <v>534</v>
      </c>
      <c r="Q15" s="1506" t="str">
        <f t="shared" si="6"/>
        <v>办公集聚程度</v>
      </c>
      <c r="R15" s="1507" t="s">
        <v>8</v>
      </c>
      <c r="S15" s="1508">
        <f t="shared" si="0"/>
        <v>97</v>
      </c>
      <c r="T15" s="1507" t="s">
        <v>8</v>
      </c>
      <c r="U15" s="1508">
        <f t="shared" si="1"/>
        <v>97</v>
      </c>
      <c r="V15" s="1507" t="s">
        <v>8</v>
      </c>
      <c r="W15" s="1508">
        <f t="shared" si="2"/>
        <v>97</v>
      </c>
      <c r="X15" s="1501"/>
      <c r="Y15" s="3470" t="s">
        <v>534</v>
      </c>
      <c r="Z15" s="1509" t="str">
        <f t="shared" si="7"/>
        <v>办公集聚程度</v>
      </c>
      <c r="AA15" s="1510">
        <f t="shared" si="3"/>
        <v>1.0309278350515463</v>
      </c>
      <c r="AB15" s="1510">
        <f t="shared" si="4"/>
        <v>1.0309278350515463</v>
      </c>
      <c r="AC15" s="1510">
        <f t="shared" si="5"/>
        <v>1.0309278350515463</v>
      </c>
    </row>
    <row r="16" spans="1:29" ht="15">
      <c r="A16" s="526"/>
      <c r="B16" s="547"/>
      <c r="C16" s="548" t="s">
        <v>3280</v>
      </c>
      <c r="D16" s="549"/>
      <c r="E16" s="570" t="s">
        <v>3281</v>
      </c>
      <c r="F16" s="549"/>
      <c r="G16" s="548" t="s">
        <v>3281</v>
      </c>
      <c r="H16" s="553"/>
      <c r="I16" s="570" t="s">
        <v>3281</v>
      </c>
      <c r="J16" s="549"/>
      <c r="K16" s="888"/>
      <c r="L16" s="2023"/>
      <c r="M16" s="2015"/>
      <c r="N16" s="2015"/>
      <c r="O16" s="2015"/>
      <c r="P16" s="3471"/>
      <c r="Q16" s="1506"/>
      <c r="R16" s="1507"/>
      <c r="S16" s="1508"/>
      <c r="T16" s="1507"/>
      <c r="U16" s="1508"/>
      <c r="V16" s="1507"/>
      <c r="W16" s="1508"/>
      <c r="X16" s="1501"/>
      <c r="Y16" s="3471"/>
      <c r="Z16" s="1509"/>
      <c r="AA16" s="1510">
        <v>1</v>
      </c>
      <c r="AB16" s="1510">
        <v>1</v>
      </c>
      <c r="AC16" s="1510">
        <v>1</v>
      </c>
    </row>
    <row r="17" spans="1:29" ht="28.5">
      <c r="A17" s="526"/>
      <c r="B17" s="554" t="s">
        <v>296</v>
      </c>
      <c r="C17" s="567" t="str">
        <f>估价对象房地状况!C6</f>
        <v>现状差，未来较好</v>
      </c>
      <c r="D17" s="553">
        <v>100</v>
      </c>
      <c r="E17" s="558"/>
      <c r="F17" s="553">
        <f>SUMIF(79:79,E18,80:80)-SUMIF(79:79,C18,80:80)+100</f>
        <v>100</v>
      </c>
      <c r="G17" s="556"/>
      <c r="H17" s="559">
        <f>SUMIF(79:79,G18,80:80)-SUMIF(79:79,C18,80:80)+100</f>
        <v>100</v>
      </c>
      <c r="I17" s="556"/>
      <c r="J17" s="559">
        <f>SUMIF(79:79,I18,80:80)-SUMIF(79:79,C18,80:80)+100</f>
        <v>100</v>
      </c>
      <c r="K17" s="887">
        <v>3</v>
      </c>
      <c r="L17" s="2023"/>
      <c r="M17" s="2015"/>
      <c r="N17" s="2015"/>
      <c r="O17" s="2015"/>
      <c r="P17" s="3471"/>
      <c r="Q17" s="1506" t="str">
        <f>B17</f>
        <v>交通便捷度</v>
      </c>
      <c r="R17" s="1507" t="s">
        <v>8</v>
      </c>
      <c r="S17" s="1508">
        <f>F17</f>
        <v>100</v>
      </c>
      <c r="T17" s="1507" t="s">
        <v>8</v>
      </c>
      <c r="U17" s="1508">
        <f>H17</f>
        <v>100</v>
      </c>
      <c r="V17" s="1507" t="s">
        <v>8</v>
      </c>
      <c r="W17" s="1508">
        <f>J17</f>
        <v>100</v>
      </c>
      <c r="X17" s="1501"/>
      <c r="Y17" s="3471"/>
      <c r="Z17" s="1509" t="str">
        <f>Q17</f>
        <v>交通便捷度</v>
      </c>
      <c r="AA17" s="1510">
        <f t="shared" si="3"/>
        <v>1</v>
      </c>
      <c r="AB17" s="1510">
        <f t="shared" si="4"/>
        <v>1</v>
      </c>
      <c r="AC17" s="1510">
        <f t="shared" si="5"/>
        <v>1</v>
      </c>
    </row>
    <row r="18" spans="1:29" ht="15">
      <c r="A18" s="526"/>
      <c r="B18" s="560"/>
      <c r="C18" s="561" t="s">
        <v>3280</v>
      </c>
      <c r="D18" s="553"/>
      <c r="E18" s="563" t="s">
        <v>3280</v>
      </c>
      <c r="F18" s="553"/>
      <c r="G18" s="562" t="s">
        <v>3280</v>
      </c>
      <c r="H18" s="549"/>
      <c r="I18" s="562" t="s">
        <v>3280</v>
      </c>
      <c r="J18" s="549"/>
      <c r="K18" s="888"/>
      <c r="L18" s="2023"/>
      <c r="M18" s="2015"/>
      <c r="N18" s="2015"/>
      <c r="O18" s="2015"/>
      <c r="P18" s="3471"/>
      <c r="Q18" s="1506"/>
      <c r="R18" s="1507"/>
      <c r="S18" s="1508"/>
      <c r="T18" s="1507"/>
      <c r="U18" s="1508"/>
      <c r="V18" s="1507"/>
      <c r="W18" s="1508"/>
      <c r="X18" s="1501"/>
      <c r="Y18" s="3471"/>
      <c r="Z18" s="1509"/>
      <c r="AA18" s="1510">
        <v>1</v>
      </c>
      <c r="AB18" s="1510">
        <v>1</v>
      </c>
      <c r="AC18" s="1510">
        <v>1</v>
      </c>
    </row>
    <row r="19" spans="1:29" ht="15">
      <c r="A19" s="526"/>
      <c r="B19" s="2446" t="s">
        <v>2527</v>
      </c>
      <c r="C19" s="567" t="str">
        <f>估价对象房地状况!C7</f>
        <v>现状差，未来好</v>
      </c>
      <c r="D19" s="559">
        <v>100</v>
      </c>
      <c r="E19" s="566"/>
      <c r="F19" s="559">
        <f>SUMIF(81:81,E20,82:82)-SUMIF(81:81,C20,82:82)+100</f>
        <v>97</v>
      </c>
      <c r="G19" s="564"/>
      <c r="H19" s="553">
        <f>SUMIF(81:81,G20,82:82)-SUMIF(81:81,C20,82:82)+100</f>
        <v>97</v>
      </c>
      <c r="I19" s="564"/>
      <c r="J19" s="553">
        <f>SUMIF(81:81,I20,82:82)-SUMIF(81:81,C20,82:82)+100</f>
        <v>97</v>
      </c>
      <c r="K19" s="887">
        <v>3</v>
      </c>
      <c r="L19" s="2023"/>
      <c r="M19" s="2015"/>
      <c r="N19" s="2015"/>
      <c r="O19" s="2015"/>
      <c r="P19" s="3471"/>
      <c r="Q19" s="1506" t="str">
        <f>B19</f>
        <v>公共配套设施</v>
      </c>
      <c r="R19" s="1507" t="s">
        <v>8</v>
      </c>
      <c r="S19" s="1508">
        <f>F19</f>
        <v>97</v>
      </c>
      <c r="T19" s="1507" t="s">
        <v>8</v>
      </c>
      <c r="U19" s="1508">
        <f>H19</f>
        <v>97</v>
      </c>
      <c r="V19" s="1507" t="s">
        <v>8</v>
      </c>
      <c r="W19" s="1508">
        <f>J19</f>
        <v>97</v>
      </c>
      <c r="X19" s="1501"/>
      <c r="Y19" s="3471"/>
      <c r="Z19" s="1509" t="str">
        <f>Q19</f>
        <v>公共配套设施</v>
      </c>
      <c r="AA19" s="1510">
        <f t="shared" si="3"/>
        <v>1.0309278350515463</v>
      </c>
      <c r="AB19" s="1510">
        <f t="shared" si="4"/>
        <v>1.0309278350515463</v>
      </c>
      <c r="AC19" s="1510">
        <f t="shared" si="5"/>
        <v>1.0309278350515463</v>
      </c>
    </row>
    <row r="20" spans="1:29" ht="15">
      <c r="A20" s="526"/>
      <c r="B20" s="560"/>
      <c r="C20" s="548" t="s">
        <v>3278</v>
      </c>
      <c r="D20" s="549"/>
      <c r="E20" s="552" t="s">
        <v>3280</v>
      </c>
      <c r="F20" s="549"/>
      <c r="G20" s="550" t="s">
        <v>3280</v>
      </c>
      <c r="H20" s="549"/>
      <c r="I20" s="550" t="s">
        <v>3280</v>
      </c>
      <c r="J20" s="549"/>
      <c r="K20" s="888"/>
      <c r="L20" s="2023"/>
      <c r="M20" s="2015"/>
      <c r="N20" s="2015"/>
      <c r="O20" s="2015"/>
      <c r="P20" s="3471"/>
      <c r="Q20" s="1506"/>
      <c r="R20" s="1507"/>
      <c r="S20" s="1508"/>
      <c r="T20" s="1507"/>
      <c r="U20" s="1508"/>
      <c r="V20" s="1507"/>
      <c r="W20" s="1508"/>
      <c r="X20" s="1501"/>
      <c r="Y20" s="3471"/>
      <c r="Z20" s="1509"/>
      <c r="AA20" s="1510">
        <v>1</v>
      </c>
      <c r="AB20" s="1510">
        <v>1</v>
      </c>
      <c r="AC20" s="1510">
        <v>1</v>
      </c>
    </row>
    <row r="21" spans="1:29" ht="21.75" customHeight="1">
      <c r="A21" s="526"/>
      <c r="B21" s="2434" t="s">
        <v>2539</v>
      </c>
      <c r="C21" s="567" t="str">
        <f>估价对象房地状况!C8</f>
        <v>七桶</v>
      </c>
      <c r="D21" s="559">
        <v>100</v>
      </c>
      <c r="E21" s="566"/>
      <c r="F21" s="559">
        <f>SUMIF(83:83,E22,84:84)-SUMIF(83:83,C22,84:84)+100</f>
        <v>100</v>
      </c>
      <c r="G21" s="564"/>
      <c r="H21" s="559">
        <f>SUMIF(83:83,G22,84:84)-SUMIF(83:83,C22,84:84)+100</f>
        <v>100</v>
      </c>
      <c r="I21" s="564"/>
      <c r="J21" s="559">
        <f>SUMIF(83:83,I22,84:84)-SUMIF(83:83,C22,84:84)+100</f>
        <v>100</v>
      </c>
      <c r="K21" s="887"/>
      <c r="L21" s="2023"/>
      <c r="M21" s="2015"/>
      <c r="N21" s="2015"/>
      <c r="O21" s="2015"/>
      <c r="P21" s="3471"/>
      <c r="Q21" s="2428" t="str">
        <f>B21</f>
        <v>基础设施水平</v>
      </c>
      <c r="R21" s="1507" t="s">
        <v>8</v>
      </c>
      <c r="S21" s="1508">
        <f>F21</f>
        <v>100</v>
      </c>
      <c r="T21" s="1507" t="s">
        <v>8</v>
      </c>
      <c r="U21" s="1508">
        <f>H21</f>
        <v>100</v>
      </c>
      <c r="V21" s="1507" t="s">
        <v>8</v>
      </c>
      <c r="W21" s="1508">
        <f>J21</f>
        <v>100</v>
      </c>
      <c r="X21" s="2430"/>
      <c r="Y21" s="3471"/>
      <c r="Z21" s="2429" t="str">
        <f>Q21</f>
        <v>基础设施水平</v>
      </c>
      <c r="AA21" s="1510">
        <f t="shared" ref="AA21" si="8">D21/F21</f>
        <v>1</v>
      </c>
      <c r="AB21" s="1510">
        <f t="shared" ref="AB21" si="9">D21/H21</f>
        <v>1</v>
      </c>
      <c r="AC21" s="1510">
        <f t="shared" ref="AC21" si="10">D21/J21</f>
        <v>1</v>
      </c>
    </row>
    <row r="22" spans="1:29" ht="15">
      <c r="A22" s="526"/>
      <c r="B22" s="572"/>
      <c r="C22" s="561" t="s">
        <v>3279</v>
      </c>
      <c r="D22" s="549"/>
      <c r="E22" s="570" t="s">
        <v>3279</v>
      </c>
      <c r="F22" s="549"/>
      <c r="G22" s="548" t="s">
        <v>3279</v>
      </c>
      <c r="H22" s="549"/>
      <c r="I22" s="548" t="s">
        <v>3279</v>
      </c>
      <c r="J22" s="549"/>
      <c r="K22" s="2445"/>
      <c r="L22" s="2023"/>
      <c r="M22" s="2015"/>
      <c r="N22" s="2015"/>
      <c r="O22" s="2015"/>
      <c r="P22" s="3471"/>
      <c r="Q22" s="2428"/>
      <c r="R22" s="1507"/>
      <c r="S22" s="1508"/>
      <c r="T22" s="1507"/>
      <c r="U22" s="1508"/>
      <c r="V22" s="1507"/>
      <c r="W22" s="1508"/>
      <c r="X22" s="2430"/>
      <c r="Y22" s="3471"/>
      <c r="Z22" s="2429"/>
      <c r="AA22" s="1510">
        <v>1</v>
      </c>
      <c r="AB22" s="1510">
        <v>1</v>
      </c>
      <c r="AC22" s="1510">
        <v>1</v>
      </c>
    </row>
    <row r="23" spans="1:29" ht="30.75" customHeight="1">
      <c r="A23" s="526"/>
      <c r="B23" s="554" t="s">
        <v>772</v>
      </c>
      <c r="C23" s="567" t="str">
        <f>估价对象房地状况!C9</f>
        <v>现状一般，未来较好</v>
      </c>
      <c r="D23" s="553">
        <v>100</v>
      </c>
      <c r="E23" s="558"/>
      <c r="F23" s="553">
        <f>SUMIF(85:85,E24,86:86)-SUMIF(85:85,C24,86:86)+100</f>
        <v>97</v>
      </c>
      <c r="G23" s="556"/>
      <c r="H23" s="553">
        <f>SUMIF(85:85,G24,86:86)-SUMIF(85:85,C24,86:86)+100</f>
        <v>97</v>
      </c>
      <c r="I23" s="556"/>
      <c r="J23" s="553">
        <f>SUMIF(85:85,I24,86:86)-SUMIF(85:85,C24,86:86)+100</f>
        <v>97</v>
      </c>
      <c r="K23" s="887">
        <v>3</v>
      </c>
      <c r="L23" s="2023"/>
      <c r="M23" s="2015"/>
      <c r="N23" s="2015"/>
      <c r="O23" s="2015"/>
      <c r="P23" s="3471"/>
      <c r="Q23" s="1506" t="str">
        <f>B23</f>
        <v>环境质量</v>
      </c>
      <c r="R23" s="1507" t="s">
        <v>8</v>
      </c>
      <c r="S23" s="1508">
        <f>F23</f>
        <v>97</v>
      </c>
      <c r="T23" s="1507" t="s">
        <v>8</v>
      </c>
      <c r="U23" s="1508">
        <f>H23</f>
        <v>97</v>
      </c>
      <c r="V23" s="1507" t="s">
        <v>8</v>
      </c>
      <c r="W23" s="1508">
        <f>J23</f>
        <v>97</v>
      </c>
      <c r="X23" s="1501"/>
      <c r="Y23" s="3471"/>
      <c r="Z23" s="1509" t="str">
        <f>Q23</f>
        <v>环境质量</v>
      </c>
      <c r="AA23" s="1510">
        <f t="shared" si="3"/>
        <v>1.0309278350515463</v>
      </c>
      <c r="AB23" s="1510">
        <f t="shared" si="4"/>
        <v>1.0309278350515463</v>
      </c>
      <c r="AC23" s="1510">
        <f t="shared" si="5"/>
        <v>1.0309278350515463</v>
      </c>
    </row>
    <row r="24" spans="1:29" ht="15.75" thickBot="1">
      <c r="A24" s="526"/>
      <c r="B24" s="572"/>
      <c r="C24" s="548" t="s">
        <v>3280</v>
      </c>
      <c r="D24" s="549"/>
      <c r="E24" s="552" t="s">
        <v>3281</v>
      </c>
      <c r="F24" s="549"/>
      <c r="G24" s="550" t="s">
        <v>3281</v>
      </c>
      <c r="H24" s="549"/>
      <c r="I24" s="550" t="s">
        <v>3281</v>
      </c>
      <c r="J24" s="549"/>
      <c r="K24" s="888"/>
      <c r="L24" s="2023"/>
      <c r="M24" s="2015"/>
      <c r="N24" s="2015"/>
      <c r="O24" s="2015"/>
      <c r="P24" s="3471"/>
      <c r="Q24" s="1506"/>
      <c r="R24" s="1507"/>
      <c r="S24" s="1508"/>
      <c r="T24" s="1507"/>
      <c r="U24" s="1508"/>
      <c r="V24" s="1507"/>
      <c r="W24" s="1508"/>
      <c r="X24" s="1501"/>
      <c r="Y24" s="3471"/>
      <c r="Z24" s="1509"/>
      <c r="AA24" s="1510">
        <v>1</v>
      </c>
      <c r="AB24" s="1510">
        <v>1</v>
      </c>
      <c r="AC24" s="1510">
        <v>1</v>
      </c>
    </row>
    <row r="25" spans="1:29" ht="27" hidden="1">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3"/>
      <c r="M25" s="2015"/>
      <c r="N25" s="2015"/>
      <c r="O25" s="2015"/>
      <c r="P25" s="3471"/>
      <c r="Q25" s="1506" t="str">
        <f>B25</f>
        <v>毗邻道路的类型与等级</v>
      </c>
      <c r="R25" s="1507" t="s">
        <v>8</v>
      </c>
      <c r="S25" s="1508">
        <f>F25</f>
        <v>100</v>
      </c>
      <c r="T25" s="1507" t="s">
        <v>8</v>
      </c>
      <c r="U25" s="1508">
        <f>H25</f>
        <v>100</v>
      </c>
      <c r="V25" s="1507" t="s">
        <v>8</v>
      </c>
      <c r="W25" s="1508">
        <f>J25</f>
        <v>100</v>
      </c>
      <c r="X25" s="1501"/>
      <c r="Y25" s="3471"/>
      <c r="Z25" s="1509" t="str">
        <f>Q25</f>
        <v>毗邻道路的类型与等级</v>
      </c>
      <c r="AA25" s="1510">
        <f t="shared" si="3"/>
        <v>1</v>
      </c>
      <c r="AB25" s="1510">
        <f t="shared" si="4"/>
        <v>1</v>
      </c>
      <c r="AC25" s="1510">
        <f t="shared" si="5"/>
        <v>1</v>
      </c>
    </row>
    <row r="26" spans="1:29" ht="15" hidden="1">
      <c r="A26" s="509"/>
      <c r="B26" s="560"/>
      <c r="C26" s="574"/>
      <c r="D26" s="534"/>
      <c r="E26" s="577"/>
      <c r="F26" s="534"/>
      <c r="G26" s="574"/>
      <c r="H26" s="534"/>
      <c r="I26" s="577"/>
      <c r="J26" s="534"/>
      <c r="K26" s="888"/>
      <c r="L26" s="2023"/>
      <c r="M26" s="2015"/>
      <c r="N26" s="2015"/>
      <c r="O26" s="2015"/>
      <c r="P26" s="3471"/>
      <c r="Q26" s="1506"/>
      <c r="R26" s="1507"/>
      <c r="S26" s="1508"/>
      <c r="T26" s="1507"/>
      <c r="U26" s="1508"/>
      <c r="V26" s="1507"/>
      <c r="W26" s="1508"/>
      <c r="X26" s="1501"/>
      <c r="Y26" s="3471"/>
      <c r="Z26" s="1509"/>
      <c r="AA26" s="1510">
        <v>1</v>
      </c>
      <c r="AB26" s="1510">
        <v>1</v>
      </c>
      <c r="AC26" s="1510">
        <v>1</v>
      </c>
    </row>
    <row r="27" spans="1:29" ht="15" hidden="1">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471"/>
      <c r="Q27" s="1506" t="str">
        <f t="shared" ref="Q27:Q47" si="11">B27</f>
        <v>楼层</v>
      </c>
      <c r="R27" s="1507" t="s">
        <v>8</v>
      </c>
      <c r="S27" s="1508">
        <f>F27</f>
        <v>100</v>
      </c>
      <c r="T27" s="1507" t="s">
        <v>8</v>
      </c>
      <c r="U27" s="1508">
        <f>H27</f>
        <v>100</v>
      </c>
      <c r="V27" s="1507" t="s">
        <v>8</v>
      </c>
      <c r="W27" s="1508">
        <f>J27</f>
        <v>100</v>
      </c>
      <c r="X27" s="1501"/>
      <c r="Y27" s="3471"/>
      <c r="Z27" s="1509" t="str">
        <f>Q27</f>
        <v>楼层</v>
      </c>
      <c r="AA27" s="1510">
        <f t="shared" si="3"/>
        <v>1</v>
      </c>
      <c r="AB27" s="1510">
        <f t="shared" si="4"/>
        <v>1</v>
      </c>
      <c r="AC27" s="1510">
        <f t="shared" si="5"/>
        <v>1</v>
      </c>
    </row>
    <row r="28" spans="1:29" s="1202" customFormat="1" ht="15" hidden="1">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6"/>
      <c r="M28" s="2017"/>
      <c r="N28" s="2017"/>
      <c r="O28" s="2017"/>
      <c r="P28" s="3471"/>
      <c r="Q28" s="1133" t="str">
        <f t="shared" si="11"/>
        <v>朝向</v>
      </c>
      <c r="R28" s="1502" t="s">
        <v>8</v>
      </c>
      <c r="S28" s="1503">
        <f>F28</f>
        <v>100</v>
      </c>
      <c r="T28" s="1502" t="s">
        <v>8</v>
      </c>
      <c r="U28" s="1503">
        <f>H28</f>
        <v>100</v>
      </c>
      <c r="V28" s="1502" t="s">
        <v>8</v>
      </c>
      <c r="W28" s="1503">
        <f>J28</f>
        <v>100</v>
      </c>
      <c r="X28" s="1504"/>
      <c r="Y28" s="3471"/>
      <c r="Z28" s="1132" t="str">
        <f>Q28</f>
        <v>朝向</v>
      </c>
      <c r="AA28" s="1510">
        <f>D28/F28</f>
        <v>1</v>
      </c>
      <c r="AB28" s="1510">
        <f>D28/H28</f>
        <v>1</v>
      </c>
      <c r="AC28" s="1510">
        <f>D28/J28</f>
        <v>1</v>
      </c>
    </row>
    <row r="29" spans="1:29" ht="15" hidden="1">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3"/>
      <c r="M29" s="2015"/>
      <c r="N29" s="2015"/>
      <c r="O29" s="2015"/>
      <c r="P29" s="3471"/>
      <c r="Q29" s="1506">
        <f t="shared" si="11"/>
        <v>111</v>
      </c>
      <c r="R29" s="1507" t="s">
        <v>8</v>
      </c>
      <c r="S29" s="1508">
        <f t="shared" ref="S29:S47" si="12">F29</f>
        <v>100</v>
      </c>
      <c r="T29" s="1507" t="s">
        <v>8</v>
      </c>
      <c r="U29" s="1508">
        <f t="shared" ref="U29:U47" si="13">H29</f>
        <v>100</v>
      </c>
      <c r="V29" s="1507" t="s">
        <v>8</v>
      </c>
      <c r="W29" s="1508">
        <f t="shared" ref="W29:W47" si="14">J29</f>
        <v>100</v>
      </c>
      <c r="X29" s="1501"/>
      <c r="Y29" s="3471"/>
      <c r="Z29" s="1509">
        <f t="shared" ref="Z29:Z47" si="15">Q29</f>
        <v>111</v>
      </c>
      <c r="AA29" s="1510">
        <f t="shared" si="3"/>
        <v>1</v>
      </c>
      <c r="AB29" s="1510">
        <f t="shared" si="4"/>
        <v>1</v>
      </c>
      <c r="AC29" s="1510">
        <f t="shared" si="5"/>
        <v>1</v>
      </c>
    </row>
    <row r="30" spans="1:29" ht="15" hidden="1">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3"/>
      <c r="M30" s="2015"/>
      <c r="N30" s="2015"/>
      <c r="O30" s="2015"/>
      <c r="P30" s="3471"/>
      <c r="Q30" s="1506">
        <f t="shared" si="11"/>
        <v>111</v>
      </c>
      <c r="R30" s="1507" t="s">
        <v>8</v>
      </c>
      <c r="S30" s="1508">
        <f t="shared" si="12"/>
        <v>100</v>
      </c>
      <c r="T30" s="1507" t="s">
        <v>8</v>
      </c>
      <c r="U30" s="1508">
        <f t="shared" si="13"/>
        <v>100</v>
      </c>
      <c r="V30" s="1507" t="s">
        <v>8</v>
      </c>
      <c r="W30" s="1508">
        <f t="shared" si="14"/>
        <v>100</v>
      </c>
      <c r="X30" s="1501"/>
      <c r="Y30" s="3471"/>
      <c r="Z30" s="1509">
        <f t="shared" si="15"/>
        <v>111</v>
      </c>
      <c r="AA30" s="1510">
        <f t="shared" si="3"/>
        <v>1</v>
      </c>
      <c r="AB30" s="1510">
        <f t="shared" si="4"/>
        <v>1</v>
      </c>
      <c r="AC30" s="1510">
        <f t="shared" si="5"/>
        <v>1</v>
      </c>
    </row>
    <row r="31" spans="1:29" ht="15" hidden="1">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3"/>
      <c r="M31" s="2015"/>
      <c r="N31" s="2015"/>
      <c r="O31" s="2015"/>
      <c r="P31" s="3471"/>
      <c r="Q31" s="1506">
        <f t="shared" si="11"/>
        <v>111</v>
      </c>
      <c r="R31" s="1507" t="s">
        <v>8</v>
      </c>
      <c r="S31" s="1508">
        <f t="shared" si="12"/>
        <v>100</v>
      </c>
      <c r="T31" s="1507" t="s">
        <v>8</v>
      </c>
      <c r="U31" s="1508">
        <f t="shared" si="13"/>
        <v>100</v>
      </c>
      <c r="V31" s="1507" t="s">
        <v>8</v>
      </c>
      <c r="W31" s="1508">
        <f t="shared" si="14"/>
        <v>100</v>
      </c>
      <c r="X31" s="1501"/>
      <c r="Y31" s="3471"/>
      <c r="Z31" s="1509">
        <f t="shared" si="15"/>
        <v>111</v>
      </c>
      <c r="AA31" s="1510">
        <f t="shared" si="3"/>
        <v>1</v>
      </c>
      <c r="AB31" s="1510">
        <f t="shared" si="4"/>
        <v>1</v>
      </c>
      <c r="AC31" s="1510">
        <f t="shared" si="5"/>
        <v>1</v>
      </c>
    </row>
    <row r="32" spans="1:29" ht="15.75" hidden="1"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3"/>
      <c r="M32" s="2015"/>
      <c r="N32" s="2015"/>
      <c r="O32" s="2015"/>
      <c r="P32" s="3471"/>
      <c r="Q32" s="1506">
        <f t="shared" si="11"/>
        <v>111</v>
      </c>
      <c r="R32" s="1507" t="s">
        <v>8</v>
      </c>
      <c r="S32" s="1508">
        <f t="shared" si="12"/>
        <v>100</v>
      </c>
      <c r="T32" s="1507" t="s">
        <v>8</v>
      </c>
      <c r="U32" s="1508">
        <f t="shared" si="13"/>
        <v>100</v>
      </c>
      <c r="V32" s="1507" t="s">
        <v>8</v>
      </c>
      <c r="W32" s="1508">
        <f t="shared" si="14"/>
        <v>100</v>
      </c>
      <c r="X32" s="1501"/>
      <c r="Y32" s="3471"/>
      <c r="Z32" s="1509">
        <f t="shared" si="15"/>
        <v>111</v>
      </c>
      <c r="AA32" s="1510">
        <f t="shared" si="3"/>
        <v>1</v>
      </c>
      <c r="AB32" s="1510">
        <f t="shared" si="4"/>
        <v>1</v>
      </c>
      <c r="AC32" s="1510">
        <f t="shared" si="5"/>
        <v>1</v>
      </c>
    </row>
    <row r="33" spans="1:29" ht="15">
      <c r="A33" s="2623" t="s">
        <v>2735</v>
      </c>
      <c r="B33" s="170" t="s">
        <v>774</v>
      </c>
      <c r="C33" s="905" t="s">
        <v>3329</v>
      </c>
      <c r="D33" s="591">
        <v>100</v>
      </c>
      <c r="E33" s="905" t="s">
        <v>3329</v>
      </c>
      <c r="F33" s="569">
        <f>SUMIF(101:101,E33,102:102)-SUMIF(101:101,C33,102:102)+100</f>
        <v>100</v>
      </c>
      <c r="G33" s="905" t="s">
        <v>3329</v>
      </c>
      <c r="H33" s="534">
        <f>SUMIF(101:101,G33,102:102)-SUMIF(101:101,C33,102:102)+100</f>
        <v>100</v>
      </c>
      <c r="I33" s="905" t="s">
        <v>3329</v>
      </c>
      <c r="J33" s="591">
        <f>SUMIF(101:101,I33,102:102)-SUMIF(101:101,C33,102:102)+100</f>
        <v>100</v>
      </c>
      <c r="K33" s="578"/>
      <c r="L33" s="2023"/>
      <c r="M33" s="2015"/>
      <c r="N33" s="2015"/>
      <c r="O33" s="2015"/>
      <c r="P33" s="3472" t="s">
        <v>544</v>
      </c>
      <c r="Q33" s="1506" t="str">
        <f t="shared" si="11"/>
        <v>建筑类型</v>
      </c>
      <c r="R33" s="1507" t="s">
        <v>8</v>
      </c>
      <c r="S33" s="1508">
        <f t="shared" si="12"/>
        <v>100</v>
      </c>
      <c r="T33" s="1507" t="s">
        <v>8</v>
      </c>
      <c r="U33" s="1508">
        <f t="shared" si="13"/>
        <v>100</v>
      </c>
      <c r="V33" s="1507" t="s">
        <v>8</v>
      </c>
      <c r="W33" s="1508">
        <f t="shared" si="14"/>
        <v>100</v>
      </c>
      <c r="X33" s="1501"/>
      <c r="Y33" s="3473" t="s">
        <v>544</v>
      </c>
      <c r="Z33" s="1509" t="str">
        <f t="shared" si="15"/>
        <v>建筑类型</v>
      </c>
      <c r="AA33" s="1510">
        <f t="shared" si="3"/>
        <v>1</v>
      </c>
      <c r="AB33" s="1510">
        <f t="shared" si="4"/>
        <v>1</v>
      </c>
      <c r="AC33" s="1510">
        <f t="shared" si="5"/>
        <v>1</v>
      </c>
    </row>
    <row r="34" spans="1:29" s="1292" customFormat="1" ht="15" hidden="1">
      <c r="A34" s="597"/>
      <c r="B34" s="521" t="s">
        <v>720</v>
      </c>
      <c r="C34" s="869">
        <v>1</v>
      </c>
      <c r="D34" s="253">
        <v>100</v>
      </c>
      <c r="E34" s="528">
        <f>C34</f>
        <v>1</v>
      </c>
      <c r="F34" s="852">
        <f>LOOKUP(E34,104:104,105:105)-LOOKUP(C34,104:104,105:105)+100</f>
        <v>100</v>
      </c>
      <c r="G34" s="527">
        <f>C34</f>
        <v>1</v>
      </c>
      <c r="H34" s="253">
        <f>LOOKUP(G34,104:104,105:105)-LOOKUP(C34,104:104,105:105)+100</f>
        <v>100</v>
      </c>
      <c r="I34" s="527">
        <f>C34</f>
        <v>1</v>
      </c>
      <c r="J34" s="253">
        <f>LOOKUP(I34,104:104,105:105)-LOOKUP(C34,104:104,105:105)+100</f>
        <v>100</v>
      </c>
      <c r="K34" s="575"/>
      <c r="L34" s="2021"/>
      <c r="M34" s="2051"/>
      <c r="N34" s="2051"/>
      <c r="O34" s="2051"/>
      <c r="P34" s="3473"/>
      <c r="Q34" s="1535" t="str">
        <f t="shared" si="11"/>
        <v>项目建筑规模</v>
      </c>
      <c r="R34" s="1511" t="s">
        <v>8</v>
      </c>
      <c r="S34" s="1512">
        <f t="shared" si="12"/>
        <v>100</v>
      </c>
      <c r="T34" s="1511" t="s">
        <v>8</v>
      </c>
      <c r="U34" s="1512">
        <f t="shared" si="13"/>
        <v>100</v>
      </c>
      <c r="V34" s="1511" t="s">
        <v>8</v>
      </c>
      <c r="W34" s="1512">
        <f t="shared" si="14"/>
        <v>100</v>
      </c>
      <c r="X34" s="1513"/>
      <c r="Y34" s="3473"/>
      <c r="Z34" s="1514" t="str">
        <f t="shared" si="15"/>
        <v>项目建筑规模</v>
      </c>
      <c r="AA34" s="1510">
        <f t="shared" si="3"/>
        <v>1</v>
      </c>
      <c r="AB34" s="1510">
        <f t="shared" si="4"/>
        <v>1</v>
      </c>
      <c r="AC34" s="1510">
        <f t="shared" si="5"/>
        <v>1</v>
      </c>
    </row>
    <row r="35" spans="1:29" ht="15">
      <c r="A35" s="588"/>
      <c r="B35" s="521" t="s">
        <v>721</v>
      </c>
      <c r="C35" s="568" t="s">
        <v>3331</v>
      </c>
      <c r="D35" s="534">
        <v>100</v>
      </c>
      <c r="E35" s="568" t="s">
        <v>3331</v>
      </c>
      <c r="F35" s="569">
        <f>SUMIF(106:106,E35,107:107)-SUMIF(106:106,C35,107:107)+100</f>
        <v>100</v>
      </c>
      <c r="G35" s="568" t="s">
        <v>3331</v>
      </c>
      <c r="H35" s="534">
        <f>SUMIF(106:106,G35,107:107)-SUMIF(106:106,C35,107:107)+100</f>
        <v>100</v>
      </c>
      <c r="I35" s="568" t="s">
        <v>3331</v>
      </c>
      <c r="J35" s="534">
        <f>SUMIF(106:106,I35,107:107)-SUMIF(106:106,C35,107:107)+100</f>
        <v>100</v>
      </c>
      <c r="K35" s="578"/>
      <c r="L35" s="2023"/>
      <c r="M35" s="2015"/>
      <c r="N35" s="2015"/>
      <c r="O35" s="2015"/>
      <c r="P35" s="3473"/>
      <c r="Q35" s="1506" t="str">
        <f t="shared" si="11"/>
        <v>建筑结构</v>
      </c>
      <c r="R35" s="1507" t="s">
        <v>8</v>
      </c>
      <c r="S35" s="1508">
        <f t="shared" si="12"/>
        <v>100</v>
      </c>
      <c r="T35" s="1507" t="s">
        <v>8</v>
      </c>
      <c r="U35" s="1508">
        <f t="shared" si="13"/>
        <v>100</v>
      </c>
      <c r="V35" s="1507" t="s">
        <v>8</v>
      </c>
      <c r="W35" s="1508">
        <f t="shared" si="14"/>
        <v>100</v>
      </c>
      <c r="X35" s="1501"/>
      <c r="Y35" s="3473"/>
      <c r="Z35" s="1509" t="str">
        <f t="shared" si="15"/>
        <v>建筑结构</v>
      </c>
      <c r="AA35" s="1510">
        <f t="shared" si="3"/>
        <v>1</v>
      </c>
      <c r="AB35" s="1510">
        <f t="shared" si="4"/>
        <v>1</v>
      </c>
      <c r="AC35" s="1510">
        <f t="shared" si="5"/>
        <v>1</v>
      </c>
    </row>
    <row r="36" spans="1:29" ht="15" hidden="1">
      <c r="A36" s="588"/>
      <c r="B36" s="521" t="s">
        <v>757</v>
      </c>
      <c r="C36" s="568" t="s">
        <v>3284</v>
      </c>
      <c r="D36" s="534">
        <v>100</v>
      </c>
      <c r="E36" s="568" t="s">
        <v>3284</v>
      </c>
      <c r="F36" s="569">
        <f>SUMIF(108:108,E36,109:109)-SUMIF(108:108,C36,109:109)+100</f>
        <v>100</v>
      </c>
      <c r="G36" s="568" t="s">
        <v>3284</v>
      </c>
      <c r="H36" s="534">
        <f>SUMIF(108:108,G36,109:109)-SUMIF(108:108,C36,109:109)+100</f>
        <v>100</v>
      </c>
      <c r="I36" s="568" t="s">
        <v>3284</v>
      </c>
      <c r="J36" s="534">
        <f>SUMIF(108:108,I36,109:109)-SUMIF(108:108,C36,109:109)+100</f>
        <v>100</v>
      </c>
      <c r="K36" s="578">
        <v>5</v>
      </c>
      <c r="L36" s="2023"/>
      <c r="M36" s="2015"/>
      <c r="N36" s="2015"/>
      <c r="O36" s="2015"/>
      <c r="P36" s="3473"/>
      <c r="Q36" s="1506" t="str">
        <f t="shared" si="11"/>
        <v>公共部分装修</v>
      </c>
      <c r="R36" s="1507" t="s">
        <v>8</v>
      </c>
      <c r="S36" s="1508">
        <f t="shared" si="12"/>
        <v>100</v>
      </c>
      <c r="T36" s="1507" t="s">
        <v>8</v>
      </c>
      <c r="U36" s="1508">
        <f t="shared" si="13"/>
        <v>100</v>
      </c>
      <c r="V36" s="1507" t="s">
        <v>8</v>
      </c>
      <c r="W36" s="1508">
        <f t="shared" si="14"/>
        <v>100</v>
      </c>
      <c r="X36" s="1501"/>
      <c r="Y36" s="3473"/>
      <c r="Z36" s="1509" t="str">
        <f t="shared" si="15"/>
        <v>公共部分装修</v>
      </c>
      <c r="AA36" s="1510">
        <f t="shared" si="3"/>
        <v>1</v>
      </c>
      <c r="AB36" s="1510">
        <f t="shared" si="4"/>
        <v>1</v>
      </c>
      <c r="AC36" s="1510">
        <f t="shared" si="5"/>
        <v>1</v>
      </c>
    </row>
    <row r="37" spans="1:29" ht="14.25" customHeight="1">
      <c r="A37" s="588"/>
      <c r="B37" s="521" t="s">
        <v>758</v>
      </c>
      <c r="C37" s="872">
        <f>'不动产比较法-住宅'!C37</f>
        <v>1</v>
      </c>
      <c r="D37" s="534">
        <v>100</v>
      </c>
      <c r="E37" s="872">
        <v>0.75</v>
      </c>
      <c r="F37" s="569">
        <f>LOOKUP(E37,111:111,112:112)-LOOKUP(C37,111:111,112:112)+100</f>
        <v>96</v>
      </c>
      <c r="G37" s="872">
        <f>E37</f>
        <v>0.75</v>
      </c>
      <c r="H37" s="569">
        <f>LOOKUP(G37,111:111,112:112)-LOOKUP(C37,111:111,112:112)+100</f>
        <v>96</v>
      </c>
      <c r="I37" s="872">
        <f>E37</f>
        <v>0.75</v>
      </c>
      <c r="J37" s="534">
        <f>LOOKUP(I37,111:111,112:112)-LOOKUP(C37,111:111,112:112)+100</f>
        <v>96</v>
      </c>
      <c r="K37" s="578">
        <v>2</v>
      </c>
      <c r="L37" s="2023"/>
      <c r="M37" s="2015"/>
      <c r="N37" s="2015"/>
      <c r="O37" s="2015"/>
      <c r="P37" s="3473"/>
      <c r="Q37" s="1506" t="str">
        <f t="shared" si="11"/>
        <v>成新度</v>
      </c>
      <c r="R37" s="1507" t="s">
        <v>8</v>
      </c>
      <c r="S37" s="1508">
        <f t="shared" si="12"/>
        <v>96</v>
      </c>
      <c r="T37" s="1507" t="s">
        <v>8</v>
      </c>
      <c r="U37" s="1508">
        <f t="shared" si="13"/>
        <v>96</v>
      </c>
      <c r="V37" s="1507" t="s">
        <v>8</v>
      </c>
      <c r="W37" s="1508">
        <f t="shared" si="14"/>
        <v>96</v>
      </c>
      <c r="X37" s="1501"/>
      <c r="Y37" s="3473"/>
      <c r="Z37" s="1509" t="str">
        <f t="shared" si="15"/>
        <v>成新度</v>
      </c>
      <c r="AA37" s="1510">
        <f t="shared" si="3"/>
        <v>1.0416666666666667</v>
      </c>
      <c r="AB37" s="1510">
        <f t="shared" si="4"/>
        <v>1.0416666666666667</v>
      </c>
      <c r="AC37" s="1510">
        <f t="shared" si="5"/>
        <v>1.0416666666666667</v>
      </c>
    </row>
    <row r="38" spans="1:29" s="1202" customFormat="1" ht="15" hidden="1">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473"/>
      <c r="Q38" s="1133" t="str">
        <f t="shared" si="11"/>
        <v>写字楼等级</v>
      </c>
      <c r="R38" s="1502" t="s">
        <v>8</v>
      </c>
      <c r="S38" s="1503">
        <f t="shared" si="12"/>
        <v>100</v>
      </c>
      <c r="T38" s="1502" t="s">
        <v>8</v>
      </c>
      <c r="U38" s="1503">
        <f t="shared" si="13"/>
        <v>100</v>
      </c>
      <c r="V38" s="1502" t="s">
        <v>8</v>
      </c>
      <c r="W38" s="1503">
        <f t="shared" si="14"/>
        <v>100</v>
      </c>
      <c r="X38" s="1504"/>
      <c r="Y38" s="3473"/>
      <c r="Z38" s="1132" t="str">
        <f t="shared" si="15"/>
        <v>写字楼等级</v>
      </c>
      <c r="AA38" s="1505">
        <f t="shared" si="3"/>
        <v>1</v>
      </c>
      <c r="AB38" s="1505">
        <f t="shared" si="4"/>
        <v>1</v>
      </c>
      <c r="AC38" s="1505">
        <f t="shared" si="5"/>
        <v>1</v>
      </c>
    </row>
    <row r="39" spans="1:29" ht="15" hidden="1">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473" t="s">
        <v>544</v>
      </c>
      <c r="Q39" s="1506" t="str">
        <f t="shared" si="11"/>
        <v>物业管理</v>
      </c>
      <c r="R39" s="1507" t="s">
        <v>8</v>
      </c>
      <c r="S39" s="1508">
        <f t="shared" si="12"/>
        <v>100</v>
      </c>
      <c r="T39" s="1507" t="s">
        <v>8</v>
      </c>
      <c r="U39" s="1508">
        <f t="shared" si="13"/>
        <v>100</v>
      </c>
      <c r="V39" s="1507" t="s">
        <v>8</v>
      </c>
      <c r="W39" s="1508">
        <f t="shared" si="14"/>
        <v>100</v>
      </c>
      <c r="X39" s="1501"/>
      <c r="Y39" s="3473" t="s">
        <v>544</v>
      </c>
      <c r="Z39" s="1509" t="str">
        <f t="shared" si="15"/>
        <v>物业管理</v>
      </c>
      <c r="AA39" s="1510">
        <f t="shared" si="3"/>
        <v>1</v>
      </c>
      <c r="AB39" s="1510">
        <f t="shared" si="4"/>
        <v>1</v>
      </c>
      <c r="AC39" s="1510">
        <f t="shared" si="5"/>
        <v>1</v>
      </c>
    </row>
    <row r="40" spans="1:29" ht="15" hidden="1">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473"/>
      <c r="Q40" s="1506" t="str">
        <f t="shared" si="11"/>
        <v>市政基础设施</v>
      </c>
      <c r="R40" s="1507" t="s">
        <v>8</v>
      </c>
      <c r="S40" s="1508">
        <f t="shared" si="12"/>
        <v>100</v>
      </c>
      <c r="T40" s="1507" t="s">
        <v>8</v>
      </c>
      <c r="U40" s="1508">
        <f t="shared" si="13"/>
        <v>100</v>
      </c>
      <c r="V40" s="1507" t="s">
        <v>8</v>
      </c>
      <c r="W40" s="1508">
        <f t="shared" si="14"/>
        <v>100</v>
      </c>
      <c r="X40" s="1501"/>
      <c r="Y40" s="3473"/>
      <c r="Z40" s="1509" t="str">
        <f t="shared" si="15"/>
        <v>市政基础设施</v>
      </c>
      <c r="AA40" s="1510">
        <f t="shared" si="3"/>
        <v>1</v>
      </c>
      <c r="AB40" s="1510">
        <f t="shared" si="4"/>
        <v>1</v>
      </c>
      <c r="AC40" s="1510">
        <f t="shared" si="5"/>
        <v>1</v>
      </c>
    </row>
    <row r="41" spans="1:29" ht="15">
      <c r="A41" s="588"/>
      <c r="B41" s="521" t="s">
        <v>761</v>
      </c>
      <c r="C41" s="577" t="s">
        <v>3338</v>
      </c>
      <c r="D41" s="534">
        <v>100</v>
      </c>
      <c r="E41" s="577" t="s">
        <v>3338</v>
      </c>
      <c r="F41" s="569">
        <f>SUMIF(119:119,E41,120:120)-SUMIF(119:119,C41,120:120)+100</f>
        <v>100</v>
      </c>
      <c r="G41" s="577" t="s">
        <v>3338</v>
      </c>
      <c r="H41" s="534">
        <f>SUMIF(119:119,G41,120:120)-SUMIF(119:119,C41,120:120)+100</f>
        <v>100</v>
      </c>
      <c r="I41" s="577" t="s">
        <v>3338</v>
      </c>
      <c r="J41" s="534">
        <f>SUMIF(119:119,I41,120:120)-SUMIF(119:119,C41,120:120)+100</f>
        <v>100</v>
      </c>
      <c r="K41" s="578"/>
      <c r="L41" s="2023"/>
      <c r="M41" s="2015"/>
      <c r="N41" s="2015"/>
      <c r="O41" s="2015"/>
      <c r="P41" s="3473"/>
      <c r="Q41" s="1506" t="str">
        <f t="shared" si="11"/>
        <v>层高</v>
      </c>
      <c r="R41" s="1507" t="s">
        <v>8</v>
      </c>
      <c r="S41" s="1508">
        <f t="shared" si="12"/>
        <v>100</v>
      </c>
      <c r="T41" s="1507" t="s">
        <v>8</v>
      </c>
      <c r="U41" s="1508">
        <f t="shared" si="13"/>
        <v>100</v>
      </c>
      <c r="V41" s="1507" t="s">
        <v>8</v>
      </c>
      <c r="W41" s="1508">
        <f t="shared" si="14"/>
        <v>100</v>
      </c>
      <c r="X41" s="1501"/>
      <c r="Y41" s="3473"/>
      <c r="Z41" s="1509" t="str">
        <f t="shared" si="15"/>
        <v>层高</v>
      </c>
      <c r="AA41" s="1510">
        <f t="shared" si="3"/>
        <v>1</v>
      </c>
      <c r="AB41" s="1510">
        <f t="shared" si="4"/>
        <v>1</v>
      </c>
      <c r="AC41" s="1510">
        <f t="shared" si="5"/>
        <v>1</v>
      </c>
    </row>
    <row r="42" spans="1:29" s="1292" customFormat="1" ht="15" hidden="1">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473"/>
      <c r="Q42" s="1535" t="str">
        <f t="shared" si="11"/>
        <v>单套建筑面积</v>
      </c>
      <c r="R42" s="1511" t="s">
        <v>8</v>
      </c>
      <c r="S42" s="1512">
        <f t="shared" si="12"/>
        <v>100</v>
      </c>
      <c r="T42" s="1511" t="s">
        <v>8</v>
      </c>
      <c r="U42" s="1512">
        <f t="shared" si="13"/>
        <v>100</v>
      </c>
      <c r="V42" s="1511" t="s">
        <v>8</v>
      </c>
      <c r="W42" s="1512">
        <f t="shared" si="14"/>
        <v>100</v>
      </c>
      <c r="X42" s="1513"/>
      <c r="Y42" s="3473"/>
      <c r="Z42" s="1514" t="str">
        <f t="shared" si="15"/>
        <v>单套建筑面积</v>
      </c>
      <c r="AA42" s="1510">
        <f t="shared" si="3"/>
        <v>1</v>
      </c>
      <c r="AB42" s="1510">
        <f t="shared" si="4"/>
        <v>1</v>
      </c>
      <c r="AC42" s="1510">
        <f t="shared" si="5"/>
        <v>1</v>
      </c>
    </row>
    <row r="43" spans="1:29" ht="15">
      <c r="A43" s="588"/>
      <c r="B43" s="521" t="s">
        <v>764</v>
      </c>
      <c r="C43" s="568" t="s">
        <v>3357</v>
      </c>
      <c r="D43" s="534">
        <v>100</v>
      </c>
      <c r="E43" s="568" t="s">
        <v>3355</v>
      </c>
      <c r="F43" s="569">
        <f>SUMIF(123:123,E43,124:124)-SUMIF(123:123,C43,124:124)+100</f>
        <v>102</v>
      </c>
      <c r="G43" s="568" t="s">
        <v>3355</v>
      </c>
      <c r="H43" s="534">
        <f>SUMIF(123:123,G43,124:124)-SUMIF(123:123,C43,124:124)+100</f>
        <v>102</v>
      </c>
      <c r="I43" s="568" t="s">
        <v>3355</v>
      </c>
      <c r="J43" s="534">
        <f>SUMIF(123:123,I43,124:124)-SUMIF(123:123,C43,124:124)+100</f>
        <v>102</v>
      </c>
      <c r="K43" s="578">
        <v>2</v>
      </c>
      <c r="L43" s="2023"/>
      <c r="M43" s="2015"/>
      <c r="N43" s="2015"/>
      <c r="O43" s="2015"/>
      <c r="P43" s="3473"/>
      <c r="Q43" s="1506" t="str">
        <f t="shared" si="11"/>
        <v>内部装修</v>
      </c>
      <c r="R43" s="1507" t="s">
        <v>8</v>
      </c>
      <c r="S43" s="1508">
        <f t="shared" si="12"/>
        <v>102</v>
      </c>
      <c r="T43" s="1507" t="s">
        <v>8</v>
      </c>
      <c r="U43" s="1508">
        <f t="shared" si="13"/>
        <v>102</v>
      </c>
      <c r="V43" s="1507" t="s">
        <v>8</v>
      </c>
      <c r="W43" s="1508">
        <f t="shared" si="14"/>
        <v>102</v>
      </c>
      <c r="X43" s="1501"/>
      <c r="Y43" s="3473"/>
      <c r="Z43" s="1509" t="str">
        <f t="shared" si="15"/>
        <v>内部装修</v>
      </c>
      <c r="AA43" s="1510">
        <f t="shared" si="3"/>
        <v>0.98039215686274506</v>
      </c>
      <c r="AB43" s="1510">
        <f t="shared" si="4"/>
        <v>0.98039215686274506</v>
      </c>
      <c r="AC43" s="1510">
        <f t="shared" si="5"/>
        <v>0.98039215686274506</v>
      </c>
    </row>
    <row r="44" spans="1:29" ht="27">
      <c r="A44" s="588"/>
      <c r="B44" s="521" t="s">
        <v>729</v>
      </c>
      <c r="C44" s="568" t="s">
        <v>3280</v>
      </c>
      <c r="D44" s="534">
        <v>100</v>
      </c>
      <c r="E44" s="593" t="s">
        <v>3280</v>
      </c>
      <c r="F44" s="569">
        <f>SUMIF(125:125,E44,126:126)-SUMIF(125:125,C44,126:126)+100</f>
        <v>100</v>
      </c>
      <c r="G44" s="593" t="s">
        <v>3280</v>
      </c>
      <c r="H44" s="534">
        <f>SUMIF(125:125,G44,126:126)-SUMIF(125:125,C44,126:126)+100</f>
        <v>100</v>
      </c>
      <c r="I44" s="593" t="s">
        <v>3280</v>
      </c>
      <c r="J44" s="534">
        <f>SUMIF(125:125,I44,126:126)-SUMIF(125:125,C44,126:126)+100</f>
        <v>100</v>
      </c>
      <c r="K44" s="578"/>
      <c r="L44" s="2023"/>
      <c r="M44" s="2015"/>
      <c r="N44" s="2015"/>
      <c r="O44" s="2015"/>
      <c r="P44" s="3473"/>
      <c r="Q44" s="1506" t="str">
        <f t="shared" si="11"/>
        <v>内部装修维护情况</v>
      </c>
      <c r="R44" s="1507" t="s">
        <v>8</v>
      </c>
      <c r="S44" s="1508">
        <f t="shared" si="12"/>
        <v>100</v>
      </c>
      <c r="T44" s="1507" t="s">
        <v>8</v>
      </c>
      <c r="U44" s="1508">
        <f t="shared" si="13"/>
        <v>100</v>
      </c>
      <c r="V44" s="1507" t="s">
        <v>8</v>
      </c>
      <c r="W44" s="1508">
        <f t="shared" si="14"/>
        <v>100</v>
      </c>
      <c r="X44" s="1501"/>
      <c r="Y44" s="3473"/>
      <c r="Z44" s="1509" t="str">
        <f t="shared" si="15"/>
        <v>内部装修维护情况</v>
      </c>
      <c r="AA44" s="1510">
        <f t="shared" si="3"/>
        <v>1</v>
      </c>
      <c r="AB44" s="1510">
        <f t="shared" si="4"/>
        <v>1</v>
      </c>
      <c r="AC44" s="1510">
        <f t="shared" si="5"/>
        <v>1</v>
      </c>
    </row>
    <row r="45" spans="1:29" s="1202" customFormat="1" ht="15">
      <c r="A45" s="594"/>
      <c r="B45" s="866" t="str">
        <f>'不动产比较法-住宅'!B44</f>
        <v>规划实施优先程度</v>
      </c>
      <c r="C45" s="869" t="str">
        <f>C127</f>
        <v>待实施</v>
      </c>
      <c r="D45" s="253">
        <v>100</v>
      </c>
      <c r="E45" s="522" t="str">
        <f>D127</f>
        <v>已实施</v>
      </c>
      <c r="F45" s="852">
        <f>SUMIF(127:127,E45,128:128)-SUMIF(127:127,C45,128:128)+100</f>
        <v>105</v>
      </c>
      <c r="G45" s="522" t="str">
        <f>E45</f>
        <v>已实施</v>
      </c>
      <c r="H45" s="253">
        <f>SUMIF(127:127,G45,128:128)-SUMIF(127:127,C45,128:128)+100</f>
        <v>105</v>
      </c>
      <c r="I45" s="522" t="str">
        <f>E45</f>
        <v>已实施</v>
      </c>
      <c r="J45" s="253">
        <f>SUMIF(127:127,I45,128:128)-SUMIF(127:127,C45,128:128)+100</f>
        <v>105</v>
      </c>
      <c r="K45" s="575"/>
      <c r="L45" s="2016"/>
      <c r="M45" s="2017"/>
      <c r="N45" s="2017"/>
      <c r="O45" s="2017"/>
      <c r="P45" s="3473"/>
      <c r="Q45" s="1133" t="str">
        <f t="shared" si="11"/>
        <v>规划实施优先程度</v>
      </c>
      <c r="R45" s="1502" t="s">
        <v>8</v>
      </c>
      <c r="S45" s="1503">
        <f t="shared" si="12"/>
        <v>105</v>
      </c>
      <c r="T45" s="1502" t="s">
        <v>8</v>
      </c>
      <c r="U45" s="1503">
        <f t="shared" si="13"/>
        <v>105</v>
      </c>
      <c r="V45" s="1502" t="s">
        <v>8</v>
      </c>
      <c r="W45" s="1503">
        <f t="shared" si="14"/>
        <v>105</v>
      </c>
      <c r="X45" s="1504"/>
      <c r="Y45" s="3473"/>
      <c r="Z45" s="1132" t="str">
        <f t="shared" si="15"/>
        <v>规划实施优先程度</v>
      </c>
      <c r="AA45" s="1505">
        <f t="shared" si="3"/>
        <v>0.95238095238095233</v>
      </c>
      <c r="AB45" s="1505">
        <f t="shared" si="4"/>
        <v>0.95238095238095233</v>
      </c>
      <c r="AC45" s="1505">
        <f t="shared" si="5"/>
        <v>0.95238095238095233</v>
      </c>
    </row>
    <row r="46" spans="1:29" ht="15.75" thickBot="1">
      <c r="A46" s="588"/>
      <c r="B46" s="3326" t="s">
        <v>3388</v>
      </c>
      <c r="C46" s="3332" t="s">
        <v>3389</v>
      </c>
      <c r="D46" s="534">
        <v>100</v>
      </c>
      <c r="E46" s="3339" t="s">
        <v>3390</v>
      </c>
      <c r="F46" s="569">
        <f>SUMIF(129:129,E46,130:130)-SUMIF(129:129,C46,130:130)+100</f>
        <v>98</v>
      </c>
      <c r="G46" s="522" t="str">
        <f>E46</f>
        <v>较好</v>
      </c>
      <c r="H46" s="534">
        <f>SUMIF(129:129,G46,130:130)-SUMIF(129:129,C46,130:130)+100</f>
        <v>98</v>
      </c>
      <c r="I46" s="522" t="str">
        <f>E46</f>
        <v>较好</v>
      </c>
      <c r="J46" s="534">
        <f>SUMIF(129:129,I46,130:130)-SUMIF(129:129,C46,130:130)+100</f>
        <v>98</v>
      </c>
      <c r="K46" s="575"/>
      <c r="L46" s="2023"/>
      <c r="M46" s="2015"/>
      <c r="N46" s="2015"/>
      <c r="O46" s="2015"/>
      <c r="P46" s="3473"/>
      <c r="Q46" s="1506" t="str">
        <f t="shared" si="11"/>
        <v>设备设施</v>
      </c>
      <c r="R46" s="1507" t="s">
        <v>8</v>
      </c>
      <c r="S46" s="1508">
        <f t="shared" si="12"/>
        <v>98</v>
      </c>
      <c r="T46" s="1507" t="s">
        <v>8</v>
      </c>
      <c r="U46" s="1508">
        <f t="shared" si="13"/>
        <v>98</v>
      </c>
      <c r="V46" s="1507" t="s">
        <v>8</v>
      </c>
      <c r="W46" s="1508">
        <f t="shared" si="14"/>
        <v>98</v>
      </c>
      <c r="X46" s="1501"/>
      <c r="Y46" s="3473"/>
      <c r="Z46" s="1509" t="str">
        <f t="shared" si="15"/>
        <v>设备设施</v>
      </c>
      <c r="AA46" s="1510">
        <f t="shared" si="3"/>
        <v>1.0204081632653061</v>
      </c>
      <c r="AB46" s="1510">
        <f t="shared" si="4"/>
        <v>1.0204081632653061</v>
      </c>
      <c r="AC46" s="1510">
        <f t="shared" si="5"/>
        <v>1.0204081632653061</v>
      </c>
    </row>
    <row r="47" spans="1:29" ht="15.75" hidden="1"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76"/>
      <c r="Q47" s="1506">
        <f t="shared" si="11"/>
        <v>111</v>
      </c>
      <c r="R47" s="1507" t="s">
        <v>8</v>
      </c>
      <c r="S47" s="1508">
        <f t="shared" si="12"/>
        <v>100</v>
      </c>
      <c r="T47" s="1507" t="s">
        <v>8</v>
      </c>
      <c r="U47" s="1508">
        <f t="shared" si="13"/>
        <v>100</v>
      </c>
      <c r="V47" s="1507" t="s">
        <v>8</v>
      </c>
      <c r="W47" s="1508">
        <f t="shared" si="14"/>
        <v>100</v>
      </c>
      <c r="X47" s="1501"/>
      <c r="Y47" s="3576"/>
      <c r="Z47" s="1509">
        <f t="shared" si="15"/>
        <v>111</v>
      </c>
      <c r="AA47" s="1510">
        <f t="shared" si="3"/>
        <v>1</v>
      </c>
      <c r="AB47" s="1510">
        <f t="shared" si="4"/>
        <v>1</v>
      </c>
      <c r="AC47" s="1510">
        <f t="shared" si="5"/>
        <v>1</v>
      </c>
    </row>
    <row r="48" spans="1:29" ht="15">
      <c r="A48" s="601" t="s">
        <v>730</v>
      </c>
      <c r="B48" s="876"/>
      <c r="C48" s="2469" t="s">
        <v>1</v>
      </c>
      <c r="D48" s="2470"/>
      <c r="E48" s="2471">
        <v>2.2999999999999998</v>
      </c>
      <c r="F48" s="2472"/>
      <c r="G48" s="2473">
        <v>2.2000000000000002</v>
      </c>
      <c r="H48" s="2474"/>
      <c r="I48" s="2471">
        <v>2.2999999999999998</v>
      </c>
      <c r="J48" s="2474"/>
      <c r="K48" s="1540"/>
      <c r="L48" s="2025"/>
      <c r="M48" s="2015"/>
      <c r="N48" s="2015"/>
      <c r="O48" s="2015"/>
      <c r="P48" s="3490" t="str">
        <f>A48</f>
        <v>成交单价（元/平方米）</v>
      </c>
      <c r="Q48" s="3468"/>
      <c r="R48" s="3575">
        <f>E48</f>
        <v>2.2999999999999998</v>
      </c>
      <c r="S48" s="3575"/>
      <c r="T48" s="3575">
        <f>G48</f>
        <v>2.2000000000000002</v>
      </c>
      <c r="U48" s="3575"/>
      <c r="V48" s="3575">
        <f>I48</f>
        <v>2.2999999999999998</v>
      </c>
      <c r="W48" s="3575"/>
      <c r="X48" s="1496"/>
      <c r="Y48" s="1515"/>
      <c r="Z48" s="1496"/>
      <c r="AA48" s="1496"/>
      <c r="AB48" s="1496"/>
      <c r="AC48" s="1496"/>
    </row>
    <row r="49" spans="1:29" ht="15.75" thickBot="1">
      <c r="A49" s="609" t="s">
        <v>2740</v>
      </c>
      <c r="B49" s="877"/>
      <c r="C49" s="2475">
        <f>R50</f>
        <v>2.5</v>
      </c>
      <c r="D49" s="3013" t="s">
        <v>2964</v>
      </c>
      <c r="E49" s="2476">
        <f>R49</f>
        <v>2.5</v>
      </c>
      <c r="F49" s="3014"/>
      <c r="G49" s="2475">
        <f>T49</f>
        <v>2.4</v>
      </c>
      <c r="H49" s="3014"/>
      <c r="I49" s="2476">
        <f>V49</f>
        <v>2.5</v>
      </c>
      <c r="J49" s="3014"/>
      <c r="K49" s="3022">
        <f>F49+H49+J49</f>
        <v>0</v>
      </c>
      <c r="L49" s="2025"/>
      <c r="M49" s="2015"/>
      <c r="N49" s="2015"/>
      <c r="O49" s="2015"/>
      <c r="P49" s="3490" t="str">
        <f>A49</f>
        <v>比较价格（元/平方米）</v>
      </c>
      <c r="Q49" s="3468"/>
      <c r="R49" s="3575">
        <f>IF(F1="售价",ROUND(PRODUCT(R48,AA7:AA47),0),ROUND(PRODUCT(R48,AA7:AA47),1))</f>
        <v>2.5</v>
      </c>
      <c r="S49" s="3575"/>
      <c r="T49" s="3575">
        <f>IF(F1="售价",ROUND(PRODUCT(T48,AB7:AB47),0),ROUND(PRODUCT(T48,AB7:AB47),1))</f>
        <v>2.4</v>
      </c>
      <c r="U49" s="3575"/>
      <c r="V49" s="3575">
        <f>IF(F1="售价",ROUND(PRODUCT(V48,AC7:AC47),0),ROUND(PRODUCT(V48,AC7:AC47),1))</f>
        <v>2.5</v>
      </c>
      <c r="W49" s="3575"/>
      <c r="X49" s="1496"/>
      <c r="Y49" s="1496"/>
      <c r="Z49" s="1496"/>
      <c r="AA49" s="1496"/>
      <c r="AB49" s="1496"/>
      <c r="AC49" s="1496"/>
    </row>
    <row r="50" spans="1:29" ht="15.75" thickBot="1">
      <c r="A50" s="613" t="s">
        <v>3340</v>
      </c>
      <c r="B50" s="614"/>
      <c r="C50" s="2477">
        <f>R50</f>
        <v>2.5</v>
      </c>
      <c r="D50" s="2477"/>
      <c r="E50" s="2477"/>
      <c r="F50" s="2477"/>
      <c r="G50" s="2477"/>
      <c r="H50" s="2477"/>
      <c r="I50" s="2477"/>
      <c r="J50" s="2477"/>
      <c r="K50" s="1541"/>
      <c r="L50" s="2025"/>
      <c r="M50" s="2015"/>
      <c r="N50" s="2015"/>
      <c r="O50" s="2015"/>
      <c r="P50" s="3586" t="str">
        <f>A50</f>
        <v>估价对象办公用房的比较价格（楼面单价，元/平方米）</v>
      </c>
      <c r="Q50" s="3490"/>
      <c r="R50" s="3574">
        <f>IF(F1="售价",ROUND(IF(D49="简单平均",AVERAGE(R49:V49),R49*F49+T49*H49+V49*J49),0),ROUND(IF(D49="简单平均",AVERAGE(R49:V49),R49*F49+T49*H49+V49*J49),1))</f>
        <v>2.5</v>
      </c>
      <c r="S50" s="3574"/>
      <c r="T50" s="3574"/>
      <c r="U50" s="3574"/>
      <c r="V50" s="3574"/>
      <c r="W50" s="3574"/>
      <c r="X50" s="1496"/>
      <c r="Y50" s="1496"/>
      <c r="Z50" s="1496"/>
      <c r="AA50" s="1496"/>
      <c r="AB50" s="1496"/>
      <c r="AC50" s="1496"/>
    </row>
    <row r="51" spans="1:29">
      <c r="A51" s="3211"/>
      <c r="B51" s="3211"/>
      <c r="C51" s="3211"/>
      <c r="D51" s="3211"/>
      <c r="E51" s="3211"/>
      <c r="F51" s="3211"/>
      <c r="G51" s="3213"/>
      <c r="H51" s="3211"/>
      <c r="I51" s="3211"/>
      <c r="J51" s="3211"/>
      <c r="K51" s="3214"/>
      <c r="L51" s="2030"/>
      <c r="M51" s="2026"/>
      <c r="N51" s="2026"/>
      <c r="O51" s="2026"/>
      <c r="P51" s="2087"/>
      <c r="Q51" s="2026"/>
      <c r="R51" s="2026"/>
      <c r="S51" s="2026"/>
      <c r="T51" s="2026"/>
      <c r="U51" s="2026"/>
      <c r="V51" s="2026"/>
      <c r="W51" s="2026"/>
      <c r="X51" s="2026"/>
      <c r="Y51" s="2026"/>
      <c r="Z51" s="2026"/>
      <c r="AA51" s="2026"/>
      <c r="AB51" s="2026"/>
      <c r="AC51" s="2026"/>
    </row>
    <row r="52" spans="1:29">
      <c r="A52" s="3211"/>
      <c r="B52" s="3211"/>
      <c r="C52" s="3211"/>
      <c r="D52" s="3211"/>
      <c r="E52" s="3211"/>
      <c r="F52" s="3211"/>
      <c r="G52" s="3211"/>
      <c r="H52" s="3211"/>
      <c r="I52" s="3211"/>
      <c r="J52" s="3211"/>
      <c r="K52" s="3214"/>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1"/>
      <c r="B53" s="3211"/>
      <c r="C53" s="616" t="s">
        <v>551</v>
      </c>
      <c r="D53" s="617"/>
      <c r="E53" s="618">
        <f>IF(E48&lt;E49,E49/E48-1,E48/E49-1)</f>
        <v>8.6956521739130599E-2</v>
      </c>
      <c r="F53" s="619" t="str">
        <f>IF(OR(E53&gt;=0.3,E53&lt;=-0.3),"超过30%","")</f>
        <v/>
      </c>
      <c r="G53" s="618">
        <f>IF(G48&lt;G49,G49/G48-1,G48/G49-1)</f>
        <v>9.0909090909090828E-2</v>
      </c>
      <c r="H53" s="619" t="str">
        <f>IF(OR(G53&gt;=0.3,G53&lt;=-0.3),"超过30%","")</f>
        <v/>
      </c>
      <c r="I53" s="618">
        <f>IF(I48&lt;I49,I49/I48-1,I48/I49-1)</f>
        <v>8.6956521739130599E-2</v>
      </c>
      <c r="J53" s="619" t="str">
        <f>IF(OR(I53&gt;=0.3,I53&lt;=-0.3),"超过30%","")</f>
        <v/>
      </c>
      <c r="K53" s="3214"/>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1"/>
      <c r="B54" s="3211"/>
      <c r="C54" s="616" t="s">
        <v>552</v>
      </c>
      <c r="D54" s="620"/>
      <c r="E54" s="618">
        <f>IF(E49&lt;G49,G49/E49-1,E49/G49-1)</f>
        <v>4.1666666666666741E-2</v>
      </c>
      <c r="F54" s="619" t="str">
        <f>IF(OR(E54&gt;=0.2,E54&lt;=-0.2),"超过20%","")</f>
        <v/>
      </c>
      <c r="G54" s="618">
        <f>IF(G49&lt;I49,I49/G49-1,G49/I49-1)</f>
        <v>4.1666666666666741E-2</v>
      </c>
      <c r="H54" s="619" t="str">
        <f>IF(OR(G54&gt;=0.2,G54&lt;=-0.2),"超过20%","")</f>
        <v/>
      </c>
      <c r="I54" s="618">
        <f>IF(I49&lt;E49,E49/I49-1,I49/E49-1)</f>
        <v>0</v>
      </c>
      <c r="J54" s="619" t="str">
        <f>IF(OR(I54&gt;=0.2,I54&lt;=-0.2),"超过20%","")</f>
        <v/>
      </c>
      <c r="K54" s="3214"/>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2"/>
      <c r="B55" s="3212"/>
      <c r="C55" s="616" t="s">
        <v>553</v>
      </c>
      <c r="D55" s="620"/>
      <c r="E55" s="618">
        <f>IF(E48&lt;G48,G48/E48-1,E48/G48-1)</f>
        <v>4.5454545454545192E-2</v>
      </c>
      <c r="F55" s="619" t="str">
        <f>IF(OR(E55&gt;=0.3,E55&lt;=-0.3),"超过30%","")</f>
        <v/>
      </c>
      <c r="G55" s="618">
        <f>IF(G48&lt;I48,I48/G48-1,G48/I48-1)</f>
        <v>4.5454545454545192E-2</v>
      </c>
      <c r="H55" s="619" t="str">
        <f>IF(OR(G55&gt;=0.3,G55&lt;=-0.3),"超过30%","")</f>
        <v/>
      </c>
      <c r="I55" s="618">
        <f>IF(I48&lt;E48,E48/I48-1,I48/E48-1)</f>
        <v>0</v>
      </c>
      <c r="J55" s="619" t="str">
        <f>IF(OR(I55&gt;=0.3,I55&lt;=-0.3),"超过30%","")</f>
        <v/>
      </c>
      <c r="K55" s="3215"/>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5">
      <c r="A59" s="637" t="s">
        <v>523</v>
      </c>
      <c r="B59" s="638"/>
      <c r="C59" s="2518" t="str">
        <f>YEAR(C7)&amp;"-"&amp;MONTH(C7)</f>
        <v>2020-10</v>
      </c>
      <c r="D59" s="2520">
        <f>EDATE(C59,-1)</f>
        <v>44075</v>
      </c>
      <c r="E59" s="2520">
        <f t="shared" ref="E59:O59" si="16">EDATE(D59,-1)</f>
        <v>44044</v>
      </c>
      <c r="F59" s="2520">
        <f t="shared" si="16"/>
        <v>44013</v>
      </c>
      <c r="G59" s="2520">
        <f t="shared" si="16"/>
        <v>43983</v>
      </c>
      <c r="H59" s="2520">
        <f t="shared" si="16"/>
        <v>43952</v>
      </c>
      <c r="I59" s="2520">
        <f t="shared" si="16"/>
        <v>43922</v>
      </c>
      <c r="J59" s="2520">
        <f t="shared" si="16"/>
        <v>43891</v>
      </c>
      <c r="K59" s="2520">
        <f t="shared" si="16"/>
        <v>43862</v>
      </c>
      <c r="L59" s="2520">
        <f t="shared" si="16"/>
        <v>43831</v>
      </c>
      <c r="M59" s="2520">
        <f t="shared" si="16"/>
        <v>43800</v>
      </c>
      <c r="N59" s="2520">
        <f t="shared" si="16"/>
        <v>43770</v>
      </c>
      <c r="O59" s="2520">
        <f t="shared" si="16"/>
        <v>43739</v>
      </c>
      <c r="P59" s="2090"/>
      <c r="Q59" s="2041"/>
      <c r="R59" s="2041"/>
      <c r="S59" s="2041"/>
      <c r="T59" s="2041"/>
      <c r="U59" s="2041"/>
      <c r="V59" s="2041"/>
      <c r="W59" s="2041"/>
      <c r="X59" s="2041"/>
      <c r="Y59" s="2041"/>
      <c r="Z59" s="2041"/>
      <c r="AA59" s="2041"/>
      <c r="AB59" s="2041"/>
      <c r="AC59" s="2041"/>
    </row>
    <row r="60" spans="1:29" s="1202" customFormat="1" ht="15">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7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5">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1"/>
      <c r="B63" s="640"/>
      <c r="C63" s="878">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c r="A64" s="656" t="s">
        <v>571</v>
      </c>
      <c r="B64" s="657" t="s">
        <v>528</v>
      </c>
      <c r="C64" s="696" t="str">
        <f>C9</f>
        <v>商务办公</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5.75"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75" thickTop="1">
      <c r="A68" s="661"/>
      <c r="B68" s="673" t="s">
        <v>532</v>
      </c>
      <c r="C68" s="674" t="str">
        <f>C69&amp;"（含）"&amp;"-"&amp;D69</f>
        <v>1（含）-3</v>
      </c>
      <c r="D68" s="674" t="str">
        <f t="shared" ref="D68:L68" si="17">D69&amp;"（含）"&amp;"-"&amp;E69</f>
        <v>3（含）-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1"/>
      <c r="B69" s="675"/>
      <c r="C69" s="535">
        <v>1</v>
      </c>
      <c r="D69" s="535">
        <v>3</v>
      </c>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5.75"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5.75" thickBot="1">
      <c r="A78" s="661"/>
      <c r="B78" s="670"/>
      <c r="C78" s="671">
        <v>100</v>
      </c>
      <c r="D78" s="671">
        <f>C78-$K15</f>
        <v>97</v>
      </c>
      <c r="E78" s="671">
        <f>D78-$K15</f>
        <v>94</v>
      </c>
      <c r="F78" s="671">
        <f>E78-$K15</f>
        <v>91</v>
      </c>
      <c r="G78" s="671">
        <f>F78-$K15</f>
        <v>88</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7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5.75" thickBot="1">
      <c r="A80" s="661"/>
      <c r="B80" s="670"/>
      <c r="C80" s="671">
        <v>100</v>
      </c>
      <c r="D80" s="671">
        <f>C80-$K17</f>
        <v>97</v>
      </c>
      <c r="E80" s="671">
        <f>D80-$K17</f>
        <v>94</v>
      </c>
      <c r="F80" s="671">
        <f>E80-$K17</f>
        <v>91</v>
      </c>
      <c r="G80" s="671">
        <f>F80-$K17</f>
        <v>88</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7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5.75" thickBot="1">
      <c r="A82" s="661"/>
      <c r="B82" s="670"/>
      <c r="C82" s="671">
        <v>100</v>
      </c>
      <c r="D82" s="671">
        <f>C82-$K19</f>
        <v>97</v>
      </c>
      <c r="E82" s="671">
        <f>D82-$K19</f>
        <v>94</v>
      </c>
      <c r="F82" s="671">
        <f>E82-$K19</f>
        <v>91</v>
      </c>
      <c r="G82" s="671">
        <f>F82-$K19</f>
        <v>88</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75" thickTop="1">
      <c r="A83" s="661"/>
      <c r="B83" s="2440" t="s">
        <v>2539</v>
      </c>
      <c r="C83" s="2441" t="s">
        <v>2540</v>
      </c>
      <c r="D83" s="2441" t="s">
        <v>2541</v>
      </c>
      <c r="E83" s="2441" t="s">
        <v>2542</v>
      </c>
      <c r="F83" s="2441" t="s">
        <v>2543</v>
      </c>
      <c r="G83" s="2441" t="s">
        <v>2544</v>
      </c>
      <c r="H83" s="666"/>
      <c r="I83" s="666"/>
      <c r="J83" s="666"/>
      <c r="K83" s="666"/>
      <c r="L83" s="666"/>
      <c r="M83" s="2444"/>
      <c r="N83" s="2046"/>
      <c r="O83" s="2046"/>
      <c r="P83" s="2093"/>
      <c r="Q83" s="2038"/>
      <c r="R83" s="2026"/>
      <c r="S83" s="2026"/>
      <c r="T83" s="2026"/>
      <c r="U83" s="2026"/>
      <c r="V83" s="2026"/>
      <c r="W83" s="2026"/>
      <c r="X83" s="2026"/>
      <c r="Y83" s="2026"/>
      <c r="Z83" s="2026"/>
      <c r="AA83" s="2026"/>
      <c r="AB83" s="2026"/>
      <c r="AC83" s="2026"/>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6"/>
      <c r="O84" s="2046"/>
      <c r="P84" s="2093"/>
      <c r="Q84" s="2038"/>
      <c r="R84" s="2026"/>
      <c r="S84" s="2026"/>
      <c r="T84" s="2026"/>
      <c r="U84" s="2026"/>
      <c r="V84" s="2026"/>
      <c r="W84" s="2026"/>
      <c r="X84" s="2026"/>
      <c r="Y84" s="2026"/>
      <c r="Z84" s="2026"/>
      <c r="AA84" s="2026"/>
      <c r="AB84" s="2026"/>
      <c r="AC84" s="2026"/>
    </row>
    <row r="85" spans="1:29" ht="15.7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5.75" thickBot="1">
      <c r="A86" s="661"/>
      <c r="B86" s="670"/>
      <c r="C86" s="671">
        <v>100</v>
      </c>
      <c r="D86" s="671">
        <f>C86-$K23</f>
        <v>97</v>
      </c>
      <c r="E86" s="671">
        <f>D86-$K23</f>
        <v>94</v>
      </c>
      <c r="F86" s="671">
        <f>E86-$K23</f>
        <v>91</v>
      </c>
      <c r="G86" s="671">
        <f>F86-$K23</f>
        <v>88</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1"/>
      <c r="B87" s="665" t="s">
        <v>779</v>
      </c>
      <c r="C87" s="680"/>
      <c r="D87" s="680"/>
      <c r="E87" s="680"/>
      <c r="F87" s="680"/>
      <c r="G87" s="680"/>
      <c r="H87" s="680"/>
      <c r="I87" s="680"/>
      <c r="J87" s="680"/>
      <c r="K87" s="680"/>
      <c r="L87" s="879"/>
      <c r="M87" s="880"/>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1"/>
      <c r="B89" s="665" t="str">
        <f>B27</f>
        <v>楼层</v>
      </c>
      <c r="C89" s="680"/>
      <c r="D89" s="680"/>
      <c r="E89" s="680"/>
      <c r="F89" s="881"/>
      <c r="G89" s="680"/>
      <c r="H89" s="680"/>
      <c r="I89" s="680"/>
      <c r="J89" s="680"/>
      <c r="K89" s="680"/>
      <c r="L89" s="680"/>
      <c r="M89" s="880"/>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1"/>
      <c r="B93" s="665">
        <f>B29</f>
        <v>111</v>
      </c>
      <c r="C93" s="680"/>
      <c r="D93" s="680"/>
      <c r="E93" s="680"/>
      <c r="F93" s="680"/>
      <c r="G93" s="680"/>
      <c r="H93" s="680"/>
      <c r="I93" s="680"/>
      <c r="J93" s="680"/>
      <c r="K93" s="680"/>
      <c r="L93" s="879"/>
      <c r="M93" s="880"/>
      <c r="N93" s="2044"/>
      <c r="O93" s="2044"/>
      <c r="P93" s="2093"/>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5.75"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5.75"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5.75"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5.75"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5.75"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5.75" thickBot="1">
      <c r="A100" s="882"/>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c r="A101" s="656" t="s">
        <v>545</v>
      </c>
      <c r="B101" s="657" t="s">
        <v>741</v>
      </c>
      <c r="C101" s="3323" t="s">
        <v>3330</v>
      </c>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1"/>
      <c r="B103" s="665" t="s">
        <v>742</v>
      </c>
      <c r="C103" s="700" t="str">
        <f>C104&amp;"(含)"&amp;"-"&amp;D104</f>
        <v>1(含)-10000</v>
      </c>
      <c r="D103" s="700" t="str">
        <f t="shared" ref="D103:L103" si="23">D104&amp;"(含)"&amp;"-"&amp;E104</f>
        <v>10000(含)-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v>1</v>
      </c>
      <c r="D104" s="722">
        <v>10000</v>
      </c>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9"/>
      <c r="B105" s="670"/>
      <c r="C105" s="684">
        <v>100</v>
      </c>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3324" t="s">
        <v>3332</v>
      </c>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3324" t="s">
        <v>3333</v>
      </c>
      <c r="D108" s="3324" t="s">
        <v>3334</v>
      </c>
      <c r="E108" s="3324" t="s">
        <v>3414</v>
      </c>
      <c r="F108" s="3325" t="s">
        <v>3415</v>
      </c>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5.75" thickBot="1">
      <c r="A109" s="661"/>
      <c r="B109" s="670"/>
      <c r="C109" s="671">
        <v>100</v>
      </c>
      <c r="D109" s="671">
        <f t="shared" ref="D109:M109" si="25">C109-$K36</f>
        <v>95</v>
      </c>
      <c r="E109" s="671">
        <f t="shared" si="25"/>
        <v>90</v>
      </c>
      <c r="F109" s="671">
        <f t="shared" si="25"/>
        <v>85</v>
      </c>
      <c r="G109" s="671">
        <f t="shared" si="25"/>
        <v>80</v>
      </c>
      <c r="H109" s="671">
        <f t="shared" si="25"/>
        <v>75</v>
      </c>
      <c r="I109" s="671">
        <f t="shared" si="25"/>
        <v>70</v>
      </c>
      <c r="J109" s="671">
        <f t="shared" si="25"/>
        <v>65</v>
      </c>
      <c r="K109" s="671">
        <f t="shared" si="25"/>
        <v>60</v>
      </c>
      <c r="L109" s="671">
        <f t="shared" si="25"/>
        <v>55</v>
      </c>
      <c r="M109" s="672">
        <f t="shared" si="25"/>
        <v>50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3">
        <v>0.5</v>
      </c>
      <c r="D111" s="883">
        <v>0.6</v>
      </c>
      <c r="E111" s="883">
        <v>0.7</v>
      </c>
      <c r="F111" s="883">
        <v>0.8</v>
      </c>
      <c r="G111" s="883">
        <v>0.9</v>
      </c>
      <c r="H111" s="883">
        <v>1.0001</v>
      </c>
      <c r="I111" s="894"/>
      <c r="J111" s="894"/>
      <c r="K111" s="895"/>
      <c r="L111" s="896"/>
      <c r="M111" s="897"/>
      <c r="N111" s="2044"/>
      <c r="O111" s="2044"/>
      <c r="P111" s="2093"/>
      <c r="Q111" s="2038"/>
      <c r="R111" s="2026"/>
      <c r="S111" s="2026"/>
      <c r="T111" s="2026"/>
      <c r="U111" s="2026"/>
      <c r="V111" s="2026"/>
      <c r="W111" s="2026"/>
      <c r="X111" s="2026"/>
      <c r="Y111" s="2026"/>
      <c r="Z111" s="2026"/>
      <c r="AA111" s="2026"/>
      <c r="AB111" s="2026"/>
      <c r="AC111" s="2026"/>
    </row>
    <row r="112" spans="1:29" ht="15.75" thickBot="1">
      <c r="A112" s="661"/>
      <c r="B112" s="670"/>
      <c r="C112" s="704">
        <v>100</v>
      </c>
      <c r="D112" s="671">
        <f>C112+$K37</f>
        <v>102</v>
      </c>
      <c r="E112" s="671">
        <f t="shared" ref="E112:M112" si="26">D112+$K37</f>
        <v>104</v>
      </c>
      <c r="F112" s="671">
        <f t="shared" si="26"/>
        <v>106</v>
      </c>
      <c r="G112" s="671">
        <f t="shared" si="26"/>
        <v>108</v>
      </c>
      <c r="H112" s="671">
        <f t="shared" si="26"/>
        <v>110</v>
      </c>
      <c r="I112" s="671">
        <f t="shared" si="26"/>
        <v>112</v>
      </c>
      <c r="J112" s="671">
        <f t="shared" si="26"/>
        <v>114</v>
      </c>
      <c r="K112" s="671">
        <f t="shared" si="26"/>
        <v>116</v>
      </c>
      <c r="L112" s="671">
        <f t="shared" si="26"/>
        <v>118</v>
      </c>
      <c r="M112" s="671">
        <f t="shared" si="26"/>
        <v>120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6" t="s">
        <v>781</v>
      </c>
      <c r="C119" s="3325" t="s">
        <v>3339</v>
      </c>
      <c r="D119" s="710"/>
      <c r="E119" s="710"/>
      <c r="F119" s="710"/>
      <c r="G119" s="710"/>
      <c r="H119" s="710"/>
      <c r="I119" s="710"/>
      <c r="J119" s="710"/>
      <c r="K119" s="710"/>
      <c r="L119" s="907"/>
      <c r="M119" s="908"/>
      <c r="N119" s="2046"/>
      <c r="O119" s="2046"/>
      <c r="P119" s="2098"/>
      <c r="Q119" s="2086"/>
      <c r="R119" s="2026"/>
      <c r="S119" s="2026"/>
      <c r="T119" s="2026"/>
      <c r="U119" s="2026"/>
      <c r="V119" s="2026"/>
      <c r="W119" s="2026"/>
      <c r="X119" s="2026"/>
      <c r="Y119" s="2026"/>
      <c r="Z119" s="2026"/>
      <c r="AA119" s="2026"/>
      <c r="AB119" s="2026"/>
      <c r="AC119" s="2026"/>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3324" t="s">
        <v>3333</v>
      </c>
      <c r="D123" s="3324" t="s">
        <v>3337</v>
      </c>
      <c r="E123" s="3324" t="s">
        <v>3416</v>
      </c>
      <c r="F123" s="3325" t="s">
        <v>3415</v>
      </c>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5.75" thickBot="1">
      <c r="A124" s="661"/>
      <c r="B124" s="670"/>
      <c r="C124" s="671">
        <v>100</v>
      </c>
      <c r="D124" s="671">
        <f t="shared" ref="D124:M124" si="30">C124-$K43</f>
        <v>98</v>
      </c>
      <c r="E124" s="671">
        <f t="shared" si="30"/>
        <v>96</v>
      </c>
      <c r="F124" s="671">
        <f t="shared" si="30"/>
        <v>94</v>
      </c>
      <c r="G124" s="671">
        <f t="shared" si="30"/>
        <v>92</v>
      </c>
      <c r="H124" s="671">
        <f t="shared" si="30"/>
        <v>90</v>
      </c>
      <c r="I124" s="671">
        <f t="shared" si="30"/>
        <v>88</v>
      </c>
      <c r="J124" s="671">
        <f t="shared" si="30"/>
        <v>86</v>
      </c>
      <c r="K124" s="671">
        <f t="shared" si="30"/>
        <v>84</v>
      </c>
      <c r="L124" s="671">
        <f t="shared" si="30"/>
        <v>82</v>
      </c>
      <c r="M124" s="672">
        <f t="shared" si="30"/>
        <v>80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20"/>
      <c r="B127" s="665" t="str">
        <f>B45</f>
        <v>规划实施优先程度</v>
      </c>
      <c r="C127" s="3324" t="s">
        <v>3335</v>
      </c>
      <c r="D127" s="3324" t="s">
        <v>3336</v>
      </c>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9"/>
      <c r="B128" s="670"/>
      <c r="C128" s="684">
        <v>100</v>
      </c>
      <c r="D128" s="663">
        <v>105</v>
      </c>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5" thickTop="1">
      <c r="A129" s="727"/>
      <c r="B129" s="665" t="str">
        <f>B46</f>
        <v>设备设施</v>
      </c>
      <c r="C129" s="3324" t="s">
        <v>3389</v>
      </c>
      <c r="D129" s="3324" t="s">
        <v>3390</v>
      </c>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5.75" thickBot="1">
      <c r="A130" s="661"/>
      <c r="B130" s="670"/>
      <c r="C130" s="684">
        <v>100</v>
      </c>
      <c r="D130" s="684">
        <v>98</v>
      </c>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5"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5.75" thickBot="1">
      <c r="A132" s="882"/>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85" priority="20" stopIfTrue="1" operator="containsText" text="超过">
      <formula>NOT(ISERROR(SEARCH("超过",F53)))</formula>
    </cfRule>
  </conditionalFormatting>
  <conditionalFormatting sqref="H55">
    <cfRule type="containsText" dxfId="84" priority="19" stopIfTrue="1" operator="containsText" text="超过">
      <formula>NOT(ISERROR(SEARCH("超过",H55)))</formula>
    </cfRule>
  </conditionalFormatting>
  <conditionalFormatting sqref="F55">
    <cfRule type="containsText" dxfId="83" priority="18" stopIfTrue="1" operator="containsText" text="超过">
      <formula>NOT(ISERROR(SEARCH("超过",F55)))</formula>
    </cfRule>
  </conditionalFormatting>
  <conditionalFormatting sqref="F54 H54">
    <cfRule type="containsText" dxfId="82" priority="17" stopIfTrue="1" operator="containsText" text="超过">
      <formula>NOT(ISERROR(SEARCH("超过",F54)))</formula>
    </cfRule>
  </conditionalFormatting>
  <conditionalFormatting sqref="E53">
    <cfRule type="expression" dxfId="81" priority="16" stopIfTrue="1">
      <formula>$F$53="超过30%"</formula>
    </cfRule>
  </conditionalFormatting>
  <conditionalFormatting sqref="E54">
    <cfRule type="expression" dxfId="80" priority="15" stopIfTrue="1">
      <formula>$F$54="超过20%"</formula>
    </cfRule>
  </conditionalFormatting>
  <conditionalFormatting sqref="E55">
    <cfRule type="expression" dxfId="79" priority="14" stopIfTrue="1">
      <formula>$F$55="超过30%"</formula>
    </cfRule>
  </conditionalFormatting>
  <conditionalFormatting sqref="G55">
    <cfRule type="expression" dxfId="78" priority="13" stopIfTrue="1">
      <formula>$H$55="超过30%"</formula>
    </cfRule>
  </conditionalFormatting>
  <conditionalFormatting sqref="G53">
    <cfRule type="expression" dxfId="77" priority="12" stopIfTrue="1">
      <formula>$H$53="超过30%"</formula>
    </cfRule>
  </conditionalFormatting>
  <conditionalFormatting sqref="G54">
    <cfRule type="expression" dxfId="76" priority="11" stopIfTrue="1">
      <formula>$H$54="超过20%"</formula>
    </cfRule>
  </conditionalFormatting>
  <conditionalFormatting sqref="J53">
    <cfRule type="containsText" dxfId="75" priority="10" stopIfTrue="1" operator="containsText" text="超过">
      <formula>NOT(ISERROR(SEARCH("超过",J53)))</formula>
    </cfRule>
  </conditionalFormatting>
  <conditionalFormatting sqref="J55">
    <cfRule type="containsText" dxfId="74" priority="9" stopIfTrue="1" operator="containsText" text="超过">
      <formula>NOT(ISERROR(SEARCH("超过",J55)))</formula>
    </cfRule>
  </conditionalFormatting>
  <conditionalFormatting sqref="J54">
    <cfRule type="containsText" dxfId="73" priority="8" stopIfTrue="1" operator="containsText" text="超过">
      <formula>NOT(ISERROR(SEARCH("超过",J54)))</formula>
    </cfRule>
  </conditionalFormatting>
  <conditionalFormatting sqref="I53">
    <cfRule type="expression" dxfId="72" priority="7" stopIfTrue="1">
      <formula>$J$53="超过30%"</formula>
    </cfRule>
  </conditionalFormatting>
  <conditionalFormatting sqref="I54">
    <cfRule type="expression" dxfId="71" priority="6" stopIfTrue="1">
      <formula>$J$53+$J$54="超过20%"</formula>
    </cfRule>
  </conditionalFormatting>
  <conditionalFormatting sqref="I55">
    <cfRule type="expression" dxfId="70" priority="5" stopIfTrue="1">
      <formula>$J$55="超过30%"</formula>
    </cfRule>
  </conditionalFormatting>
  <conditionalFormatting sqref="F49">
    <cfRule type="expression" dxfId="69" priority="4">
      <formula>$D$49="简单平均"</formula>
    </cfRule>
  </conditionalFormatting>
  <conditionalFormatting sqref="H49">
    <cfRule type="expression" dxfId="68" priority="3">
      <formula>$D$49="简单平均"</formula>
    </cfRule>
  </conditionalFormatting>
  <conditionalFormatting sqref="J49">
    <cfRule type="expression" dxfId="67" priority="2">
      <formula>$D$49="简单平均"</formula>
    </cfRule>
  </conditionalFormatting>
  <conditionalFormatting sqref="F7:F47 H7:H47 J7:J47">
    <cfRule type="cellIs" dxfId="66"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受贵公司委托，我公司对河北省出让国有建设用地使用权市场价格进行了预评估。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北省出让国有建设用地使用权。根据《国有土地使用证》[]，估价对象（分摊）出让国有建设用地使用权面积为160409平方米。根据《建设工程规划许可证》[]、《出让合同》[]，估价对象规划建筑面积为278949平方米。</v>
      </c>
    </row>
    <row r="7" spans="1:4" ht="93.75">
      <c r="A7" s="2589" t="s">
        <v>2728</v>
      </c>
    </row>
    <row r="8" spans="1:4" ht="18.75">
      <c r="A8" s="1708" t="s">
        <v>1896</v>
      </c>
    </row>
    <row r="9" spans="1:4" ht="37.5">
      <c r="A9" s="17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1" t="s">
        <v>2014</v>
      </c>
    </row>
    <row r="11" spans="1:4" ht="18.75">
      <c r="A11" s="1694" t="str">
        <f>TEXT(项目基本情况!D3,"yyyy年m月d日;;")&amp;IF(项目基本情况!B3=项目基本情况!D3,"（评估专业人员勘察现场之日）","")</f>
        <v>2020年10月21日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根据《国有土地使用证》[]，估价对象（分摊）出让国有建设用地使用权面积为160409平方米。根据《建设工程规划许可证》[]、《出让合同》[]，估价对象规划建筑面积为278949平方米。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2729</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row>
    <row r="26" spans="1:1" ht="9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497" t="s">
        <v>782</v>
      </c>
      <c r="C1" s="498" t="s">
        <v>714</v>
      </c>
      <c r="D1" s="838"/>
      <c r="E1" s="500"/>
      <c r="F1" s="2523"/>
      <c r="G1" s="1531" t="s">
        <v>715</v>
      </c>
      <c r="H1" s="500"/>
      <c r="I1" s="500"/>
      <c r="J1" s="500"/>
      <c r="K1" s="501"/>
      <c r="L1" s="3207"/>
      <c r="M1" s="3208"/>
      <c r="N1" s="3208"/>
      <c r="O1" s="3208"/>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515</v>
      </c>
      <c r="B4" s="507"/>
      <c r="C4" s="3474" t="s">
        <v>516</v>
      </c>
      <c r="D4" s="3475"/>
      <c r="E4" s="3499" t="s">
        <v>517</v>
      </c>
      <c r="F4" s="3500"/>
      <c r="G4" s="3474" t="s">
        <v>518</v>
      </c>
      <c r="H4" s="3475"/>
      <c r="I4" s="3474" t="s">
        <v>519</v>
      </c>
      <c r="J4" s="3475"/>
      <c r="K4" s="508" t="s">
        <v>520</v>
      </c>
      <c r="L4" s="2014"/>
      <c r="M4" s="2015"/>
      <c r="N4" s="2015"/>
      <c r="O4" s="2015"/>
      <c r="P4" s="3476" t="s">
        <v>521</v>
      </c>
      <c r="Q4" s="3477"/>
      <c r="R4" s="3461" t="s">
        <v>517</v>
      </c>
      <c r="S4" s="3462"/>
      <c r="T4" s="3461" t="s">
        <v>518</v>
      </c>
      <c r="U4" s="3462"/>
      <c r="V4" s="3482" t="s">
        <v>519</v>
      </c>
      <c r="W4" s="3482"/>
      <c r="X4" s="1501"/>
      <c r="Y4" s="3461" t="s">
        <v>521</v>
      </c>
      <c r="Z4" s="3462"/>
      <c r="AA4" s="3456" t="s">
        <v>517</v>
      </c>
      <c r="AB4" s="3457" t="s">
        <v>518</v>
      </c>
      <c r="AC4" s="3456" t="s">
        <v>519</v>
      </c>
    </row>
    <row r="5" spans="1:29" ht="15">
      <c r="A5" s="509"/>
      <c r="B5" s="510"/>
      <c r="C5" s="3485" t="s">
        <v>2893</v>
      </c>
      <c r="D5" s="3486"/>
      <c r="E5" s="3501" t="s">
        <v>2894</v>
      </c>
      <c r="F5" s="3502"/>
      <c r="G5" s="3485" t="s">
        <v>2895</v>
      </c>
      <c r="H5" s="3486"/>
      <c r="I5" s="3485" t="s">
        <v>2896</v>
      </c>
      <c r="J5" s="3486"/>
      <c r="K5" s="508"/>
      <c r="L5" s="2014"/>
      <c r="M5" s="2015"/>
      <c r="N5" s="2015"/>
      <c r="O5" s="2015"/>
      <c r="P5" s="3478"/>
      <c r="Q5" s="3479"/>
      <c r="R5" s="3463"/>
      <c r="S5" s="3464"/>
      <c r="T5" s="3463"/>
      <c r="U5" s="3464"/>
      <c r="V5" s="3482"/>
      <c r="W5" s="3482"/>
      <c r="X5" s="1501"/>
      <c r="Y5" s="3463"/>
      <c r="Z5" s="3464"/>
      <c r="AA5" s="3457"/>
      <c r="AB5" s="3457"/>
      <c r="AC5" s="3457"/>
    </row>
    <row r="6" spans="1:29" ht="15.75" thickBot="1">
      <c r="A6" s="511"/>
      <c r="B6" s="512"/>
      <c r="C6" s="3483" t="s">
        <v>2897</v>
      </c>
      <c r="D6" s="3484"/>
      <c r="E6" s="3503" t="s">
        <v>2897</v>
      </c>
      <c r="F6" s="3504"/>
      <c r="G6" s="3483" t="s">
        <v>2897</v>
      </c>
      <c r="H6" s="3484"/>
      <c r="I6" s="3483" t="s">
        <v>2897</v>
      </c>
      <c r="J6" s="3484"/>
      <c r="K6" s="508" t="s">
        <v>522</v>
      </c>
      <c r="L6" s="2014"/>
      <c r="M6" s="2015"/>
      <c r="N6" s="2015"/>
      <c r="O6" s="2015"/>
      <c r="P6" s="3480"/>
      <c r="Q6" s="3481"/>
      <c r="R6" s="3463"/>
      <c r="S6" s="3464"/>
      <c r="T6" s="3466"/>
      <c r="U6" s="3467"/>
      <c r="V6" s="3482"/>
      <c r="W6" s="3482"/>
      <c r="X6" s="1501"/>
      <c r="Y6" s="3466"/>
      <c r="Z6" s="3467"/>
      <c r="AA6" s="3458"/>
      <c r="AB6" s="3458"/>
      <c r="AC6" s="3458"/>
    </row>
    <row r="7" spans="1:29" s="1202" customFormat="1" ht="15.75" thickBot="1">
      <c r="A7" s="2628"/>
      <c r="B7" s="2635" t="s">
        <v>523</v>
      </c>
      <c r="C7" s="513">
        <f>'数据-取费表'!B2</f>
        <v>44125</v>
      </c>
      <c r="D7" s="514">
        <v>100</v>
      </c>
      <c r="E7" s="515"/>
      <c r="F7" s="516">
        <f>SUMIF(52:52,YEAR(E7)&amp;"-"&amp;MONTH(E7),53:53)</f>
        <v>0</v>
      </c>
      <c r="G7" s="515"/>
      <c r="H7" s="514">
        <f>SUMIF(52:52,YEAR(G7)&amp;"-"&amp;MONTH(G7),53:53)</f>
        <v>0</v>
      </c>
      <c r="I7" s="515"/>
      <c r="J7" s="514">
        <f>SUMIF(52:52,YEAR(I7)&amp;"-"&amp;MONTH(I7),53:53)</f>
        <v>0</v>
      </c>
      <c r="K7" s="518"/>
      <c r="L7" s="2016"/>
      <c r="M7" s="2017"/>
      <c r="N7" s="2017"/>
      <c r="O7" s="2017"/>
      <c r="P7" s="3459" t="s">
        <v>524</v>
      </c>
      <c r="Q7" s="3469"/>
      <c r="R7" s="1502" t="s">
        <v>8</v>
      </c>
      <c r="S7" s="1503">
        <f t="shared" ref="S7:S15" si="0">F7</f>
        <v>0</v>
      </c>
      <c r="T7" s="1502" t="s">
        <v>8</v>
      </c>
      <c r="U7" s="1503">
        <f t="shared" ref="U7:U15" si="1">H7</f>
        <v>0</v>
      </c>
      <c r="V7" s="1502" t="s">
        <v>8</v>
      </c>
      <c r="W7" s="1503">
        <f t="shared" ref="W7:W15" si="2">J7</f>
        <v>0</v>
      </c>
      <c r="X7" s="1504"/>
      <c r="Y7" s="3459" t="s">
        <v>524</v>
      </c>
      <c r="Z7" s="3460"/>
      <c r="AA7" s="1505" t="e">
        <f>D7/F7</f>
        <v>#DIV/0!</v>
      </c>
      <c r="AB7" s="1505" t="e">
        <f>D7/H7</f>
        <v>#DIV/0!</v>
      </c>
      <c r="AC7" s="1505" t="e">
        <f>D7/J7</f>
        <v>#DIV/0!</v>
      </c>
    </row>
    <row r="8" spans="1:29" s="1202" customFormat="1" ht="15.75" thickBot="1">
      <c r="A8" s="2629"/>
      <c r="B8" s="2636"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459" t="s">
        <v>527</v>
      </c>
      <c r="Q8" s="3460"/>
      <c r="R8" s="1502" t="s">
        <v>8</v>
      </c>
      <c r="S8" s="1503">
        <f t="shared" si="0"/>
        <v>0</v>
      </c>
      <c r="T8" s="1502" t="s">
        <v>8</v>
      </c>
      <c r="U8" s="1503">
        <f t="shared" si="1"/>
        <v>0</v>
      </c>
      <c r="V8" s="1502" t="s">
        <v>8</v>
      </c>
      <c r="W8" s="1503">
        <f t="shared" si="2"/>
        <v>0</v>
      </c>
      <c r="X8" s="1504"/>
      <c r="Y8" s="3459" t="s">
        <v>527</v>
      </c>
      <c r="Z8" s="3460"/>
      <c r="AA8" s="1505" t="e">
        <f t="shared" ref="AA8:AA40" si="3">D8/F8</f>
        <v>#DIV/0!</v>
      </c>
      <c r="AB8" s="1505" t="e">
        <f t="shared" ref="AB8:AB40" si="4">D8/H8</f>
        <v>#DIV/0!</v>
      </c>
      <c r="AC8" s="1505" t="e">
        <f t="shared" ref="AC8:AC40" si="5">D8/J8</f>
        <v>#DIV/0!</v>
      </c>
    </row>
    <row r="9" spans="1:29" s="1202" customFormat="1" ht="15">
      <c r="A9" s="2630"/>
      <c r="B9" s="2637" t="s">
        <v>2736</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468" t="s">
        <v>529</v>
      </c>
      <c r="Q9" s="1133" t="str">
        <f t="shared" ref="Q9:Q15" si="6">B9</f>
        <v>用途</v>
      </c>
      <c r="R9" s="1502" t="s">
        <v>8</v>
      </c>
      <c r="S9" s="1503">
        <f t="shared" si="0"/>
        <v>100</v>
      </c>
      <c r="T9" s="1502" t="s">
        <v>8</v>
      </c>
      <c r="U9" s="1503">
        <f t="shared" si="1"/>
        <v>100</v>
      </c>
      <c r="V9" s="1502" t="s">
        <v>8</v>
      </c>
      <c r="W9" s="1503">
        <f t="shared" si="2"/>
        <v>100</v>
      </c>
      <c r="X9" s="1504"/>
      <c r="Y9" s="3465" t="s">
        <v>530</v>
      </c>
      <c r="Z9" s="1132" t="str">
        <f t="shared" ref="Z9:Z15" si="7">Q9</f>
        <v>用途</v>
      </c>
      <c r="AA9" s="1505">
        <f t="shared" si="3"/>
        <v>1</v>
      </c>
      <c r="AB9" s="1505">
        <f t="shared" si="4"/>
        <v>1</v>
      </c>
      <c r="AC9" s="1505">
        <f t="shared" si="5"/>
        <v>1</v>
      </c>
    </row>
    <row r="10" spans="1:29" s="1291" customFormat="1" ht="27">
      <c r="A10" s="2631"/>
      <c r="B10" s="2636" t="s">
        <v>2737</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c r="A11" s="2632"/>
      <c r="B11" s="2636"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468"/>
      <c r="Q11" s="1133" t="str">
        <f t="shared" si="6"/>
        <v>容积率</v>
      </c>
      <c r="R11" s="1502" t="s">
        <v>8</v>
      </c>
      <c r="S11" s="1503" t="e">
        <f t="shared" si="0"/>
        <v>#N/A</v>
      </c>
      <c r="T11" s="1502" t="s">
        <v>8</v>
      </c>
      <c r="U11" s="1503" t="e">
        <f t="shared" si="1"/>
        <v>#N/A</v>
      </c>
      <c r="V11" s="1502" t="s">
        <v>8</v>
      </c>
      <c r="W11" s="1503" t="e">
        <f t="shared" si="2"/>
        <v>#N/A</v>
      </c>
      <c r="X11" s="1504"/>
      <c r="Y11" s="3465"/>
      <c r="Z11" s="1132" t="str">
        <f t="shared" si="7"/>
        <v>容积率</v>
      </c>
      <c r="AA11" s="1505" t="e">
        <f t="shared" si="3"/>
        <v>#N/A</v>
      </c>
      <c r="AB11" s="1505" t="e">
        <f t="shared" si="4"/>
        <v>#N/A</v>
      </c>
      <c r="AC11" s="1505" t="e">
        <f t="shared" si="5"/>
        <v>#N/A</v>
      </c>
    </row>
    <row r="12" spans="1:29" s="1202" customFormat="1" ht="15">
      <c r="A12" s="2633"/>
      <c r="B12" s="2639">
        <v>111</v>
      </c>
      <c r="C12" s="522"/>
      <c r="D12" s="532">
        <v>100</v>
      </c>
      <c r="E12" s="533"/>
      <c r="F12" s="253">
        <f>SUMIF(64:64,E12,65:65)-SUMIF(64:64,C12,65:65)+100</f>
        <v>100</v>
      </c>
      <c r="G12" s="909"/>
      <c r="H12" s="253">
        <f>SUMIF(64:64,G12,65:65)-SUMIF(64:64,C12,65:65)+100</f>
        <v>100</v>
      </c>
      <c r="I12" s="869"/>
      <c r="J12" s="253">
        <f>SUMIF(64:64,I12,65:65)-SUMIF(64:64,C12,65:65)+100</f>
        <v>100</v>
      </c>
      <c r="K12" s="575"/>
      <c r="L12" s="2016"/>
      <c r="M12" s="2017"/>
      <c r="N12" s="2017"/>
      <c r="O12" s="2018"/>
      <c r="P12" s="3468"/>
      <c r="Q12" s="1133">
        <f t="shared" si="6"/>
        <v>111</v>
      </c>
      <c r="R12" s="1502" t="s">
        <v>8</v>
      </c>
      <c r="S12" s="1503">
        <f t="shared" si="0"/>
        <v>100</v>
      </c>
      <c r="T12" s="1502" t="s">
        <v>8</v>
      </c>
      <c r="U12" s="1503">
        <f t="shared" si="1"/>
        <v>100</v>
      </c>
      <c r="V12" s="1502" t="s">
        <v>8</v>
      </c>
      <c r="W12" s="1503">
        <f t="shared" si="2"/>
        <v>100</v>
      </c>
      <c r="X12" s="1504"/>
      <c r="Y12" s="3465"/>
      <c r="Z12" s="1132">
        <f t="shared" si="7"/>
        <v>111</v>
      </c>
      <c r="AA12" s="1505">
        <f>D12/F12</f>
        <v>1</v>
      </c>
      <c r="AB12" s="1505">
        <f>D12/H12</f>
        <v>1</v>
      </c>
      <c r="AC12" s="1505">
        <f>D12/J12</f>
        <v>1</v>
      </c>
    </row>
    <row r="13" spans="1:29" ht="15">
      <c r="A13" s="2633"/>
      <c r="B13" s="2639">
        <v>111</v>
      </c>
      <c r="C13" s="533"/>
      <c r="D13" s="534">
        <v>100</v>
      </c>
      <c r="E13" s="533"/>
      <c r="F13" s="253">
        <f>SUMIF(66:66,E13,67:67)-SUMIF(66:66,C13,67:67)+100</f>
        <v>100</v>
      </c>
      <c r="G13" s="909"/>
      <c r="H13" s="534">
        <f>SUMIF(66:66,G13,67:67)-SUMIF(66:66,C13,67:67)+100</f>
        <v>100</v>
      </c>
      <c r="I13" s="869"/>
      <c r="J13" s="534">
        <f>SUMIF(66:66,I13,67:67)-SUMIF(66:66,C13,67:67)+100</f>
        <v>100</v>
      </c>
      <c r="K13" s="575"/>
      <c r="L13" s="2023"/>
      <c r="M13" s="2015"/>
      <c r="N13" s="2015"/>
      <c r="O13" s="2022"/>
      <c r="P13" s="3468"/>
      <c r="Q13" s="1133">
        <f t="shared" si="6"/>
        <v>111</v>
      </c>
      <c r="R13" s="1502" t="s">
        <v>8</v>
      </c>
      <c r="S13" s="1503">
        <f t="shared" si="0"/>
        <v>100</v>
      </c>
      <c r="T13" s="1502" t="s">
        <v>8</v>
      </c>
      <c r="U13" s="1503">
        <f t="shared" si="1"/>
        <v>100</v>
      </c>
      <c r="V13" s="1502" t="s">
        <v>8</v>
      </c>
      <c r="W13" s="1503">
        <f t="shared" si="2"/>
        <v>100</v>
      </c>
      <c r="X13" s="1504"/>
      <c r="Y13" s="3465"/>
      <c r="Z13" s="1132">
        <f t="shared" si="7"/>
        <v>111</v>
      </c>
      <c r="AA13" s="1505">
        <f t="shared" si="3"/>
        <v>1</v>
      </c>
      <c r="AB13" s="1505">
        <f t="shared" si="4"/>
        <v>1</v>
      </c>
      <c r="AC13" s="1505">
        <f t="shared" si="5"/>
        <v>1</v>
      </c>
    </row>
    <row r="14" spans="1:29" ht="15.75" thickBot="1">
      <c r="A14" s="2634"/>
      <c r="B14" s="2640">
        <v>111</v>
      </c>
      <c r="C14" s="539"/>
      <c r="D14" s="540">
        <v>100</v>
      </c>
      <c r="E14" s="539"/>
      <c r="F14" s="540">
        <f>SUMIF(68:68,E14,69:69)-SUMIF(68:68,C14,69:69)+100</f>
        <v>100</v>
      </c>
      <c r="G14" s="909"/>
      <c r="H14" s="540">
        <f>SUMIF(68:68,G14,69:69)-SUMIF(68:68,C14,69:69)+100</f>
        <v>100</v>
      </c>
      <c r="I14" s="869"/>
      <c r="J14" s="540">
        <f>SUMIF(68:68,I14,69:69)-SUMIF(68:68,C14,69:69)+100</f>
        <v>100</v>
      </c>
      <c r="K14" s="575"/>
      <c r="L14" s="2023"/>
      <c r="M14" s="2015"/>
      <c r="N14" s="2015"/>
      <c r="O14" s="2022"/>
      <c r="P14" s="3468"/>
      <c r="Q14" s="1133">
        <f t="shared" si="6"/>
        <v>111</v>
      </c>
      <c r="R14" s="1502" t="s">
        <v>8</v>
      </c>
      <c r="S14" s="1503">
        <f t="shared" si="0"/>
        <v>100</v>
      </c>
      <c r="T14" s="1502" t="s">
        <v>8</v>
      </c>
      <c r="U14" s="1503">
        <f t="shared" si="1"/>
        <v>100</v>
      </c>
      <c r="V14" s="1502" t="s">
        <v>8</v>
      </c>
      <c r="W14" s="1503">
        <f t="shared" si="2"/>
        <v>100</v>
      </c>
      <c r="X14" s="1504"/>
      <c r="Y14" s="3465"/>
      <c r="Z14" s="1132">
        <f t="shared" si="7"/>
        <v>111</v>
      </c>
      <c r="AA14" s="1505">
        <f t="shared" si="3"/>
        <v>1</v>
      </c>
      <c r="AB14" s="1505">
        <f t="shared" si="4"/>
        <v>1</v>
      </c>
      <c r="AC14" s="1505">
        <f t="shared" si="5"/>
        <v>1</v>
      </c>
    </row>
    <row r="15" spans="1:29" ht="57">
      <c r="A15" s="2626" t="s">
        <v>2734</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3"/>
      <c r="M15" s="2015"/>
      <c r="N15" s="2015"/>
      <c r="O15" s="2022"/>
      <c r="P15" s="3470" t="s">
        <v>534</v>
      </c>
      <c r="Q15" s="1506" t="str">
        <f t="shared" si="6"/>
        <v>产业集聚程度</v>
      </c>
      <c r="R15" s="1507" t="s">
        <v>8</v>
      </c>
      <c r="S15" s="1508">
        <f t="shared" si="0"/>
        <v>100</v>
      </c>
      <c r="T15" s="1507" t="s">
        <v>8</v>
      </c>
      <c r="U15" s="1508">
        <f t="shared" si="1"/>
        <v>100</v>
      </c>
      <c r="V15" s="1507" t="s">
        <v>8</v>
      </c>
      <c r="W15" s="1508">
        <f t="shared" si="2"/>
        <v>100</v>
      </c>
      <c r="X15" s="1501"/>
      <c r="Y15" s="3470"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3"/>
      <c r="M16" s="2015"/>
      <c r="N16" s="2015"/>
      <c r="O16" s="2022"/>
      <c r="P16" s="3471"/>
      <c r="Q16" s="1506"/>
      <c r="R16" s="1507"/>
      <c r="S16" s="1508"/>
      <c r="T16" s="1507"/>
      <c r="U16" s="1508"/>
      <c r="V16" s="1507"/>
      <c r="W16" s="1508"/>
      <c r="X16" s="1501"/>
      <c r="Y16" s="3471"/>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3"/>
      <c r="M17" s="2015"/>
      <c r="N17" s="2015"/>
      <c r="O17" s="2022"/>
      <c r="P17" s="3471"/>
      <c r="Q17" s="1506" t="str">
        <f>B17</f>
        <v>交通便捷度</v>
      </c>
      <c r="R17" s="1507" t="s">
        <v>8</v>
      </c>
      <c r="S17" s="1508">
        <f>F17</f>
        <v>100</v>
      </c>
      <c r="T17" s="1507" t="s">
        <v>8</v>
      </c>
      <c r="U17" s="1508">
        <f>H17</f>
        <v>100</v>
      </c>
      <c r="V17" s="1507" t="s">
        <v>8</v>
      </c>
      <c r="W17" s="1508">
        <f>J17</f>
        <v>100</v>
      </c>
      <c r="X17" s="1501"/>
      <c r="Y17" s="3471"/>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3"/>
      <c r="M18" s="2015"/>
      <c r="N18" s="2015"/>
      <c r="O18" s="2022"/>
      <c r="P18" s="3471"/>
      <c r="Q18" s="1506"/>
      <c r="R18" s="1507"/>
      <c r="S18" s="1508"/>
      <c r="T18" s="1507"/>
      <c r="U18" s="1508"/>
      <c r="V18" s="1507"/>
      <c r="W18" s="1508"/>
      <c r="X18" s="1501"/>
      <c r="Y18" s="3471"/>
      <c r="Z18" s="1509"/>
      <c r="AA18" s="1510">
        <v>1</v>
      </c>
      <c r="AB18" s="1510">
        <v>1</v>
      </c>
      <c r="AC18" s="1510">
        <v>1</v>
      </c>
    </row>
    <row r="19" spans="1:29" ht="42.75">
      <c r="A19" s="526"/>
      <c r="B19" s="2446"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3"/>
      <c r="M19" s="2015"/>
      <c r="N19" s="2015"/>
      <c r="O19" s="2022"/>
      <c r="P19" s="3471"/>
      <c r="Q19" s="1506" t="str">
        <f>B19</f>
        <v>公共配套设施</v>
      </c>
      <c r="R19" s="1507" t="s">
        <v>8</v>
      </c>
      <c r="S19" s="1508">
        <f>F19</f>
        <v>100</v>
      </c>
      <c r="T19" s="1507" t="s">
        <v>8</v>
      </c>
      <c r="U19" s="1508">
        <f>H19</f>
        <v>100</v>
      </c>
      <c r="V19" s="1507" t="s">
        <v>8</v>
      </c>
      <c r="W19" s="1508">
        <f>J19</f>
        <v>100</v>
      </c>
      <c r="X19" s="1501"/>
      <c r="Y19" s="3471"/>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3"/>
      <c r="M20" s="2015"/>
      <c r="N20" s="2015"/>
      <c r="O20" s="2022"/>
      <c r="P20" s="3471"/>
      <c r="Q20" s="1506"/>
      <c r="R20" s="1507"/>
      <c r="S20" s="1508"/>
      <c r="T20" s="1507"/>
      <c r="U20" s="1508"/>
      <c r="V20" s="1507"/>
      <c r="W20" s="1508"/>
      <c r="X20" s="1501"/>
      <c r="Y20" s="3471"/>
      <c r="Z20" s="1509"/>
      <c r="AA20" s="1510">
        <v>1</v>
      </c>
      <c r="AB20" s="1510">
        <v>1</v>
      </c>
      <c r="AC20" s="1510">
        <v>1</v>
      </c>
    </row>
    <row r="21" spans="1:29" ht="28.5">
      <c r="A21" s="526"/>
      <c r="B21" s="2434"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3"/>
      <c r="M21" s="2015"/>
      <c r="N21" s="2015"/>
      <c r="O21" s="2022"/>
      <c r="P21" s="3471"/>
      <c r="Q21" s="2428" t="str">
        <f>B21</f>
        <v>基础设施水平</v>
      </c>
      <c r="R21" s="1507" t="s">
        <v>8</v>
      </c>
      <c r="S21" s="1508">
        <f>F21</f>
        <v>100</v>
      </c>
      <c r="T21" s="1507" t="s">
        <v>8</v>
      </c>
      <c r="U21" s="1508">
        <f>H21</f>
        <v>100</v>
      </c>
      <c r="V21" s="1507" t="s">
        <v>8</v>
      </c>
      <c r="W21" s="1508">
        <f>J21</f>
        <v>100</v>
      </c>
      <c r="X21" s="2430"/>
      <c r="Y21" s="3471"/>
      <c r="Z21" s="2429"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5"/>
      <c r="L22" s="2023"/>
      <c r="M22" s="2015"/>
      <c r="N22" s="2015"/>
      <c r="O22" s="2022"/>
      <c r="P22" s="3471"/>
      <c r="Q22" s="2428"/>
      <c r="R22" s="1507"/>
      <c r="S22" s="1508"/>
      <c r="T22" s="1507"/>
      <c r="U22" s="1508"/>
      <c r="V22" s="1507"/>
      <c r="W22" s="1508"/>
      <c r="X22" s="2430"/>
      <c r="Y22" s="3471"/>
      <c r="Z22" s="2429"/>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3"/>
      <c r="M23" s="2015"/>
      <c r="N23" s="2015"/>
      <c r="O23" s="2022"/>
      <c r="P23" s="3471"/>
      <c r="Q23" s="1506" t="str">
        <f>B23</f>
        <v>环境质量</v>
      </c>
      <c r="R23" s="1507" t="s">
        <v>8</v>
      </c>
      <c r="S23" s="1508">
        <f>F23</f>
        <v>100</v>
      </c>
      <c r="T23" s="1507" t="s">
        <v>8</v>
      </c>
      <c r="U23" s="1508">
        <f>H23</f>
        <v>100</v>
      </c>
      <c r="V23" s="1507" t="s">
        <v>8</v>
      </c>
      <c r="W23" s="1508">
        <f>J23</f>
        <v>100</v>
      </c>
      <c r="X23" s="1501"/>
      <c r="Y23" s="3471"/>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3"/>
      <c r="M24" s="2015"/>
      <c r="N24" s="2015"/>
      <c r="O24" s="2022"/>
      <c r="P24" s="3471"/>
      <c r="Q24" s="1506"/>
      <c r="R24" s="1507"/>
      <c r="S24" s="1508"/>
      <c r="T24" s="1507"/>
      <c r="U24" s="1508"/>
      <c r="V24" s="1507"/>
      <c r="W24" s="1508"/>
      <c r="X24" s="1501"/>
      <c r="Y24" s="3471"/>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471"/>
      <c r="Q25" s="1506">
        <f>B25</f>
        <v>111</v>
      </c>
      <c r="R25" s="1507" t="s">
        <v>8</v>
      </c>
      <c r="S25" s="1508">
        <f>F25</f>
        <v>100</v>
      </c>
      <c r="T25" s="1507" t="s">
        <v>8</v>
      </c>
      <c r="U25" s="1508">
        <f>H25</f>
        <v>100</v>
      </c>
      <c r="V25" s="1507" t="s">
        <v>8</v>
      </c>
      <c r="W25" s="1508">
        <f>J25</f>
        <v>100</v>
      </c>
      <c r="X25" s="1501"/>
      <c r="Y25" s="3471"/>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471"/>
      <c r="Q26" s="1506">
        <f t="shared" ref="Q26:Q40" si="11">B26</f>
        <v>111</v>
      </c>
      <c r="R26" s="1507" t="s">
        <v>8</v>
      </c>
      <c r="S26" s="1508">
        <f>F26</f>
        <v>100</v>
      </c>
      <c r="T26" s="1507" t="s">
        <v>8</v>
      </c>
      <c r="U26" s="1508">
        <f>H26</f>
        <v>100</v>
      </c>
      <c r="V26" s="1507" t="s">
        <v>8</v>
      </c>
      <c r="W26" s="1508">
        <f>J26</f>
        <v>100</v>
      </c>
      <c r="X26" s="1501"/>
      <c r="Y26" s="3471"/>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471"/>
      <c r="Q27" s="1133">
        <f t="shared" si="11"/>
        <v>111</v>
      </c>
      <c r="R27" s="1502" t="s">
        <v>8</v>
      </c>
      <c r="S27" s="1503">
        <f>F27</f>
        <v>100</v>
      </c>
      <c r="T27" s="1502" t="s">
        <v>8</v>
      </c>
      <c r="U27" s="1503">
        <f>H27</f>
        <v>100</v>
      </c>
      <c r="V27" s="1502" t="s">
        <v>8</v>
      </c>
      <c r="W27" s="1503">
        <f>J27</f>
        <v>100</v>
      </c>
      <c r="X27" s="1504"/>
      <c r="Y27" s="3471"/>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3"/>
      <c r="M28" s="2015"/>
      <c r="N28" s="2015"/>
      <c r="O28" s="2022"/>
      <c r="P28" s="3471"/>
      <c r="Q28" s="1506">
        <f t="shared" si="11"/>
        <v>111</v>
      </c>
      <c r="R28" s="1507" t="s">
        <v>8</v>
      </c>
      <c r="S28" s="1508">
        <f t="shared" ref="S28:S40" si="12">F28</f>
        <v>100</v>
      </c>
      <c r="T28" s="1507" t="s">
        <v>8</v>
      </c>
      <c r="U28" s="1508">
        <f t="shared" ref="U28:U40" si="13">H28</f>
        <v>100</v>
      </c>
      <c r="V28" s="1507" t="s">
        <v>8</v>
      </c>
      <c r="W28" s="1508">
        <f t="shared" ref="W28:W40" si="14">J28</f>
        <v>100</v>
      </c>
      <c r="X28" s="1501"/>
      <c r="Y28" s="3471"/>
      <c r="Z28" s="1509">
        <f t="shared" ref="Z28:Z40" si="15">Q28</f>
        <v>111</v>
      </c>
      <c r="AA28" s="1510">
        <f t="shared" si="3"/>
        <v>1</v>
      </c>
      <c r="AB28" s="1510">
        <f t="shared" si="4"/>
        <v>1</v>
      </c>
      <c r="AC28" s="1510">
        <f t="shared" si="5"/>
        <v>1</v>
      </c>
    </row>
    <row r="29" spans="1:29" ht="15">
      <c r="A29" s="2623"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3"/>
      <c r="M29" s="2015"/>
      <c r="N29" s="2015"/>
      <c r="O29" s="2022"/>
      <c r="P29" s="3472" t="s">
        <v>544</v>
      </c>
      <c r="Q29" s="1506" t="str">
        <f t="shared" si="11"/>
        <v>建筑类型</v>
      </c>
      <c r="R29" s="1507" t="s">
        <v>8</v>
      </c>
      <c r="S29" s="1508">
        <f t="shared" si="12"/>
        <v>100</v>
      </c>
      <c r="T29" s="1507" t="s">
        <v>8</v>
      </c>
      <c r="U29" s="1508">
        <f t="shared" si="13"/>
        <v>100</v>
      </c>
      <c r="V29" s="1507" t="s">
        <v>8</v>
      </c>
      <c r="W29" s="1508">
        <f t="shared" si="14"/>
        <v>100</v>
      </c>
      <c r="X29" s="1501"/>
      <c r="Y29" s="3473" t="s">
        <v>544</v>
      </c>
      <c r="Z29" s="1509" t="str">
        <f t="shared" si="15"/>
        <v>建筑类型</v>
      </c>
      <c r="AA29" s="1510">
        <f t="shared" si="3"/>
        <v>1</v>
      </c>
      <c r="AB29" s="1510">
        <f t="shared" si="4"/>
        <v>1</v>
      </c>
      <c r="AC29" s="1510">
        <f t="shared" si="5"/>
        <v>1</v>
      </c>
    </row>
    <row r="30" spans="1:29" s="1292"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473"/>
      <c r="Q30" s="1535" t="str">
        <f t="shared" si="11"/>
        <v>项目建筑规模</v>
      </c>
      <c r="R30" s="1511" t="s">
        <v>8</v>
      </c>
      <c r="S30" s="1512" t="e">
        <f t="shared" si="12"/>
        <v>#N/A</v>
      </c>
      <c r="T30" s="1511" t="s">
        <v>8</v>
      </c>
      <c r="U30" s="1512" t="e">
        <f t="shared" si="13"/>
        <v>#N/A</v>
      </c>
      <c r="V30" s="1511" t="s">
        <v>8</v>
      </c>
      <c r="W30" s="1512" t="e">
        <f t="shared" si="14"/>
        <v>#N/A</v>
      </c>
      <c r="X30" s="1513"/>
      <c r="Y30" s="3473"/>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473"/>
      <c r="Q31" s="1506" t="str">
        <f t="shared" si="11"/>
        <v>建筑结构</v>
      </c>
      <c r="R31" s="1507" t="s">
        <v>8</v>
      </c>
      <c r="S31" s="1508">
        <f t="shared" si="12"/>
        <v>100</v>
      </c>
      <c r="T31" s="1507" t="s">
        <v>8</v>
      </c>
      <c r="U31" s="1508">
        <f t="shared" si="13"/>
        <v>100</v>
      </c>
      <c r="V31" s="1507" t="s">
        <v>8</v>
      </c>
      <c r="W31" s="1508">
        <f t="shared" si="14"/>
        <v>100</v>
      </c>
      <c r="X31" s="1501"/>
      <c r="Y31" s="3473"/>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473"/>
      <c r="Q32" s="1506" t="str">
        <f t="shared" si="11"/>
        <v>公共部分装修</v>
      </c>
      <c r="R32" s="1507" t="s">
        <v>8</v>
      </c>
      <c r="S32" s="1508">
        <f t="shared" si="12"/>
        <v>100</v>
      </c>
      <c r="T32" s="1507" t="s">
        <v>8</v>
      </c>
      <c r="U32" s="1508">
        <f t="shared" si="13"/>
        <v>100</v>
      </c>
      <c r="V32" s="1507" t="s">
        <v>8</v>
      </c>
      <c r="W32" s="1508">
        <f t="shared" si="14"/>
        <v>100</v>
      </c>
      <c r="X32" s="1501"/>
      <c r="Y32" s="3473"/>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3"/>
      <c r="M33" s="2015"/>
      <c r="N33" s="2015"/>
      <c r="O33" s="2022"/>
      <c r="P33" s="3473"/>
      <c r="Q33" s="1506" t="str">
        <f t="shared" si="11"/>
        <v>成新度</v>
      </c>
      <c r="R33" s="1507" t="s">
        <v>8</v>
      </c>
      <c r="S33" s="1508" t="e">
        <f t="shared" si="12"/>
        <v>#N/A</v>
      </c>
      <c r="T33" s="1507" t="s">
        <v>8</v>
      </c>
      <c r="U33" s="1508" t="e">
        <f t="shared" si="13"/>
        <v>#N/A</v>
      </c>
      <c r="V33" s="1507" t="s">
        <v>8</v>
      </c>
      <c r="W33" s="1508" t="e">
        <f t="shared" si="14"/>
        <v>#N/A</v>
      </c>
      <c r="X33" s="1501"/>
      <c r="Y33" s="3473"/>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473"/>
      <c r="Q34" s="1133" t="str">
        <f t="shared" si="11"/>
        <v>物业管理</v>
      </c>
      <c r="R34" s="1502" t="s">
        <v>8</v>
      </c>
      <c r="S34" s="1503">
        <f t="shared" si="12"/>
        <v>100</v>
      </c>
      <c r="T34" s="1502" t="s">
        <v>8</v>
      </c>
      <c r="U34" s="1503">
        <f t="shared" si="13"/>
        <v>100</v>
      </c>
      <c r="V34" s="1502" t="s">
        <v>8</v>
      </c>
      <c r="W34" s="1503">
        <f t="shared" si="14"/>
        <v>100</v>
      </c>
      <c r="X34" s="1504"/>
      <c r="Y34" s="3473"/>
      <c r="Z34" s="1132" t="str">
        <f t="shared" si="15"/>
        <v>物业管理</v>
      </c>
      <c r="AA34" s="1505">
        <f t="shared" si="3"/>
        <v>1</v>
      </c>
      <c r="AB34" s="1505">
        <f t="shared" si="4"/>
        <v>1</v>
      </c>
      <c r="AC34" s="1505">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473" t="s">
        <v>544</v>
      </c>
      <c r="Q35" s="1506" t="str">
        <f t="shared" si="11"/>
        <v>市政基础设施</v>
      </c>
      <c r="R35" s="1507" t="s">
        <v>8</v>
      </c>
      <c r="S35" s="1508">
        <f t="shared" si="12"/>
        <v>100</v>
      </c>
      <c r="T35" s="1507" t="s">
        <v>8</v>
      </c>
      <c r="U35" s="1508">
        <f t="shared" si="13"/>
        <v>100</v>
      </c>
      <c r="V35" s="1507" t="s">
        <v>8</v>
      </c>
      <c r="W35" s="1508">
        <f t="shared" si="14"/>
        <v>100</v>
      </c>
      <c r="X35" s="1501"/>
      <c r="Y35" s="3473"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473"/>
      <c r="Q36" s="1506" t="str">
        <f t="shared" si="11"/>
        <v>内部装修</v>
      </c>
      <c r="R36" s="1507" t="s">
        <v>8</v>
      </c>
      <c r="S36" s="1508">
        <f t="shared" si="12"/>
        <v>100</v>
      </c>
      <c r="T36" s="1507" t="s">
        <v>8</v>
      </c>
      <c r="U36" s="1508">
        <f t="shared" si="13"/>
        <v>100</v>
      </c>
      <c r="V36" s="1507" t="s">
        <v>8</v>
      </c>
      <c r="W36" s="1508">
        <f t="shared" si="14"/>
        <v>100</v>
      </c>
      <c r="X36" s="1501"/>
      <c r="Y36" s="3473"/>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473"/>
      <c r="Q37" s="1506" t="str">
        <f t="shared" si="11"/>
        <v>内部装修状况</v>
      </c>
      <c r="R37" s="1507" t="s">
        <v>8</v>
      </c>
      <c r="S37" s="1508">
        <f t="shared" si="12"/>
        <v>100</v>
      </c>
      <c r="T37" s="1507" t="s">
        <v>8</v>
      </c>
      <c r="U37" s="1508">
        <f t="shared" si="13"/>
        <v>100</v>
      </c>
      <c r="V37" s="1507" t="s">
        <v>8</v>
      </c>
      <c r="W37" s="1508">
        <f t="shared" si="14"/>
        <v>100</v>
      </c>
      <c r="X37" s="1501"/>
      <c r="Y37" s="3473"/>
      <c r="Z37" s="1509" t="str">
        <f t="shared" si="15"/>
        <v>内部装修状况</v>
      </c>
      <c r="AA37" s="1510">
        <f t="shared" si="3"/>
        <v>1</v>
      </c>
      <c r="AB37" s="1510">
        <f t="shared" si="4"/>
        <v>1</v>
      </c>
      <c r="AC37" s="1510">
        <f t="shared" si="5"/>
        <v>1</v>
      </c>
    </row>
    <row r="38" spans="1:29" s="1292"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1"/>
      <c r="M38" s="2051"/>
      <c r="N38" s="2051"/>
      <c r="O38" s="2024"/>
      <c r="P38" s="3473"/>
      <c r="Q38" s="1535">
        <f t="shared" si="11"/>
        <v>111</v>
      </c>
      <c r="R38" s="1511" t="s">
        <v>8</v>
      </c>
      <c r="S38" s="1512">
        <f t="shared" si="12"/>
        <v>100</v>
      </c>
      <c r="T38" s="1511" t="s">
        <v>8</v>
      </c>
      <c r="U38" s="1512">
        <f t="shared" si="13"/>
        <v>100</v>
      </c>
      <c r="V38" s="1511" t="s">
        <v>8</v>
      </c>
      <c r="W38" s="1512">
        <f t="shared" si="14"/>
        <v>100</v>
      </c>
      <c r="X38" s="1513"/>
      <c r="Y38" s="3473"/>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3"/>
      <c r="M39" s="2015"/>
      <c r="N39" s="2015"/>
      <c r="O39" s="2022"/>
      <c r="P39" s="3473"/>
      <c r="Q39" s="1506">
        <f t="shared" si="11"/>
        <v>111</v>
      </c>
      <c r="R39" s="1507" t="s">
        <v>8</v>
      </c>
      <c r="S39" s="1508">
        <f t="shared" si="12"/>
        <v>100</v>
      </c>
      <c r="T39" s="1507" t="s">
        <v>8</v>
      </c>
      <c r="U39" s="1508">
        <f t="shared" si="13"/>
        <v>100</v>
      </c>
      <c r="V39" s="1507" t="s">
        <v>8</v>
      </c>
      <c r="W39" s="1508">
        <f t="shared" si="14"/>
        <v>100</v>
      </c>
      <c r="X39" s="1501"/>
      <c r="Y39" s="3473"/>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3"/>
      <c r="M40" s="2015"/>
      <c r="N40" s="2015"/>
      <c r="O40" s="2022"/>
      <c r="P40" s="3576"/>
      <c r="Q40" s="1506">
        <f t="shared" si="11"/>
        <v>111</v>
      </c>
      <c r="R40" s="1507" t="s">
        <v>8</v>
      </c>
      <c r="S40" s="1508">
        <f t="shared" si="12"/>
        <v>100</v>
      </c>
      <c r="T40" s="1507" t="s">
        <v>8</v>
      </c>
      <c r="U40" s="1508">
        <f t="shared" si="13"/>
        <v>100</v>
      </c>
      <c r="V40" s="1507" t="s">
        <v>8</v>
      </c>
      <c r="W40" s="1508">
        <f t="shared" si="14"/>
        <v>100</v>
      </c>
      <c r="X40" s="1501"/>
      <c r="Y40" s="3576"/>
      <c r="Z40" s="1509">
        <f t="shared" si="15"/>
        <v>111</v>
      </c>
      <c r="AA40" s="1510">
        <f t="shared" si="3"/>
        <v>1</v>
      </c>
      <c r="AB40" s="1510">
        <f t="shared" si="4"/>
        <v>1</v>
      </c>
      <c r="AC40" s="1510">
        <f t="shared" si="5"/>
        <v>1</v>
      </c>
    </row>
    <row r="41" spans="1:29" ht="15">
      <c r="A41" s="601" t="s">
        <v>730</v>
      </c>
      <c r="B41" s="876"/>
      <c r="C41" s="2469" t="s">
        <v>1</v>
      </c>
      <c r="D41" s="2470"/>
      <c r="E41" s="2471"/>
      <c r="F41" s="2472"/>
      <c r="G41" s="2473"/>
      <c r="H41" s="2474"/>
      <c r="I41" s="2471"/>
      <c r="J41" s="2474"/>
      <c r="K41" s="1540"/>
      <c r="L41" s="2025"/>
      <c r="M41" s="2026"/>
      <c r="N41" s="2015"/>
      <c r="O41" s="2026"/>
      <c r="P41" s="3468" t="str">
        <f>A41</f>
        <v>成交单价（元/平方米）</v>
      </c>
      <c r="Q41" s="3468"/>
      <c r="R41" s="3575">
        <f>E41</f>
        <v>0</v>
      </c>
      <c r="S41" s="3575"/>
      <c r="T41" s="3575">
        <f>G41</f>
        <v>0</v>
      </c>
      <c r="U41" s="3575"/>
      <c r="V41" s="3575">
        <f>I41</f>
        <v>0</v>
      </c>
      <c r="W41" s="3575"/>
      <c r="X41" s="1496"/>
      <c r="Y41" s="1515"/>
      <c r="Z41" s="1496"/>
      <c r="AA41" s="1496"/>
      <c r="AB41" s="1496"/>
      <c r="AC41" s="1496"/>
    </row>
    <row r="42" spans="1:29" ht="15.75" thickBot="1">
      <c r="A42" s="609" t="s">
        <v>2740</v>
      </c>
      <c r="B42" s="877"/>
      <c r="C42" s="2475" t="e">
        <f>R43</f>
        <v>#DIV/0!</v>
      </c>
      <c r="D42" s="3013" t="s">
        <v>2964</v>
      </c>
      <c r="E42" s="2476" t="e">
        <f>R42</f>
        <v>#DIV/0!</v>
      </c>
      <c r="F42" s="3014"/>
      <c r="G42" s="2475" t="e">
        <f>T42</f>
        <v>#DIV/0!</v>
      </c>
      <c r="H42" s="3014"/>
      <c r="I42" s="2476" t="e">
        <f>V42</f>
        <v>#DIV/0!</v>
      </c>
      <c r="J42" s="3014"/>
      <c r="K42" s="3022">
        <f>F42+H42+J42</f>
        <v>0</v>
      </c>
      <c r="L42" s="2025"/>
      <c r="M42" s="2026"/>
      <c r="N42" s="2015"/>
      <c r="O42" s="2026"/>
      <c r="P42" s="3468" t="str">
        <f>A42</f>
        <v>比较价格（元/平方米）</v>
      </c>
      <c r="Q42" s="3468"/>
      <c r="R42" s="3575" t="e">
        <f>IF(F1="售价",ROUND(PRODUCT(R41,AA7:AA40),0),ROUND(PRODUCT(R41,AA7:AA40),1))</f>
        <v>#DIV/0!</v>
      </c>
      <c r="S42" s="3575"/>
      <c r="T42" s="3575" t="e">
        <f>IF(F1="售价",ROUND(PRODUCT(T41,AB7:AB40),0),ROUND(PRODUCT(T41,AB7:AB40),1))</f>
        <v>#DIV/0!</v>
      </c>
      <c r="U42" s="3575"/>
      <c r="V42" s="3575" t="e">
        <f>IF(F1="售价",ROUND(PRODUCT(V41,AC7:AC40),0),ROUND(PRODUCT(V41,AC7:AC40),1))</f>
        <v>#DIV/0!</v>
      </c>
      <c r="W42" s="3575"/>
      <c r="X42" s="1496"/>
      <c r="Y42" s="1496"/>
      <c r="Z42" s="1496"/>
      <c r="AA42" s="1496"/>
      <c r="AB42" s="1496"/>
      <c r="AC42" s="1496"/>
    </row>
    <row r="43" spans="1:29" ht="15.75" thickBot="1">
      <c r="A43" s="613" t="s">
        <v>2899</v>
      </c>
      <c r="B43" s="614"/>
      <c r="C43" s="2477" t="e">
        <f>R43</f>
        <v>#DIV/0!</v>
      </c>
      <c r="D43" s="2477"/>
      <c r="E43" s="2477"/>
      <c r="F43" s="2477"/>
      <c r="G43" s="2477"/>
      <c r="H43" s="2477"/>
      <c r="I43" s="2477"/>
      <c r="J43" s="2477"/>
      <c r="K43" s="1541"/>
      <c r="L43" s="2025"/>
      <c r="M43" s="2026"/>
      <c r="N43" s="2026"/>
      <c r="O43" s="2026"/>
      <c r="P43" s="3489" t="str">
        <f>A43</f>
        <v>估价对象XX用房的比较价格（楼面单价，元/平方米）</v>
      </c>
      <c r="Q43" s="3490"/>
      <c r="R43" s="3574" t="e">
        <f>IF(F1="售价",ROUND(IF(D42="简单平均",AVERAGE(R42:V42),R42*F42+T42*H42+V42*J42),0),ROUND(IF(D42="简单平均",AVERAGE(R42:V42),R42*F42+T42*H42+V42*J42),1))</f>
        <v>#DIV/0!</v>
      </c>
      <c r="S43" s="3574"/>
      <c r="T43" s="3574"/>
      <c r="U43" s="3574"/>
      <c r="V43" s="3574"/>
      <c r="W43" s="3574"/>
      <c r="X43" s="1496"/>
      <c r="Y43" s="1496"/>
      <c r="Z43" s="1496"/>
      <c r="AA43" s="1496"/>
      <c r="AB43" s="1496"/>
      <c r="AC43" s="1496"/>
    </row>
    <row r="44" spans="1:29">
      <c r="A44" s="3211"/>
      <c r="B44" s="3211"/>
      <c r="C44" s="3211"/>
      <c r="D44" s="3211"/>
      <c r="E44" s="3211"/>
      <c r="F44" s="3211"/>
      <c r="G44" s="3213"/>
      <c r="H44" s="3211"/>
      <c r="I44" s="3211"/>
      <c r="J44" s="3211"/>
      <c r="K44" s="3214"/>
      <c r="L44" s="2030"/>
      <c r="M44" s="2026"/>
      <c r="N44" s="2026"/>
      <c r="O44" s="2026"/>
      <c r="P44" s="2026"/>
      <c r="Q44" s="2026"/>
      <c r="R44" s="2026"/>
      <c r="S44" s="2026"/>
      <c r="T44" s="2026"/>
      <c r="U44" s="2026"/>
      <c r="V44" s="2026"/>
      <c r="W44" s="2026"/>
      <c r="X44" s="2026"/>
      <c r="Y44" s="2026"/>
      <c r="Z44" s="2026"/>
      <c r="AA44" s="2026"/>
      <c r="AB44" s="2026"/>
      <c r="AC44" s="2026"/>
    </row>
    <row r="45" spans="1:29">
      <c r="A45" s="3211"/>
      <c r="B45" s="3211"/>
      <c r="C45" s="3211"/>
      <c r="D45" s="3211"/>
      <c r="E45" s="3211"/>
      <c r="F45" s="3211"/>
      <c r="G45" s="3211"/>
      <c r="H45" s="3211"/>
      <c r="I45" s="3211"/>
      <c r="J45" s="3211"/>
      <c r="K45" s="3214"/>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1"/>
      <c r="B46" s="3211"/>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4"/>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1"/>
      <c r="B47" s="3211"/>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4"/>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2"/>
      <c r="B48" s="3212"/>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5"/>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5">
      <c r="A52" s="637" t="s">
        <v>523</v>
      </c>
      <c r="B52" s="638"/>
      <c r="C52" s="2518" t="str">
        <f>YEAR(C7)&amp;"-"&amp;MONTH(C7)</f>
        <v>2020-10</v>
      </c>
      <c r="D52" s="2520">
        <f>EDATE(C52,-1)</f>
        <v>44075</v>
      </c>
      <c r="E52" s="2520">
        <f t="shared" ref="E52:O52" si="16">EDATE(D52,-1)</f>
        <v>44044</v>
      </c>
      <c r="F52" s="2520">
        <f t="shared" si="16"/>
        <v>44013</v>
      </c>
      <c r="G52" s="2520">
        <f t="shared" si="16"/>
        <v>43983</v>
      </c>
      <c r="H52" s="2520">
        <f t="shared" si="16"/>
        <v>43952</v>
      </c>
      <c r="I52" s="2520">
        <f t="shared" si="16"/>
        <v>43922</v>
      </c>
      <c r="J52" s="2520">
        <f t="shared" si="16"/>
        <v>43891</v>
      </c>
      <c r="K52" s="2520">
        <f t="shared" si="16"/>
        <v>43862</v>
      </c>
      <c r="L52" s="2520">
        <f t="shared" si="16"/>
        <v>43831</v>
      </c>
      <c r="M52" s="2520">
        <f t="shared" si="16"/>
        <v>43800</v>
      </c>
      <c r="N52" s="2520">
        <f t="shared" si="16"/>
        <v>43770</v>
      </c>
      <c r="O52" s="2520">
        <f t="shared" si="16"/>
        <v>43739</v>
      </c>
      <c r="P52" s="2040"/>
      <c r="Q52" s="2041"/>
      <c r="R52" s="2041"/>
      <c r="S52" s="2041"/>
      <c r="T52" s="2041"/>
      <c r="U52" s="2041"/>
      <c r="V52" s="2041"/>
      <c r="W52" s="2041"/>
      <c r="X52" s="2041"/>
      <c r="Y52" s="2041"/>
      <c r="Z52" s="2041"/>
      <c r="AA52" s="2041"/>
      <c r="AB52" s="2041"/>
      <c r="AC52" s="2041"/>
    </row>
    <row r="53" spans="1:29" s="1202" customFormat="1" ht="15">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7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5">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5.75"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7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7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75" thickTop="1">
      <c r="A76" s="661"/>
      <c r="B76" s="2440" t="s">
        <v>2539</v>
      </c>
      <c r="C76" s="2441" t="s">
        <v>2540</v>
      </c>
      <c r="D76" s="2441" t="s">
        <v>2541</v>
      </c>
      <c r="E76" s="2441" t="s">
        <v>2542</v>
      </c>
      <c r="F76" s="2441" t="s">
        <v>2543</v>
      </c>
      <c r="G76" s="2441" t="s">
        <v>2544</v>
      </c>
      <c r="H76" s="924"/>
      <c r="I76" s="924"/>
      <c r="J76" s="924"/>
      <c r="K76" s="924"/>
      <c r="L76" s="924"/>
      <c r="M76" s="553"/>
      <c r="N76" s="2046"/>
      <c r="O76" s="2046"/>
      <c r="P76" s="2045"/>
      <c r="Q76" s="2038"/>
      <c r="R76" s="2026"/>
      <c r="S76" s="2026"/>
      <c r="T76" s="2026"/>
      <c r="U76" s="2026"/>
      <c r="V76" s="2026"/>
      <c r="W76" s="2026"/>
      <c r="X76" s="2026"/>
      <c r="Y76" s="2026"/>
      <c r="Z76" s="2026"/>
      <c r="AA76" s="2026"/>
      <c r="AB76" s="2026"/>
      <c r="AC76" s="2026"/>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7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1"/>
      <c r="B80" s="665">
        <f>B25</f>
        <v>111</v>
      </c>
      <c r="C80" s="680"/>
      <c r="D80" s="680"/>
      <c r="E80" s="680"/>
      <c r="F80" s="680"/>
      <c r="G80" s="680"/>
      <c r="H80" s="680"/>
      <c r="I80" s="680"/>
      <c r="J80" s="680"/>
      <c r="K80" s="680"/>
      <c r="L80" s="879"/>
      <c r="M80" s="880"/>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1"/>
      <c r="B82" s="665">
        <f>B26</f>
        <v>111</v>
      </c>
      <c r="C82" s="680"/>
      <c r="D82" s="680"/>
      <c r="E82" s="680"/>
      <c r="F82" s="680"/>
      <c r="G82" s="680"/>
      <c r="H82" s="680"/>
      <c r="I82" s="680"/>
      <c r="J82" s="680"/>
      <c r="K82" s="680"/>
      <c r="L82" s="879"/>
      <c r="M82" s="880"/>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9"/>
      <c r="B84" s="665">
        <f>B27</f>
        <v>111</v>
      </c>
      <c r="C84" s="680"/>
      <c r="D84" s="680"/>
      <c r="E84" s="680"/>
      <c r="F84" s="680"/>
      <c r="G84" s="680"/>
      <c r="H84" s="680"/>
      <c r="I84" s="680"/>
      <c r="J84" s="680"/>
      <c r="K84" s="680"/>
      <c r="L84" s="879"/>
      <c r="M84" s="880"/>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5.75"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5.75" thickBot="1">
      <c r="A87" s="882"/>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3">
        <v>0.5</v>
      </c>
      <c r="D98" s="883">
        <v>0.6</v>
      </c>
      <c r="E98" s="883">
        <v>0.7</v>
      </c>
      <c r="F98" s="883">
        <v>0.8</v>
      </c>
      <c r="G98" s="883">
        <v>0.9</v>
      </c>
      <c r="H98" s="883">
        <v>1.0001</v>
      </c>
      <c r="I98" s="894"/>
      <c r="J98" s="894"/>
      <c r="K98" s="895"/>
      <c r="L98" s="896"/>
      <c r="M98" s="897"/>
      <c r="N98" s="2044"/>
      <c r="O98" s="2044"/>
      <c r="P98" s="2045"/>
      <c r="Q98" s="2038"/>
      <c r="R98" s="2026"/>
      <c r="S98" s="2026"/>
      <c r="T98" s="2026"/>
      <c r="U98" s="2026"/>
      <c r="V98" s="2026"/>
      <c r="W98" s="2026"/>
      <c r="X98" s="2026"/>
      <c r="Y98" s="2026"/>
      <c r="Z98" s="2026"/>
      <c r="AA98" s="2026"/>
      <c r="AB98" s="2026"/>
      <c r="AC98" s="2026"/>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5"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5.75"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5"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5.75" thickBot="1">
      <c r="A113" s="882"/>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65" priority="20" stopIfTrue="1" operator="containsText" text="超过">
      <formula>NOT(ISERROR(SEARCH("超过",F46)))</formula>
    </cfRule>
  </conditionalFormatting>
  <conditionalFormatting sqref="H48">
    <cfRule type="containsText" dxfId="64" priority="19" stopIfTrue="1" operator="containsText" text="超过">
      <formula>NOT(ISERROR(SEARCH("超过",H48)))</formula>
    </cfRule>
  </conditionalFormatting>
  <conditionalFormatting sqref="F48">
    <cfRule type="containsText" dxfId="63" priority="18" stopIfTrue="1" operator="containsText" text="超过">
      <formula>NOT(ISERROR(SEARCH("超过",F48)))</formula>
    </cfRule>
  </conditionalFormatting>
  <conditionalFormatting sqref="F47 H47">
    <cfRule type="containsText" dxfId="62" priority="17" stopIfTrue="1" operator="containsText" text="超过">
      <formula>NOT(ISERROR(SEARCH("超过",F47)))</formula>
    </cfRule>
  </conditionalFormatting>
  <conditionalFormatting sqref="E46">
    <cfRule type="expression" dxfId="61" priority="16" stopIfTrue="1">
      <formula>$F$46="超过30%"</formula>
    </cfRule>
  </conditionalFormatting>
  <conditionalFormatting sqref="E47">
    <cfRule type="expression" dxfId="60" priority="15" stopIfTrue="1">
      <formula>$F$47="超过20%"</formula>
    </cfRule>
  </conditionalFormatting>
  <conditionalFormatting sqref="E48">
    <cfRule type="expression" dxfId="59" priority="14" stopIfTrue="1">
      <formula>$F$48="超过30%"</formula>
    </cfRule>
  </conditionalFormatting>
  <conditionalFormatting sqref="G48">
    <cfRule type="expression" dxfId="58" priority="13" stopIfTrue="1">
      <formula>$H$48="超过30%"</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J46">
    <cfRule type="containsText" dxfId="55" priority="10" stopIfTrue="1" operator="containsText" text="超过">
      <formula>NOT(ISERROR(SEARCH("超过",J46)))</formula>
    </cfRule>
  </conditionalFormatting>
  <conditionalFormatting sqref="J48">
    <cfRule type="containsText" dxfId="54" priority="9" stopIfTrue="1" operator="containsText" text="超过">
      <formula>NOT(ISERROR(SEARCH("超过",J48)))</formula>
    </cfRule>
  </conditionalFormatting>
  <conditionalFormatting sqref="J47">
    <cfRule type="containsText" dxfId="53" priority="8" stopIfTrue="1" operator="containsText" text="超过">
      <formula>NOT(ISERROR(SEARCH("超过",J47)))</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F42">
    <cfRule type="expression" dxfId="49" priority="4">
      <formula>$D$42="简单平均"</formula>
    </cfRule>
  </conditionalFormatting>
  <conditionalFormatting sqref="H42">
    <cfRule type="expression" dxfId="48" priority="3">
      <formula>$D$42="简单平均"</formula>
    </cfRule>
  </conditionalFormatting>
  <conditionalFormatting sqref="J42">
    <cfRule type="expression" dxfId="47" priority="2">
      <formula>$D$42="简单平均"</formula>
    </cfRule>
  </conditionalFormatting>
  <conditionalFormatting sqref="F7:F40 H7:H40 J7:J40">
    <cfRule type="cellIs" dxfId="4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74" t="s">
        <v>792</v>
      </c>
      <c r="D4" s="3475"/>
      <c r="E4" s="3474" t="s">
        <v>793</v>
      </c>
      <c r="F4" s="3475"/>
      <c r="G4" s="3474" t="s">
        <v>794</v>
      </c>
      <c r="H4" s="3475"/>
      <c r="I4" s="3474" t="s">
        <v>795</v>
      </c>
      <c r="J4" s="3475"/>
      <c r="K4" s="508" t="s">
        <v>796</v>
      </c>
      <c r="L4" s="2014"/>
      <c r="M4" s="2015"/>
      <c r="N4" s="2015"/>
      <c r="O4" s="2015"/>
      <c r="P4" s="3476" t="s">
        <v>797</v>
      </c>
      <c r="Q4" s="3477"/>
      <c r="R4" s="3461" t="s">
        <v>793</v>
      </c>
      <c r="S4" s="3462"/>
      <c r="T4" s="3461" t="s">
        <v>794</v>
      </c>
      <c r="U4" s="3462"/>
      <c r="V4" s="3482" t="s">
        <v>795</v>
      </c>
      <c r="W4" s="3482"/>
      <c r="X4" s="1501"/>
      <c r="Y4" s="3461" t="s">
        <v>797</v>
      </c>
      <c r="Z4" s="3462"/>
      <c r="AA4" s="3456" t="s">
        <v>793</v>
      </c>
      <c r="AB4" s="3457" t="s">
        <v>794</v>
      </c>
      <c r="AC4" s="3456" t="s">
        <v>795</v>
      </c>
    </row>
    <row r="5" spans="1:29" ht="15">
      <c r="A5" s="509"/>
      <c r="B5" s="510"/>
      <c r="C5" s="3485" t="s">
        <v>2893</v>
      </c>
      <c r="D5" s="3486"/>
      <c r="E5" s="3485" t="s">
        <v>2894</v>
      </c>
      <c r="F5" s="3486"/>
      <c r="G5" s="3485" t="s">
        <v>2895</v>
      </c>
      <c r="H5" s="3486"/>
      <c r="I5" s="3485" t="s">
        <v>2896</v>
      </c>
      <c r="J5" s="3486"/>
      <c r="K5" s="508"/>
      <c r="L5" s="2014"/>
      <c r="M5" s="2015"/>
      <c r="N5" s="2015"/>
      <c r="O5" s="2015"/>
      <c r="P5" s="3478"/>
      <c r="Q5" s="3479"/>
      <c r="R5" s="3463"/>
      <c r="S5" s="3464"/>
      <c r="T5" s="3463"/>
      <c r="U5" s="3464"/>
      <c r="V5" s="3482"/>
      <c r="W5" s="3482"/>
      <c r="X5" s="1501"/>
      <c r="Y5" s="3463"/>
      <c r="Z5" s="3464"/>
      <c r="AA5" s="3457"/>
      <c r="AB5" s="3457"/>
      <c r="AC5" s="3457"/>
    </row>
    <row r="6" spans="1:29" ht="15.75" thickBot="1">
      <c r="A6" s="511"/>
      <c r="B6" s="512"/>
      <c r="C6" s="3483" t="s">
        <v>2897</v>
      </c>
      <c r="D6" s="3484"/>
      <c r="E6" s="3487" t="s">
        <v>2897</v>
      </c>
      <c r="F6" s="3488"/>
      <c r="G6" s="3483" t="s">
        <v>2897</v>
      </c>
      <c r="H6" s="3484"/>
      <c r="I6" s="3483" t="s">
        <v>2897</v>
      </c>
      <c r="J6" s="3484"/>
      <c r="K6" s="508" t="s">
        <v>522</v>
      </c>
      <c r="L6" s="2014"/>
      <c r="M6" s="2015"/>
      <c r="N6" s="2015"/>
      <c r="O6" s="2015"/>
      <c r="P6" s="3480"/>
      <c r="Q6" s="3481"/>
      <c r="R6" s="3463"/>
      <c r="S6" s="3464"/>
      <c r="T6" s="3466"/>
      <c r="U6" s="3467"/>
      <c r="V6" s="3482"/>
      <c r="W6" s="3482"/>
      <c r="X6" s="1501"/>
      <c r="Y6" s="3466"/>
      <c r="Z6" s="3467"/>
      <c r="AA6" s="3458"/>
      <c r="AB6" s="3458"/>
      <c r="AC6" s="3458"/>
    </row>
    <row r="7" spans="1:29" s="1202" customFormat="1" ht="15.75" thickBot="1">
      <c r="A7" s="2628"/>
      <c r="B7" s="2635" t="s">
        <v>523</v>
      </c>
      <c r="C7" s="513">
        <f>'数据-取费表'!B2</f>
        <v>44125</v>
      </c>
      <c r="D7" s="514">
        <v>100</v>
      </c>
      <c r="E7" s="515"/>
      <c r="F7" s="516">
        <f>SUMIF(48:48,YEAR(E7)&amp;"-"&amp;MONTH(E7),49:49)</f>
        <v>0</v>
      </c>
      <c r="G7" s="517"/>
      <c r="H7" s="514">
        <f>SUMIF(48:48,YEAR(G7)&amp;"-"&amp;MONTH(G7),49:49)</f>
        <v>0</v>
      </c>
      <c r="I7" s="517"/>
      <c r="J7" s="514">
        <f>SUMIF(48:48,YEAR(I7)&amp;"-"&amp;MONTH(I7),49:49)</f>
        <v>0</v>
      </c>
      <c r="K7" s="518"/>
      <c r="L7" s="2016"/>
      <c r="M7" s="2017"/>
      <c r="N7" s="2017"/>
      <c r="O7" s="2017"/>
      <c r="P7" s="3459" t="s">
        <v>524</v>
      </c>
      <c r="Q7" s="3469"/>
      <c r="R7" s="1502" t="s">
        <v>8</v>
      </c>
      <c r="S7" s="1503">
        <f t="shared" ref="S7:S14" si="0">F7</f>
        <v>0</v>
      </c>
      <c r="T7" s="1502" t="s">
        <v>8</v>
      </c>
      <c r="U7" s="1503">
        <f t="shared" ref="U7:U14" si="1">H7</f>
        <v>0</v>
      </c>
      <c r="V7" s="1502" t="s">
        <v>8</v>
      </c>
      <c r="W7" s="1503">
        <f t="shared" ref="W7:W14" si="2">J7</f>
        <v>0</v>
      </c>
      <c r="X7" s="1504"/>
      <c r="Y7" s="3459" t="s">
        <v>524</v>
      </c>
      <c r="Z7" s="3460"/>
      <c r="AA7" s="1505" t="e">
        <f>D7/F7</f>
        <v>#DIV/0!</v>
      </c>
      <c r="AB7" s="1505" t="e">
        <f>D7/H7</f>
        <v>#DIV/0!</v>
      </c>
      <c r="AC7" s="1505" t="e">
        <f>D7/J7</f>
        <v>#DIV/0!</v>
      </c>
    </row>
    <row r="8" spans="1:29" s="1202" customFormat="1" ht="15.75" thickBot="1">
      <c r="A8" s="2629"/>
      <c r="B8" s="2636"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459" t="s">
        <v>527</v>
      </c>
      <c r="Q8" s="3460"/>
      <c r="R8" s="1502" t="s">
        <v>8</v>
      </c>
      <c r="S8" s="1503">
        <f t="shared" si="0"/>
        <v>0</v>
      </c>
      <c r="T8" s="1502" t="s">
        <v>8</v>
      </c>
      <c r="U8" s="1503">
        <f t="shared" si="1"/>
        <v>0</v>
      </c>
      <c r="V8" s="1502" t="s">
        <v>8</v>
      </c>
      <c r="W8" s="1503">
        <f t="shared" si="2"/>
        <v>0</v>
      </c>
      <c r="X8" s="1504"/>
      <c r="Y8" s="3459" t="s">
        <v>527</v>
      </c>
      <c r="Z8" s="3460"/>
      <c r="AA8" s="1505" t="e">
        <f t="shared" ref="AA8:AA36" si="3">D8/F8</f>
        <v>#DIV/0!</v>
      </c>
      <c r="AB8" s="1505" t="e">
        <f t="shared" ref="AB8:AB36" si="4">D8/H8</f>
        <v>#DIV/0!</v>
      </c>
      <c r="AC8" s="1505" t="e">
        <f t="shared" ref="AC8:AC36" si="5">D8/J8</f>
        <v>#DIV/0!</v>
      </c>
    </row>
    <row r="9" spans="1:29" s="1202" customFormat="1" ht="15">
      <c r="A9" s="2630"/>
      <c r="B9" s="2637" t="s">
        <v>2736</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468" t="s">
        <v>529</v>
      </c>
      <c r="Q9" s="1133" t="str">
        <f t="shared" ref="Q9:Q14" si="6">B9</f>
        <v>用途</v>
      </c>
      <c r="R9" s="1502" t="s">
        <v>8</v>
      </c>
      <c r="S9" s="1503">
        <f t="shared" si="0"/>
        <v>100</v>
      </c>
      <c r="T9" s="1502" t="s">
        <v>8</v>
      </c>
      <c r="U9" s="1503">
        <f t="shared" si="1"/>
        <v>100</v>
      </c>
      <c r="V9" s="1502" t="s">
        <v>8</v>
      </c>
      <c r="W9" s="1503">
        <f t="shared" si="2"/>
        <v>100</v>
      </c>
      <c r="X9" s="1504"/>
      <c r="Y9" s="3465"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c r="A11" s="2633"/>
      <c r="B11" s="2639">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468"/>
      <c r="Q11" s="1133">
        <f t="shared" si="6"/>
        <v>111</v>
      </c>
      <c r="R11" s="1502" t="s">
        <v>8</v>
      </c>
      <c r="S11" s="1503">
        <f t="shared" si="0"/>
        <v>100</v>
      </c>
      <c r="T11" s="1502" t="s">
        <v>8</v>
      </c>
      <c r="U11" s="1503">
        <f t="shared" si="1"/>
        <v>100</v>
      </c>
      <c r="V11" s="1502" t="s">
        <v>8</v>
      </c>
      <c r="W11" s="1503">
        <f t="shared" si="2"/>
        <v>100</v>
      </c>
      <c r="X11" s="1504"/>
      <c r="Y11" s="3465"/>
      <c r="Z11" s="1132">
        <f t="shared" si="7"/>
        <v>111</v>
      </c>
      <c r="AA11" s="1505">
        <f t="shared" si="3"/>
        <v>1</v>
      </c>
      <c r="AB11" s="1505">
        <f t="shared" si="4"/>
        <v>1</v>
      </c>
      <c r="AC11" s="1505">
        <f t="shared" si="5"/>
        <v>1</v>
      </c>
    </row>
    <row r="12" spans="1:29" s="1202" customFormat="1" ht="15">
      <c r="A12" s="2633"/>
      <c r="B12" s="2639">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468"/>
      <c r="Q12" s="1133">
        <f t="shared" si="6"/>
        <v>111</v>
      </c>
      <c r="R12" s="1502" t="s">
        <v>8</v>
      </c>
      <c r="S12" s="1503">
        <f t="shared" si="0"/>
        <v>100</v>
      </c>
      <c r="T12" s="1502" t="s">
        <v>8</v>
      </c>
      <c r="U12" s="1503">
        <f t="shared" si="1"/>
        <v>100</v>
      </c>
      <c r="V12" s="1502" t="s">
        <v>8</v>
      </c>
      <c r="W12" s="1503">
        <f t="shared" si="2"/>
        <v>100</v>
      </c>
      <c r="X12" s="1504"/>
      <c r="Y12" s="3465"/>
      <c r="Z12" s="1132">
        <f t="shared" si="7"/>
        <v>111</v>
      </c>
      <c r="AA12" s="1505">
        <f>D12/F12</f>
        <v>1</v>
      </c>
      <c r="AB12" s="1505">
        <f>D12/H12</f>
        <v>1</v>
      </c>
      <c r="AC12" s="1505">
        <f>D12/J12</f>
        <v>1</v>
      </c>
    </row>
    <row r="13" spans="1:29" ht="15.75" thickBot="1">
      <c r="A13" s="2634"/>
      <c r="B13" s="2640">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468"/>
      <c r="Q13" s="1133">
        <f t="shared" si="6"/>
        <v>111</v>
      </c>
      <c r="R13" s="1502" t="s">
        <v>8</v>
      </c>
      <c r="S13" s="1503">
        <f t="shared" si="0"/>
        <v>100</v>
      </c>
      <c r="T13" s="1502" t="s">
        <v>8</v>
      </c>
      <c r="U13" s="1503">
        <f t="shared" si="1"/>
        <v>100</v>
      </c>
      <c r="V13" s="1502" t="s">
        <v>8</v>
      </c>
      <c r="W13" s="1503">
        <f t="shared" si="2"/>
        <v>100</v>
      </c>
      <c r="X13" s="1504"/>
      <c r="Y13" s="3465"/>
      <c r="Z13" s="1132">
        <f t="shared" si="7"/>
        <v>111</v>
      </c>
      <c r="AA13" s="1505">
        <f t="shared" si="3"/>
        <v>1</v>
      </c>
      <c r="AB13" s="1505">
        <f t="shared" si="4"/>
        <v>1</v>
      </c>
      <c r="AC13" s="1505">
        <f t="shared" si="5"/>
        <v>1</v>
      </c>
    </row>
    <row r="14" spans="1:29" ht="28.5">
      <c r="A14" s="2626" t="s">
        <v>2734</v>
      </c>
      <c r="B14" s="541" t="s">
        <v>537</v>
      </c>
      <c r="C14" s="910" t="str">
        <f>IF(B1="工业",估价对象房地状况!G4,估价对象房地状况!C6)</f>
        <v>现状差，未来较好</v>
      </c>
      <c r="D14" s="543">
        <v>100</v>
      </c>
      <c r="E14" s="544"/>
      <c r="F14" s="545">
        <f>SUMIF(63:63,E15,64:64)-SUMIF(63:63,C15,64:64)+100</f>
        <v>100</v>
      </c>
      <c r="G14" s="546"/>
      <c r="H14" s="543">
        <f>SUMIF(63:63,G15,64:64)-SUMIF(63:63,C15,64:64)+100</f>
        <v>100</v>
      </c>
      <c r="I14" s="544"/>
      <c r="J14" s="543">
        <f>SUMIF(63:63,I15,64:64)-SUMIF(63:63,C15,64:64)+100</f>
        <v>100</v>
      </c>
      <c r="K14" s="887"/>
      <c r="L14" s="2023"/>
      <c r="M14" s="2015"/>
      <c r="N14" s="2015"/>
      <c r="O14" s="2022"/>
      <c r="P14" s="3470" t="s">
        <v>534</v>
      </c>
      <c r="Q14" s="1506" t="str">
        <f t="shared" si="6"/>
        <v>交通便捷度</v>
      </c>
      <c r="R14" s="1507" t="s">
        <v>8</v>
      </c>
      <c r="S14" s="1508">
        <f t="shared" si="0"/>
        <v>100</v>
      </c>
      <c r="T14" s="1507" t="s">
        <v>8</v>
      </c>
      <c r="U14" s="1508">
        <f t="shared" si="1"/>
        <v>100</v>
      </c>
      <c r="V14" s="1507" t="s">
        <v>8</v>
      </c>
      <c r="W14" s="1508">
        <f t="shared" si="2"/>
        <v>100</v>
      </c>
      <c r="X14" s="1501"/>
      <c r="Y14" s="3470"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3"/>
      <c r="M15" s="2015"/>
      <c r="N15" s="2015"/>
      <c r="O15" s="2022"/>
      <c r="P15" s="3471"/>
      <c r="Q15" s="1506"/>
      <c r="R15" s="1507"/>
      <c r="S15" s="1508"/>
      <c r="T15" s="1507"/>
      <c r="U15" s="1508"/>
      <c r="V15" s="1507"/>
      <c r="W15" s="1508"/>
      <c r="X15" s="1501"/>
      <c r="Y15" s="3471"/>
      <c r="Z15" s="1509"/>
      <c r="AA15" s="1510">
        <v>1</v>
      </c>
      <c r="AB15" s="1510">
        <v>1</v>
      </c>
      <c r="AC15" s="1510">
        <v>1</v>
      </c>
    </row>
    <row r="16" spans="1:29" ht="15">
      <c r="A16" s="509"/>
      <c r="B16" s="2446" t="s">
        <v>2527</v>
      </c>
      <c r="C16" s="861" t="str">
        <f>IF(B1="工业",估价对象房地状况!G5,估价对象房地状况!C7)</f>
        <v>现状差，未来好</v>
      </c>
      <c r="D16" s="559">
        <v>100</v>
      </c>
      <c r="E16" s="566"/>
      <c r="F16" s="565">
        <f>SUMIF(65:65,E17,66:66)-SUMIF(65:65,C17,66:66)+100</f>
        <v>100</v>
      </c>
      <c r="G16" s="566"/>
      <c r="H16" s="559">
        <f>SUMIF(65:65,G17,66:66)-SUMIF(65:65,C17,66:66)+100</f>
        <v>100</v>
      </c>
      <c r="I16" s="564"/>
      <c r="J16" s="559">
        <f>SUMIF(65:65,I17,66:66)-SUMIF(65:65,C17,66:66)+100</f>
        <v>100</v>
      </c>
      <c r="K16" s="887"/>
      <c r="L16" s="2023"/>
      <c r="M16" s="2015"/>
      <c r="N16" s="2015"/>
      <c r="O16" s="2022"/>
      <c r="P16" s="3471"/>
      <c r="Q16" s="1506" t="str">
        <f>B16</f>
        <v>公共配套设施</v>
      </c>
      <c r="R16" s="1507" t="s">
        <v>8</v>
      </c>
      <c r="S16" s="1508">
        <f>F16</f>
        <v>100</v>
      </c>
      <c r="T16" s="1507" t="s">
        <v>8</v>
      </c>
      <c r="U16" s="1508">
        <f>H16</f>
        <v>100</v>
      </c>
      <c r="V16" s="1507" t="s">
        <v>8</v>
      </c>
      <c r="W16" s="1508">
        <f>J16</f>
        <v>100</v>
      </c>
      <c r="X16" s="1501"/>
      <c r="Y16" s="3471"/>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3"/>
      <c r="M17" s="2015"/>
      <c r="N17" s="2015"/>
      <c r="O17" s="2022"/>
      <c r="P17" s="3471"/>
      <c r="Q17" s="1506"/>
      <c r="R17" s="1507"/>
      <c r="S17" s="1508"/>
      <c r="T17" s="1507"/>
      <c r="U17" s="1508"/>
      <c r="V17" s="1507"/>
      <c r="W17" s="1508"/>
      <c r="X17" s="1501"/>
      <c r="Y17" s="3471"/>
      <c r="Z17" s="1509"/>
      <c r="AA17" s="1510">
        <v>1</v>
      </c>
      <c r="AB17" s="1510">
        <v>1</v>
      </c>
      <c r="AC17" s="1510">
        <v>1</v>
      </c>
    </row>
    <row r="18" spans="1:29" ht="15">
      <c r="A18" s="509"/>
      <c r="B18" s="2434" t="s">
        <v>2539</v>
      </c>
      <c r="C18" s="861" t="str">
        <f>IF(B1="工业",估价对象房地状况!G6,估价对象房地状况!C8)</f>
        <v>七桶</v>
      </c>
      <c r="D18" s="553">
        <v>100</v>
      </c>
      <c r="E18" s="566"/>
      <c r="F18" s="565">
        <f>SUMIF(67:67,E19,68:68)-SUMIF(67:67,C19,68:68)+100</f>
        <v>100</v>
      </c>
      <c r="G18" s="566"/>
      <c r="H18" s="559">
        <f>SUMIF(67:67,G19,68:68)-SUMIF(67:67,C19,68:68)+100</f>
        <v>100</v>
      </c>
      <c r="I18" s="564"/>
      <c r="J18" s="559">
        <f>SUMIF(67:67,I19,68:68)-SUMIF(67:67,C19,68:68)+100</f>
        <v>100</v>
      </c>
      <c r="K18" s="887"/>
      <c r="L18" s="2023"/>
      <c r="M18" s="2015"/>
      <c r="N18" s="2015"/>
      <c r="O18" s="2022"/>
      <c r="P18" s="3471"/>
      <c r="Q18" s="2428" t="str">
        <f>B18</f>
        <v>基础设施水平</v>
      </c>
      <c r="R18" s="1507" t="s">
        <v>8</v>
      </c>
      <c r="S18" s="1508">
        <f>F18</f>
        <v>100</v>
      </c>
      <c r="T18" s="1507" t="s">
        <v>8</v>
      </c>
      <c r="U18" s="1508">
        <f>H18</f>
        <v>100</v>
      </c>
      <c r="V18" s="1507" t="s">
        <v>8</v>
      </c>
      <c r="W18" s="1508">
        <f>J18</f>
        <v>100</v>
      </c>
      <c r="X18" s="2430"/>
      <c r="Y18" s="3471"/>
      <c r="Z18" s="2429"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5"/>
      <c r="L19" s="2023"/>
      <c r="M19" s="2015"/>
      <c r="N19" s="2015"/>
      <c r="O19" s="2022"/>
      <c r="P19" s="3471"/>
      <c r="Q19" s="2428"/>
      <c r="R19" s="1507"/>
      <c r="S19" s="1508"/>
      <c r="T19" s="1507"/>
      <c r="U19" s="1508"/>
      <c r="V19" s="1507"/>
      <c r="W19" s="1508"/>
      <c r="X19" s="2430"/>
      <c r="Y19" s="3471"/>
      <c r="Z19" s="2429"/>
      <c r="AA19" s="1510">
        <v>1</v>
      </c>
      <c r="AB19" s="1510">
        <v>1</v>
      </c>
      <c r="AC19" s="1510">
        <v>1</v>
      </c>
    </row>
    <row r="20" spans="1:29" ht="28.5">
      <c r="A20" s="509"/>
      <c r="B20" s="554" t="s">
        <v>798</v>
      </c>
      <c r="C20" s="861" t="str">
        <f>IF(B1="工业",估价对象房地状况!G7,估价对象房地状况!C9)</f>
        <v>现状一般，未来较好</v>
      </c>
      <c r="D20" s="559">
        <v>100</v>
      </c>
      <c r="E20" s="556"/>
      <c r="F20" s="557">
        <f>SUMIF(69:69,E21,70:70)-SUMIF(69:69,C21,70:70)+100</f>
        <v>100</v>
      </c>
      <c r="G20" s="558"/>
      <c r="H20" s="553">
        <f>SUMIF(69:69,G21,70:70)-SUMIF(69:69,C21,70:70)+100</f>
        <v>100</v>
      </c>
      <c r="I20" s="556"/>
      <c r="J20" s="553">
        <f>SUMIF(69:69,I21,70:70)-SUMIF(69:69,C21,70:70)+100</f>
        <v>100</v>
      </c>
      <c r="K20" s="887"/>
      <c r="L20" s="2023"/>
      <c r="M20" s="2015"/>
      <c r="N20" s="2015"/>
      <c r="O20" s="2022"/>
      <c r="P20" s="3471"/>
      <c r="Q20" s="1506" t="str">
        <f>B20</f>
        <v>自然及人文环境</v>
      </c>
      <c r="R20" s="1507" t="s">
        <v>8</v>
      </c>
      <c r="S20" s="1508">
        <f>F20</f>
        <v>100</v>
      </c>
      <c r="T20" s="1507" t="s">
        <v>8</v>
      </c>
      <c r="U20" s="1508">
        <f>H20</f>
        <v>100</v>
      </c>
      <c r="V20" s="1507" t="s">
        <v>8</v>
      </c>
      <c r="W20" s="1508">
        <f>J20</f>
        <v>100</v>
      </c>
      <c r="X20" s="1501"/>
      <c r="Y20" s="3471"/>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3"/>
      <c r="M21" s="2015"/>
      <c r="N21" s="2015"/>
      <c r="O21" s="2022"/>
      <c r="P21" s="3471"/>
      <c r="Q21" s="1506"/>
      <c r="R21" s="1507"/>
      <c r="S21" s="1508"/>
      <c r="T21" s="1507"/>
      <c r="U21" s="1508"/>
      <c r="V21" s="1507"/>
      <c r="W21" s="1508"/>
      <c r="X21" s="1501"/>
      <c r="Y21" s="3471"/>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471"/>
      <c r="Q22" s="1506" t="str">
        <f>B22</f>
        <v>楼层</v>
      </c>
      <c r="R22" s="1507" t="s">
        <v>8</v>
      </c>
      <c r="S22" s="1508">
        <f>F22</f>
        <v>100</v>
      </c>
      <c r="T22" s="1507" t="s">
        <v>8</v>
      </c>
      <c r="U22" s="1508">
        <f>H22</f>
        <v>100</v>
      </c>
      <c r="V22" s="1507" t="s">
        <v>8</v>
      </c>
      <c r="W22" s="1508">
        <f>J22</f>
        <v>100</v>
      </c>
      <c r="X22" s="1501"/>
      <c r="Y22" s="3471"/>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471"/>
      <c r="Q23" s="1506">
        <f>B23</f>
        <v>111</v>
      </c>
      <c r="R23" s="1507" t="s">
        <v>8</v>
      </c>
      <c r="S23" s="1508">
        <f>F23</f>
        <v>100</v>
      </c>
      <c r="T23" s="1507" t="s">
        <v>8</v>
      </c>
      <c r="U23" s="1508">
        <f>H23</f>
        <v>100</v>
      </c>
      <c r="V23" s="1507" t="s">
        <v>8</v>
      </c>
      <c r="W23" s="1508">
        <f>J23</f>
        <v>100</v>
      </c>
      <c r="X23" s="1501"/>
      <c r="Y23" s="3471"/>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471"/>
      <c r="Q24" s="1506">
        <f t="shared" ref="Q24:Q36" si="11">B24</f>
        <v>111</v>
      </c>
      <c r="R24" s="1507" t="s">
        <v>8</v>
      </c>
      <c r="S24" s="1508">
        <f>F24</f>
        <v>100</v>
      </c>
      <c r="T24" s="1507" t="s">
        <v>8</v>
      </c>
      <c r="U24" s="1508">
        <f>H24</f>
        <v>100</v>
      </c>
      <c r="V24" s="1507" t="s">
        <v>8</v>
      </c>
      <c r="W24" s="1508">
        <f>J24</f>
        <v>100</v>
      </c>
      <c r="X24" s="1501"/>
      <c r="Y24" s="3471"/>
      <c r="Z24" s="1509">
        <f>Q24</f>
        <v>111</v>
      </c>
      <c r="AA24" s="1510">
        <f t="shared" si="3"/>
        <v>1</v>
      </c>
      <c r="AB24" s="1510">
        <f t="shared" si="4"/>
        <v>1</v>
      </c>
      <c r="AC24" s="1510">
        <f t="shared" si="5"/>
        <v>1</v>
      </c>
    </row>
    <row r="25" spans="1:29" s="1202"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6"/>
      <c r="M25" s="2017"/>
      <c r="N25" s="2017"/>
      <c r="O25" s="2018"/>
      <c r="P25" s="3471"/>
      <c r="Q25" s="1133">
        <f t="shared" si="11"/>
        <v>111</v>
      </c>
      <c r="R25" s="1502" t="s">
        <v>8</v>
      </c>
      <c r="S25" s="1503">
        <f>F25</f>
        <v>100</v>
      </c>
      <c r="T25" s="1502" t="s">
        <v>8</v>
      </c>
      <c r="U25" s="1503">
        <f>H25</f>
        <v>100</v>
      </c>
      <c r="V25" s="1502" t="s">
        <v>8</v>
      </c>
      <c r="W25" s="1503">
        <f>J25</f>
        <v>100</v>
      </c>
      <c r="X25" s="1504"/>
      <c r="Y25" s="3471"/>
      <c r="Z25" s="1132">
        <f>Q25</f>
        <v>111</v>
      </c>
      <c r="AA25" s="1510">
        <f>D25/F25</f>
        <v>1</v>
      </c>
      <c r="AB25" s="1510">
        <f>D25/H25</f>
        <v>1</v>
      </c>
      <c r="AC25" s="1510">
        <f>D25/J25</f>
        <v>1</v>
      </c>
    </row>
    <row r="26" spans="1:29" ht="15">
      <c r="A26" s="2623"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472"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73" t="s">
        <v>544</v>
      </c>
      <c r="Z26" s="1509" t="str">
        <f t="shared" ref="Z26:Z36" si="15">Q26</f>
        <v>配套类型</v>
      </c>
      <c r="AA26" s="1510">
        <f t="shared" si="3"/>
        <v>1</v>
      </c>
      <c r="AB26" s="1510">
        <f t="shared" si="4"/>
        <v>1</v>
      </c>
      <c r="AC26" s="1510">
        <f t="shared" si="5"/>
        <v>1</v>
      </c>
    </row>
    <row r="27" spans="1:29" s="1292"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1"/>
      <c r="M27" s="2051"/>
      <c r="N27" s="2051"/>
      <c r="O27" s="2024"/>
      <c r="P27" s="3473"/>
      <c r="Q27" s="1535" t="str">
        <f t="shared" si="11"/>
        <v>项目停车位配比</v>
      </c>
      <c r="R27" s="1511" t="s">
        <v>8</v>
      </c>
      <c r="S27" s="1512">
        <f t="shared" si="12"/>
        <v>100</v>
      </c>
      <c r="T27" s="1511" t="s">
        <v>8</v>
      </c>
      <c r="U27" s="1512">
        <f t="shared" si="13"/>
        <v>100</v>
      </c>
      <c r="V27" s="1511" t="s">
        <v>8</v>
      </c>
      <c r="W27" s="1512">
        <f t="shared" si="14"/>
        <v>100</v>
      </c>
      <c r="X27" s="1513"/>
      <c r="Y27" s="3473"/>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473"/>
      <c r="Q28" s="1506" t="str">
        <f t="shared" si="11"/>
        <v>公共部分装修</v>
      </c>
      <c r="R28" s="1507" t="s">
        <v>8</v>
      </c>
      <c r="S28" s="1508">
        <f t="shared" si="12"/>
        <v>100</v>
      </c>
      <c r="T28" s="1507" t="s">
        <v>8</v>
      </c>
      <c r="U28" s="1508">
        <f t="shared" si="13"/>
        <v>100</v>
      </c>
      <c r="V28" s="1507" t="s">
        <v>8</v>
      </c>
      <c r="W28" s="1508">
        <f t="shared" si="14"/>
        <v>100</v>
      </c>
      <c r="X28" s="1501"/>
      <c r="Y28" s="3473"/>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3"/>
      <c r="M29" s="2015"/>
      <c r="N29" s="2015"/>
      <c r="O29" s="2022"/>
      <c r="P29" s="3473"/>
      <c r="Q29" s="1506" t="str">
        <f t="shared" si="11"/>
        <v>成新率</v>
      </c>
      <c r="R29" s="1507" t="s">
        <v>8</v>
      </c>
      <c r="S29" s="1508" t="e">
        <f t="shared" si="12"/>
        <v>#N/A</v>
      </c>
      <c r="T29" s="1507" t="s">
        <v>8</v>
      </c>
      <c r="U29" s="1508" t="e">
        <f t="shared" si="13"/>
        <v>#N/A</v>
      </c>
      <c r="V29" s="1507" t="s">
        <v>8</v>
      </c>
      <c r="W29" s="1508" t="e">
        <f t="shared" si="14"/>
        <v>#N/A</v>
      </c>
      <c r="X29" s="1501"/>
      <c r="Y29" s="3473"/>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3"/>
      <c r="M30" s="2015"/>
      <c r="N30" s="2015"/>
      <c r="O30" s="2022"/>
      <c r="P30" s="3473"/>
      <c r="Q30" s="1506" t="str">
        <f t="shared" si="11"/>
        <v>物业等级</v>
      </c>
      <c r="R30" s="1507" t="s">
        <v>8</v>
      </c>
      <c r="S30" s="1508">
        <f t="shared" si="12"/>
        <v>100</v>
      </c>
      <c r="T30" s="1507" t="s">
        <v>8</v>
      </c>
      <c r="U30" s="1508">
        <f t="shared" si="13"/>
        <v>100</v>
      </c>
      <c r="V30" s="1507" t="s">
        <v>8</v>
      </c>
      <c r="W30" s="1508">
        <f t="shared" si="14"/>
        <v>100</v>
      </c>
      <c r="X30" s="1501"/>
      <c r="Y30" s="3473"/>
      <c r="Z30" s="1509" t="str">
        <f t="shared" si="15"/>
        <v>物业等级</v>
      </c>
      <c r="AA30" s="1510">
        <f t="shared" si="3"/>
        <v>1</v>
      </c>
      <c r="AB30" s="1510">
        <f t="shared" si="4"/>
        <v>1</v>
      </c>
      <c r="AC30" s="1510">
        <f t="shared" si="5"/>
        <v>1</v>
      </c>
    </row>
    <row r="31" spans="1:29" s="1202"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6"/>
      <c r="M31" s="2017"/>
      <c r="N31" s="2017"/>
      <c r="O31" s="2018"/>
      <c r="P31" s="3473"/>
      <c r="Q31" s="1133" t="str">
        <f t="shared" si="11"/>
        <v>停车位面积</v>
      </c>
      <c r="R31" s="1502" t="s">
        <v>8</v>
      </c>
      <c r="S31" s="1503" t="e">
        <f t="shared" si="12"/>
        <v>#N/A</v>
      </c>
      <c r="T31" s="1502" t="s">
        <v>8</v>
      </c>
      <c r="U31" s="1503" t="e">
        <f t="shared" si="13"/>
        <v>#N/A</v>
      </c>
      <c r="V31" s="1502" t="s">
        <v>8</v>
      </c>
      <c r="W31" s="1503" t="e">
        <f t="shared" si="14"/>
        <v>#N/A</v>
      </c>
      <c r="X31" s="1504"/>
      <c r="Y31" s="3473"/>
      <c r="Z31" s="1132"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473" t="s">
        <v>544</v>
      </c>
      <c r="Q32" s="1506" t="str">
        <f t="shared" si="11"/>
        <v>车位类型</v>
      </c>
      <c r="R32" s="1507" t="s">
        <v>8</v>
      </c>
      <c r="S32" s="1508">
        <f t="shared" si="12"/>
        <v>100</v>
      </c>
      <c r="T32" s="1507" t="s">
        <v>8</v>
      </c>
      <c r="U32" s="1508">
        <f t="shared" si="13"/>
        <v>100</v>
      </c>
      <c r="V32" s="1507" t="s">
        <v>8</v>
      </c>
      <c r="W32" s="1508">
        <f t="shared" si="14"/>
        <v>100</v>
      </c>
      <c r="X32" s="1501"/>
      <c r="Y32" s="3473"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473"/>
      <c r="Q33" s="1506" t="str">
        <f t="shared" si="11"/>
        <v>是否直接入户</v>
      </c>
      <c r="R33" s="1507" t="s">
        <v>8</v>
      </c>
      <c r="S33" s="1508">
        <f t="shared" si="12"/>
        <v>100</v>
      </c>
      <c r="T33" s="1507" t="s">
        <v>8</v>
      </c>
      <c r="U33" s="1508">
        <f t="shared" si="13"/>
        <v>100</v>
      </c>
      <c r="V33" s="1507" t="s">
        <v>8</v>
      </c>
      <c r="W33" s="1508">
        <f t="shared" si="14"/>
        <v>100</v>
      </c>
      <c r="X33" s="1501"/>
      <c r="Y33" s="3473"/>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473"/>
      <c r="Q34" s="1506">
        <f t="shared" si="11"/>
        <v>111</v>
      </c>
      <c r="R34" s="1507" t="s">
        <v>8</v>
      </c>
      <c r="S34" s="1508">
        <f t="shared" si="12"/>
        <v>100</v>
      </c>
      <c r="T34" s="1507" t="s">
        <v>8</v>
      </c>
      <c r="U34" s="1508">
        <f t="shared" si="13"/>
        <v>100</v>
      </c>
      <c r="V34" s="1507" t="s">
        <v>8</v>
      </c>
      <c r="W34" s="1508">
        <f t="shared" si="14"/>
        <v>100</v>
      </c>
      <c r="X34" s="1501"/>
      <c r="Y34" s="3473"/>
      <c r="Z34" s="1509">
        <f t="shared" si="15"/>
        <v>111</v>
      </c>
      <c r="AA34" s="1510">
        <f t="shared" si="3"/>
        <v>1</v>
      </c>
      <c r="AB34" s="1510">
        <f t="shared" si="4"/>
        <v>1</v>
      </c>
      <c r="AC34" s="1510">
        <f t="shared" si="5"/>
        <v>1</v>
      </c>
    </row>
    <row r="35" spans="1:29" s="1292"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473"/>
      <c r="Q35" s="1535">
        <f t="shared" si="11"/>
        <v>111</v>
      </c>
      <c r="R35" s="1511" t="s">
        <v>8</v>
      </c>
      <c r="S35" s="1512">
        <f t="shared" si="12"/>
        <v>100</v>
      </c>
      <c r="T35" s="1511" t="s">
        <v>8</v>
      </c>
      <c r="U35" s="1512">
        <f t="shared" si="13"/>
        <v>100</v>
      </c>
      <c r="V35" s="1511" t="s">
        <v>8</v>
      </c>
      <c r="W35" s="1512">
        <f t="shared" si="14"/>
        <v>100</v>
      </c>
      <c r="X35" s="1513"/>
      <c r="Y35" s="3473"/>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473"/>
      <c r="Q36" s="1506">
        <f t="shared" si="11"/>
        <v>111</v>
      </c>
      <c r="R36" s="1507" t="s">
        <v>8</v>
      </c>
      <c r="S36" s="1508">
        <f t="shared" si="12"/>
        <v>100</v>
      </c>
      <c r="T36" s="1507" t="s">
        <v>8</v>
      </c>
      <c r="U36" s="1508">
        <f t="shared" si="13"/>
        <v>100</v>
      </c>
      <c r="V36" s="1507" t="s">
        <v>8</v>
      </c>
      <c r="W36" s="1508">
        <f t="shared" si="14"/>
        <v>100</v>
      </c>
      <c r="X36" s="1501"/>
      <c r="Y36" s="3473"/>
      <c r="Z36" s="1509">
        <f t="shared" si="15"/>
        <v>111</v>
      </c>
      <c r="AA36" s="1510">
        <f t="shared" si="3"/>
        <v>1</v>
      </c>
      <c r="AB36" s="1510">
        <f t="shared" si="4"/>
        <v>1</v>
      </c>
      <c r="AC36" s="1510">
        <f t="shared" si="5"/>
        <v>1</v>
      </c>
    </row>
    <row r="37" spans="1:29" ht="15">
      <c r="A37" s="1759" t="s">
        <v>2065</v>
      </c>
      <c r="B37" s="1760" t="s">
        <v>2066</v>
      </c>
      <c r="C37" s="2469" t="s">
        <v>1</v>
      </c>
      <c r="D37" s="2470"/>
      <c r="E37" s="2471"/>
      <c r="F37" s="2472"/>
      <c r="G37" s="2473"/>
      <c r="H37" s="2474"/>
      <c r="I37" s="2471"/>
      <c r="J37" s="2474"/>
      <c r="K37" s="1540"/>
      <c r="L37" s="2025"/>
      <c r="M37" s="2026"/>
      <c r="N37" s="2015"/>
      <c r="O37" s="2026"/>
      <c r="P37" s="3468" t="str">
        <f>A37</f>
        <v>成交单价</v>
      </c>
      <c r="Q37" s="3468"/>
      <c r="R37" s="3575">
        <f>E37</f>
        <v>0</v>
      </c>
      <c r="S37" s="3575"/>
      <c r="T37" s="3575">
        <f>G37</f>
        <v>0</v>
      </c>
      <c r="U37" s="3575"/>
      <c r="V37" s="3575">
        <f>I37</f>
        <v>0</v>
      </c>
      <c r="W37" s="3575"/>
      <c r="X37" s="1496"/>
      <c r="Y37" s="1515"/>
      <c r="Z37" s="1496"/>
      <c r="AA37" s="1496"/>
      <c r="AB37" s="1496"/>
      <c r="AC37" s="1496"/>
    </row>
    <row r="38" spans="1:29" ht="15.75" thickBot="1">
      <c r="A38" s="609" t="s">
        <v>2740</v>
      </c>
      <c r="B38" s="877"/>
      <c r="C38" s="2475" t="e">
        <f>R39</f>
        <v>#DIV/0!</v>
      </c>
      <c r="D38" s="3013" t="s">
        <v>2964</v>
      </c>
      <c r="E38" s="2476" t="e">
        <f>R38</f>
        <v>#DIV/0!</v>
      </c>
      <c r="F38" s="3014"/>
      <c r="G38" s="2475" t="e">
        <f>T38</f>
        <v>#DIV/0!</v>
      </c>
      <c r="H38" s="3014"/>
      <c r="I38" s="2476" t="e">
        <f>V38</f>
        <v>#DIV/0!</v>
      </c>
      <c r="J38" s="3014"/>
      <c r="K38" s="3022">
        <f>F38+H38+J38</f>
        <v>0</v>
      </c>
      <c r="L38" s="2025"/>
      <c r="M38" s="2026"/>
      <c r="N38" s="2026"/>
      <c r="O38" s="2026"/>
      <c r="P38" s="3468" t="str">
        <f>A38</f>
        <v>比较价格（元/平方米）</v>
      </c>
      <c r="Q38" s="3468"/>
      <c r="R38" s="3575" t="e">
        <f>IF(F1="售价",ROUND(PRODUCT(R37,AA7:AA36),0),ROUND(PRODUCT(R37,AA7:AA36),1))</f>
        <v>#DIV/0!</v>
      </c>
      <c r="S38" s="3575"/>
      <c r="T38" s="3575" t="e">
        <f>IF(F1="售价",ROUND(PRODUCT(T37,AB7:AB36),0),ROUND(PRODUCT(T37,AB7:AB36),1))</f>
        <v>#DIV/0!</v>
      </c>
      <c r="U38" s="3575"/>
      <c r="V38" s="3575" t="e">
        <f>IF(F1="售价",ROUND(PRODUCT(V37,AC7:AC36),0),ROUND(PRODUCT(V37,AC7:AC36),1))</f>
        <v>#DIV/0!</v>
      </c>
      <c r="W38" s="3575"/>
      <c r="X38" s="1496"/>
      <c r="Y38" s="1496"/>
      <c r="Z38" s="1496"/>
      <c r="AA38" s="1496"/>
      <c r="AB38" s="1496"/>
      <c r="AC38" s="1496"/>
    </row>
    <row r="39" spans="1:29" ht="15.75" thickBot="1">
      <c r="A39" s="613" t="s">
        <v>2899</v>
      </c>
      <c r="B39" s="614"/>
      <c r="C39" s="2477" t="e">
        <f>R39</f>
        <v>#DIV/0!</v>
      </c>
      <c r="D39" s="2477"/>
      <c r="E39" s="2477"/>
      <c r="F39" s="2477"/>
      <c r="G39" s="2477"/>
      <c r="H39" s="2477"/>
      <c r="I39" s="2477"/>
      <c r="J39" s="2477"/>
      <c r="K39" s="1541"/>
      <c r="L39" s="2025"/>
      <c r="M39" s="2026"/>
      <c r="N39" s="2026"/>
      <c r="O39" s="2026"/>
      <c r="P39" s="3489" t="str">
        <f>A39</f>
        <v>估价对象XX用房的比较价格（楼面单价，元/平方米）</v>
      </c>
      <c r="Q39" s="3490"/>
      <c r="R39" s="3574" t="e">
        <f>IF(F1="售价",ROUND(IF(D38="简单平均",AVERAGE(R38:W38),R38*F38+T38*H38+V38*J38),0),ROUND(IF(D38="简单平均",AVERAGE(R38:V38),R38*F38+T38*H38+V38*J38),1))</f>
        <v>#DIV/0!</v>
      </c>
      <c r="S39" s="3574"/>
      <c r="T39" s="3574"/>
      <c r="U39" s="3574"/>
      <c r="V39" s="3574"/>
      <c r="W39" s="3574"/>
      <c r="X39" s="1496"/>
      <c r="Y39" s="1496"/>
      <c r="Z39" s="1496"/>
      <c r="AA39" s="1496"/>
      <c r="AB39" s="1496"/>
      <c r="AC39" s="1496"/>
    </row>
    <row r="40" spans="1:29">
      <c r="A40" s="3211"/>
      <c r="B40" s="3211"/>
      <c r="C40" s="3211"/>
      <c r="D40" s="3211"/>
      <c r="E40" s="3211"/>
      <c r="F40" s="3211"/>
      <c r="G40" s="3213"/>
      <c r="H40" s="3211"/>
      <c r="I40" s="3211"/>
      <c r="J40" s="3211"/>
      <c r="K40" s="3214"/>
      <c r="L40" s="2030"/>
      <c r="M40" s="2026"/>
      <c r="N40" s="2026"/>
      <c r="O40" s="2026"/>
      <c r="P40" s="2026"/>
      <c r="Q40" s="2026"/>
      <c r="R40" s="2026"/>
      <c r="S40" s="2026"/>
      <c r="T40" s="2026"/>
      <c r="U40" s="2026"/>
      <c r="V40" s="2026"/>
      <c r="W40" s="2026"/>
      <c r="X40" s="2026"/>
      <c r="Y40" s="2026"/>
      <c r="Z40" s="2026"/>
      <c r="AA40" s="2026"/>
      <c r="AB40" s="2026"/>
      <c r="AC40" s="2026"/>
    </row>
    <row r="41" spans="1:29">
      <c r="A41" s="3211"/>
      <c r="B41" s="3211"/>
      <c r="C41" s="3211"/>
      <c r="D41" s="3211"/>
      <c r="E41" s="3211"/>
      <c r="F41" s="3211"/>
      <c r="G41" s="3211"/>
      <c r="H41" s="3211"/>
      <c r="I41" s="3211"/>
      <c r="J41" s="3211"/>
      <c r="K41" s="3214"/>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1"/>
      <c r="B42" s="3211"/>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4"/>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1"/>
      <c r="B43" s="3211"/>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4"/>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2"/>
      <c r="B44" s="3212"/>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5"/>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7" t="s">
        <v>523</v>
      </c>
      <c r="B48" s="638"/>
      <c r="C48" s="2518" t="str">
        <f>YEAR(C7)&amp;"-"&amp;MONTH(C7)</f>
        <v>2020-10</v>
      </c>
      <c r="D48" s="2520">
        <f>EDATE(C48,-1)</f>
        <v>44075</v>
      </c>
      <c r="E48" s="2520">
        <f t="shared" ref="E48:O48" si="16">EDATE(D48,-1)</f>
        <v>44044</v>
      </c>
      <c r="F48" s="2520">
        <f t="shared" si="16"/>
        <v>44013</v>
      </c>
      <c r="G48" s="2520">
        <f t="shared" si="16"/>
        <v>43983</v>
      </c>
      <c r="H48" s="2520">
        <f t="shared" si="16"/>
        <v>43952</v>
      </c>
      <c r="I48" s="2520">
        <f t="shared" si="16"/>
        <v>43922</v>
      </c>
      <c r="J48" s="2520">
        <f t="shared" si="16"/>
        <v>43891</v>
      </c>
      <c r="K48" s="2520">
        <f t="shared" si="16"/>
        <v>43862</v>
      </c>
      <c r="L48" s="2520">
        <f t="shared" si="16"/>
        <v>43831</v>
      </c>
      <c r="M48" s="2520">
        <f t="shared" si="16"/>
        <v>43800</v>
      </c>
      <c r="N48" s="2520">
        <f t="shared" si="16"/>
        <v>43770</v>
      </c>
      <c r="O48" s="2520">
        <f t="shared" si="16"/>
        <v>43739</v>
      </c>
      <c r="P48" s="2040"/>
      <c r="Q48" s="2041"/>
      <c r="R48" s="2041"/>
      <c r="S48" s="2041"/>
      <c r="T48" s="2041"/>
      <c r="U48" s="2041"/>
      <c r="V48" s="2041"/>
      <c r="W48" s="2041"/>
      <c r="X48" s="2041"/>
      <c r="Y48" s="2041"/>
      <c r="Z48" s="2041"/>
      <c r="AA48" s="2041"/>
      <c r="AB48" s="2041"/>
      <c r="AC48" s="2041"/>
    </row>
    <row r="49" spans="1:29" s="1202" customFormat="1" ht="15">
      <c r="A49" s="639"/>
      <c r="B49" s="640"/>
      <c r="C49" s="2519">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7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5">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5.75"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5.75" thickTop="1">
      <c r="A57" s="661"/>
      <c r="B57" s="924">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5.75"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75" thickTop="1">
      <c r="A67" s="661"/>
      <c r="B67" s="2440" t="s">
        <v>2539</v>
      </c>
      <c r="C67" s="2441" t="s">
        <v>2540</v>
      </c>
      <c r="D67" s="2441" t="s">
        <v>2541</v>
      </c>
      <c r="E67" s="2441" t="s">
        <v>2542</v>
      </c>
      <c r="F67" s="2441" t="s">
        <v>2543</v>
      </c>
      <c r="G67" s="2441" t="s">
        <v>2544</v>
      </c>
      <c r="H67" s="666"/>
      <c r="I67" s="666"/>
      <c r="J67" s="666"/>
      <c r="K67" s="666"/>
      <c r="L67" s="666"/>
      <c r="M67" s="2444"/>
      <c r="N67" s="2046"/>
      <c r="O67" s="2046"/>
      <c r="P67" s="2045"/>
      <c r="Q67" s="2038"/>
      <c r="R67" s="2026"/>
      <c r="S67" s="2026"/>
      <c r="T67" s="2026"/>
      <c r="U67" s="2026"/>
      <c r="V67" s="2026"/>
      <c r="W67" s="2026"/>
      <c r="X67" s="2026"/>
      <c r="Y67" s="2026"/>
      <c r="Z67" s="2026"/>
      <c r="AA67" s="2026"/>
      <c r="AB67" s="2026"/>
      <c r="AC67" s="2026"/>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7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1"/>
      <c r="B73" s="665">
        <f>B23</f>
        <v>111</v>
      </c>
      <c r="C73" s="535"/>
      <c r="D73" s="535"/>
      <c r="E73" s="535"/>
      <c r="F73" s="535"/>
      <c r="G73" s="680"/>
      <c r="H73" s="680"/>
      <c r="I73" s="680"/>
      <c r="J73" s="680"/>
      <c r="K73" s="680"/>
      <c r="L73" s="879"/>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1"/>
      <c r="B75" s="665">
        <f>B24</f>
        <v>111</v>
      </c>
      <c r="C75" s="535"/>
      <c r="D75" s="535"/>
      <c r="E75" s="535"/>
      <c r="F75" s="535"/>
      <c r="G75" s="680"/>
      <c r="H75" s="680"/>
      <c r="I75" s="680"/>
      <c r="J75" s="680"/>
      <c r="K75" s="680"/>
      <c r="L75" s="680"/>
      <c r="M75" s="880"/>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7.75"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1"/>
      <c r="B81" s="665" t="s">
        <v>809</v>
      </c>
      <c r="C81" s="925"/>
      <c r="D81" s="925"/>
      <c r="E81" s="925"/>
      <c r="F81" s="925"/>
      <c r="G81" s="925"/>
      <c r="H81" s="925"/>
      <c r="I81" s="925"/>
      <c r="J81" s="925"/>
      <c r="K81" s="926"/>
      <c r="L81" s="927"/>
      <c r="M81" s="928"/>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3">
        <v>0.5</v>
      </c>
      <c r="D86" s="883">
        <v>0.6</v>
      </c>
      <c r="E86" s="883">
        <v>0.7</v>
      </c>
      <c r="F86" s="883">
        <v>0.8</v>
      </c>
      <c r="G86" s="883">
        <v>0.9</v>
      </c>
      <c r="H86" s="883">
        <v>1.0001</v>
      </c>
      <c r="I86" s="894"/>
      <c r="J86" s="894"/>
      <c r="K86" s="895"/>
      <c r="L86" s="896"/>
      <c r="M86" s="897"/>
      <c r="N86" s="2044"/>
      <c r="O86" s="2044"/>
      <c r="P86" s="2045"/>
      <c r="Q86" s="2038"/>
      <c r="R86" s="2026"/>
      <c r="S86" s="2026"/>
      <c r="T86" s="2026"/>
      <c r="U86" s="2026"/>
      <c r="V86" s="2026"/>
      <c r="W86" s="2026"/>
      <c r="X86" s="2026"/>
      <c r="Y86" s="2026"/>
      <c r="Z86" s="2026"/>
      <c r="AA86" s="2026"/>
      <c r="AB86" s="2026"/>
      <c r="AC86" s="2026"/>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5" thickTop="1">
      <c r="A97" s="727"/>
      <c r="B97" s="906">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5.75"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5"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5"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5.75"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45" priority="18" stopIfTrue="1" operator="containsText" text="超过">
      <formula>NOT(ISERROR(SEARCH("超过",F42)))</formula>
    </cfRule>
  </conditionalFormatting>
  <conditionalFormatting sqref="J44">
    <cfRule type="containsText" dxfId="44" priority="17" stopIfTrue="1" operator="containsText" text="超过">
      <formula>NOT(ISERROR(SEARCH("超过",J44)))</formula>
    </cfRule>
  </conditionalFormatting>
  <conditionalFormatting sqref="H44">
    <cfRule type="containsText" dxfId="43" priority="16" stopIfTrue="1" operator="containsText" text="超过">
      <formula>NOT(ISERROR(SEARCH("超过",H44)))</formula>
    </cfRule>
  </conditionalFormatting>
  <conditionalFormatting sqref="F44">
    <cfRule type="containsText" dxfId="42" priority="15" stopIfTrue="1" operator="containsText" text="超过">
      <formula>NOT(ISERROR(SEARCH("超过",F44)))</formula>
    </cfRule>
  </conditionalFormatting>
  <conditionalFormatting sqref="F43 H43 J43">
    <cfRule type="containsText" dxfId="41" priority="14" stopIfTrue="1" operator="containsText" text="超过">
      <formula>NOT(ISERROR(SEARCH("超过",F43)))</formula>
    </cfRule>
  </conditionalFormatting>
  <conditionalFormatting sqref="E42">
    <cfRule type="expression" dxfId="40" priority="13" stopIfTrue="1">
      <formula>$F$42="超过30%"</formula>
    </cfRule>
  </conditionalFormatting>
  <conditionalFormatting sqref="G44">
    <cfRule type="expression" dxfId="39" priority="12" stopIfTrue="1">
      <formula>$H$54+$H$44="超过30%"</formula>
    </cfRule>
  </conditionalFormatting>
  <conditionalFormatting sqref="E43">
    <cfRule type="expression" dxfId="38" priority="11" stopIfTrue="1">
      <formula>$F$43="超过20%"</formula>
    </cfRule>
  </conditionalFormatting>
  <conditionalFormatting sqref="E44">
    <cfRule type="expression" dxfId="37" priority="10" stopIfTrue="1">
      <formula>$F$44="超过30%"</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I42">
    <cfRule type="expression" dxfId="34" priority="7" stopIfTrue="1">
      <formula>$J$52+$J$42="超过30%"</formula>
    </cfRule>
  </conditionalFormatting>
  <conditionalFormatting sqref="I43">
    <cfRule type="expression" dxfId="33" priority="6" stopIfTrue="1">
      <formula>$J$53+$J$43="超过20%"</formula>
    </cfRule>
  </conditionalFormatting>
  <conditionalFormatting sqref="I44">
    <cfRule type="expression" dxfId="32" priority="5" stopIfTrue="1">
      <formula>$J$44="超过30%"</formula>
    </cfRule>
  </conditionalFormatting>
  <conditionalFormatting sqref="F38">
    <cfRule type="expression" dxfId="31" priority="4">
      <formula>$D$38="简单平均"</formula>
    </cfRule>
  </conditionalFormatting>
  <conditionalFormatting sqref="H38">
    <cfRule type="expression" dxfId="30" priority="3">
      <formula>$D$38="简单平均"</formula>
    </cfRule>
  </conditionalFormatting>
  <conditionalFormatting sqref="J38">
    <cfRule type="expression" dxfId="29" priority="2">
      <formula>$D$38="简单平均"</formula>
    </cfRule>
  </conditionalFormatting>
  <conditionalFormatting sqref="F7:F36 H7:H36 J7:J36">
    <cfRule type="cellIs" dxfId="28"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502" sqref="W502"/>
    </sheetView>
  </sheetViews>
  <sheetFormatPr defaultColWidth="9" defaultRowHeight="14.25"/>
  <cols>
    <col min="1" max="1" width="10.5" style="1290" customWidth="1"/>
    <col min="2" max="2" width="15.625" style="1290" customWidth="1"/>
    <col min="3" max="3" width="14.375" style="1290" customWidth="1"/>
    <col min="4" max="4" width="12.125" style="1290" customWidth="1"/>
    <col min="5" max="5" width="14.375" style="1290" customWidth="1"/>
    <col min="6" max="6" width="12.125" style="1290" customWidth="1"/>
    <col min="7" max="7" width="14.5" style="1290" customWidth="1"/>
    <col min="8" max="8" width="12.125" style="1290" customWidth="1"/>
    <col min="9" max="9" width="14.5" style="1290" customWidth="1"/>
    <col min="10" max="10" width="12.125" style="1290" customWidth="1"/>
    <col min="11" max="11" width="12.125" style="1295" customWidth="1"/>
    <col min="12" max="12" width="12.125" style="1296" customWidth="1"/>
    <col min="13" max="15" width="12.125" style="1290" customWidth="1"/>
    <col min="16" max="16" width="4.625" style="1290" customWidth="1"/>
    <col min="17" max="17" width="19.5" style="1290" customWidth="1"/>
    <col min="18" max="22" width="6.125" style="1290" customWidth="1"/>
    <col min="23" max="23" width="5.625" style="1290" customWidth="1"/>
    <col min="24" max="24" width="4.125" style="1290" customWidth="1"/>
    <col min="25" max="25" width="3.5" style="1290" customWidth="1"/>
    <col min="26" max="26" width="19.625" style="1290" customWidth="1"/>
    <col min="27" max="28" width="9.375" style="1290" customWidth="1"/>
    <col min="29" max="16384" width="9" style="1290"/>
  </cols>
  <sheetData>
    <row r="1" spans="1:29" s="1289" customFormat="1" ht="28.5" customHeight="1">
      <c r="A1" s="496" t="s">
        <v>712</v>
      </c>
      <c r="B1" s="912"/>
      <c r="C1" s="498" t="s">
        <v>786</v>
      </c>
      <c r="D1" s="838"/>
      <c r="E1" s="500"/>
      <c r="F1" s="2523"/>
      <c r="G1" s="1531" t="s">
        <v>787</v>
      </c>
      <c r="H1" s="500"/>
      <c r="I1" s="500"/>
      <c r="J1" s="500"/>
      <c r="K1" s="501"/>
      <c r="L1" s="3207"/>
      <c r="M1" s="3208"/>
      <c r="N1" s="3208"/>
      <c r="O1" s="3208"/>
      <c r="P1" s="2013"/>
      <c r="Q1" s="2013"/>
      <c r="R1" s="2013"/>
      <c r="S1" s="2013"/>
      <c r="T1" s="2013"/>
      <c r="U1" s="2013"/>
      <c r="V1" s="2013"/>
      <c r="W1" s="2013"/>
      <c r="X1" s="2013"/>
      <c r="Y1" s="2013"/>
      <c r="Z1" s="2013"/>
      <c r="AA1" s="2013"/>
      <c r="AB1" s="2013"/>
      <c r="AC1" s="3209"/>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09"/>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0"/>
      <c r="AC3" s="1943"/>
    </row>
    <row r="4" spans="1:29" ht="15">
      <c r="A4" s="506" t="s">
        <v>791</v>
      </c>
      <c r="B4" s="507"/>
      <c r="C4" s="3474" t="s">
        <v>792</v>
      </c>
      <c r="D4" s="3475"/>
      <c r="E4" s="3499" t="s">
        <v>793</v>
      </c>
      <c r="F4" s="3500"/>
      <c r="G4" s="3474" t="s">
        <v>794</v>
      </c>
      <c r="H4" s="3475"/>
      <c r="I4" s="3474" t="s">
        <v>795</v>
      </c>
      <c r="J4" s="3475"/>
      <c r="K4" s="508" t="s">
        <v>796</v>
      </c>
      <c r="L4" s="2014"/>
      <c r="M4" s="2015"/>
      <c r="N4" s="2015"/>
      <c r="O4" s="2015"/>
      <c r="P4" s="3476" t="s">
        <v>797</v>
      </c>
      <c r="Q4" s="3477"/>
      <c r="R4" s="3461" t="s">
        <v>793</v>
      </c>
      <c r="S4" s="3462"/>
      <c r="T4" s="3461" t="s">
        <v>794</v>
      </c>
      <c r="U4" s="3462"/>
      <c r="V4" s="3482" t="s">
        <v>795</v>
      </c>
      <c r="W4" s="3482"/>
      <c r="X4" s="1501"/>
      <c r="Y4" s="3461" t="s">
        <v>797</v>
      </c>
      <c r="Z4" s="3462"/>
      <c r="AA4" s="3456" t="s">
        <v>793</v>
      </c>
      <c r="AB4" s="3457" t="s">
        <v>794</v>
      </c>
      <c r="AC4" s="3456" t="s">
        <v>795</v>
      </c>
    </row>
    <row r="5" spans="1:29" ht="15">
      <c r="A5" s="509"/>
      <c r="B5" s="510"/>
      <c r="C5" s="3485" t="s">
        <v>2893</v>
      </c>
      <c r="D5" s="3486"/>
      <c r="E5" s="3501" t="s">
        <v>2894</v>
      </c>
      <c r="F5" s="3502"/>
      <c r="G5" s="3485" t="s">
        <v>2895</v>
      </c>
      <c r="H5" s="3486"/>
      <c r="I5" s="3485" t="s">
        <v>2896</v>
      </c>
      <c r="J5" s="3486"/>
      <c r="K5" s="508"/>
      <c r="L5" s="2014"/>
      <c r="M5" s="2015"/>
      <c r="N5" s="2015"/>
      <c r="O5" s="2015"/>
      <c r="P5" s="3478"/>
      <c r="Q5" s="3479"/>
      <c r="R5" s="3463"/>
      <c r="S5" s="3464"/>
      <c r="T5" s="3463"/>
      <c r="U5" s="3464"/>
      <c r="V5" s="3482"/>
      <c r="W5" s="3482"/>
      <c r="X5" s="1501"/>
      <c r="Y5" s="3463"/>
      <c r="Z5" s="3464"/>
      <c r="AA5" s="3457"/>
      <c r="AB5" s="3457"/>
      <c r="AC5" s="3457"/>
    </row>
    <row r="6" spans="1:29" ht="15.75" thickBot="1">
      <c r="A6" s="511"/>
      <c r="B6" s="512"/>
      <c r="C6" s="3483" t="s">
        <v>2897</v>
      </c>
      <c r="D6" s="3484"/>
      <c r="E6" s="3503" t="s">
        <v>2897</v>
      </c>
      <c r="F6" s="3504"/>
      <c r="G6" s="3483" t="s">
        <v>2897</v>
      </c>
      <c r="H6" s="3484"/>
      <c r="I6" s="3483" t="s">
        <v>2897</v>
      </c>
      <c r="J6" s="3484"/>
      <c r="K6" s="508" t="s">
        <v>522</v>
      </c>
      <c r="L6" s="2014"/>
      <c r="M6" s="2015"/>
      <c r="N6" s="2015"/>
      <c r="O6" s="2015"/>
      <c r="P6" s="3480"/>
      <c r="Q6" s="3481"/>
      <c r="R6" s="3463"/>
      <c r="S6" s="3464"/>
      <c r="T6" s="3466"/>
      <c r="U6" s="3467"/>
      <c r="V6" s="3482"/>
      <c r="W6" s="3482"/>
      <c r="X6" s="1501"/>
      <c r="Y6" s="3466"/>
      <c r="Z6" s="3467"/>
      <c r="AA6" s="3458"/>
      <c r="AB6" s="3458"/>
      <c r="AC6" s="3458"/>
    </row>
    <row r="7" spans="1:29" s="1202" customFormat="1" ht="15.75" thickBot="1">
      <c r="A7" s="2628"/>
      <c r="B7" s="2635" t="s">
        <v>523</v>
      </c>
      <c r="C7" s="513">
        <f>'数据-取费表'!B2</f>
        <v>44125</v>
      </c>
      <c r="D7" s="514">
        <v>100</v>
      </c>
      <c r="E7" s="515"/>
      <c r="F7" s="516">
        <f>SUMIF(46:46,YEAR(E7)&amp;"-"&amp;MONTH(E7),47:47)</f>
        <v>0</v>
      </c>
      <c r="G7" s="517"/>
      <c r="H7" s="514">
        <f>SUMIF(46:46,YEAR(G7)&amp;"-"&amp;MONTH(G7),47:47)</f>
        <v>0</v>
      </c>
      <c r="I7" s="517"/>
      <c r="J7" s="514">
        <f>SUMIF(46:46,YEAR(I7)&amp;"-"&amp;MONTH(I7),47:47)</f>
        <v>0</v>
      </c>
      <c r="K7" s="518"/>
      <c r="L7" s="2016"/>
      <c r="M7" s="2017"/>
      <c r="N7" s="2017"/>
      <c r="O7" s="2017"/>
      <c r="P7" s="3459" t="s">
        <v>524</v>
      </c>
      <c r="Q7" s="3469"/>
      <c r="R7" s="1502" t="s">
        <v>8</v>
      </c>
      <c r="S7" s="1503">
        <f t="shared" ref="S7:S14" si="0">F7</f>
        <v>0</v>
      </c>
      <c r="T7" s="1502" t="s">
        <v>8</v>
      </c>
      <c r="U7" s="1503">
        <f t="shared" ref="U7:U14" si="1">H7</f>
        <v>0</v>
      </c>
      <c r="V7" s="1502" t="s">
        <v>8</v>
      </c>
      <c r="W7" s="1503">
        <f t="shared" ref="W7:W14" si="2">J7</f>
        <v>0</v>
      </c>
      <c r="X7" s="1504"/>
      <c r="Y7" s="3459" t="s">
        <v>524</v>
      </c>
      <c r="Z7" s="3460"/>
      <c r="AA7" s="1505" t="e">
        <f>D7/F7</f>
        <v>#DIV/0!</v>
      </c>
      <c r="AB7" s="1505" t="e">
        <f>D7/H7</f>
        <v>#DIV/0!</v>
      </c>
      <c r="AC7" s="1505" t="e">
        <f>D7/J7</f>
        <v>#DIV/0!</v>
      </c>
    </row>
    <row r="8" spans="1:29" s="1202" customFormat="1" ht="15.75" thickBot="1">
      <c r="A8" s="2629"/>
      <c r="B8" s="2636"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459" t="s">
        <v>527</v>
      </c>
      <c r="Q8" s="3460"/>
      <c r="R8" s="1502" t="s">
        <v>8</v>
      </c>
      <c r="S8" s="1503">
        <f t="shared" si="0"/>
        <v>0</v>
      </c>
      <c r="T8" s="1502" t="s">
        <v>8</v>
      </c>
      <c r="U8" s="1503">
        <f t="shared" si="1"/>
        <v>0</v>
      </c>
      <c r="V8" s="1502" t="s">
        <v>8</v>
      </c>
      <c r="W8" s="1503">
        <f t="shared" si="2"/>
        <v>0</v>
      </c>
      <c r="X8" s="1504"/>
      <c r="Y8" s="3459" t="s">
        <v>527</v>
      </c>
      <c r="Z8" s="3460"/>
      <c r="AA8" s="1505" t="e">
        <f t="shared" ref="AA8:AA34" si="3">D8/F8</f>
        <v>#DIV/0!</v>
      </c>
      <c r="AB8" s="1505" t="e">
        <f t="shared" ref="AB8:AB34" si="4">D8/H8</f>
        <v>#DIV/0!</v>
      </c>
      <c r="AC8" s="1505" t="e">
        <f t="shared" ref="AC8:AC34" si="5">D8/J8</f>
        <v>#DIV/0!</v>
      </c>
    </row>
    <row r="9" spans="1:29" s="1202" customFormat="1" ht="15">
      <c r="A9" s="2630"/>
      <c r="B9" s="2637" t="s">
        <v>2736</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468" t="s">
        <v>529</v>
      </c>
      <c r="Q9" s="1133" t="str">
        <f t="shared" ref="Q9:Q14" si="6">B9</f>
        <v>用途</v>
      </c>
      <c r="R9" s="1502" t="s">
        <v>8</v>
      </c>
      <c r="S9" s="1503">
        <f t="shared" si="0"/>
        <v>100</v>
      </c>
      <c r="T9" s="1502" t="s">
        <v>8</v>
      </c>
      <c r="U9" s="1503">
        <f t="shared" si="1"/>
        <v>100</v>
      </c>
      <c r="V9" s="1502" t="s">
        <v>8</v>
      </c>
      <c r="W9" s="1503">
        <f t="shared" si="2"/>
        <v>100</v>
      </c>
      <c r="X9" s="1504"/>
      <c r="Y9" s="3465" t="s">
        <v>530</v>
      </c>
      <c r="Z9" s="1132" t="str">
        <f t="shared" ref="Z9:Z14" si="7">Q9</f>
        <v>用途</v>
      </c>
      <c r="AA9" s="1505">
        <f t="shared" si="3"/>
        <v>1</v>
      </c>
      <c r="AB9" s="1505">
        <f t="shared" si="4"/>
        <v>1</v>
      </c>
      <c r="AC9" s="1505">
        <f t="shared" si="5"/>
        <v>1</v>
      </c>
    </row>
    <row r="10" spans="1:29" s="1291" customFormat="1" ht="27">
      <c r="A10" s="2631"/>
      <c r="B10" s="2636" t="s">
        <v>2737</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468"/>
      <c r="Q10" s="1133" t="str">
        <f t="shared" si="6"/>
        <v>土地使用年限（年）</v>
      </c>
      <c r="R10" s="1502" t="s">
        <v>8</v>
      </c>
      <c r="S10" s="1503">
        <f t="shared" si="0"/>
        <v>100</v>
      </c>
      <c r="T10" s="1502" t="s">
        <v>8</v>
      </c>
      <c r="U10" s="1503">
        <f t="shared" si="1"/>
        <v>100</v>
      </c>
      <c r="V10" s="1502" t="s">
        <v>8</v>
      </c>
      <c r="W10" s="1503">
        <f t="shared" si="2"/>
        <v>100</v>
      </c>
      <c r="X10" s="1504"/>
      <c r="Y10" s="3465"/>
      <c r="Z10" s="1132" t="str">
        <f t="shared" si="7"/>
        <v>土地使用年限（年）</v>
      </c>
      <c r="AA10" s="1505">
        <f t="shared" si="3"/>
        <v>1</v>
      </c>
      <c r="AB10" s="1505">
        <f t="shared" si="4"/>
        <v>1</v>
      </c>
      <c r="AC10" s="1505">
        <f t="shared" si="5"/>
        <v>1</v>
      </c>
    </row>
    <row r="11" spans="1:29" ht="15">
      <c r="A11" s="2633"/>
      <c r="B11" s="2639">
        <v>111</v>
      </c>
      <c r="C11" s="522"/>
      <c r="D11" s="253">
        <v>100</v>
      </c>
      <c r="E11" s="869"/>
      <c r="F11" s="253">
        <f>SUMIF(55:55,E11,56:56)-SUMIF(55:55,C11,56:56)+100</f>
        <v>100</v>
      </c>
      <c r="G11" s="869"/>
      <c r="H11" s="253">
        <f>SUMIF(55:55,G11,56:56)-SUMIF(55:55,C11,56:56)+100</f>
        <v>100</v>
      </c>
      <c r="I11" s="869"/>
      <c r="J11" s="253">
        <f>SUMIF(55:55,I11,56:56)-SUMIF(55:55,C11,56:56)+100</f>
        <v>100</v>
      </c>
      <c r="K11" s="575"/>
      <c r="L11" s="2021"/>
      <c r="M11" s="2015"/>
      <c r="N11" s="2015"/>
      <c r="O11" s="2022"/>
      <c r="P11" s="3468"/>
      <c r="Q11" s="1133">
        <f t="shared" si="6"/>
        <v>111</v>
      </c>
      <c r="R11" s="1502" t="s">
        <v>8</v>
      </c>
      <c r="S11" s="1503">
        <f t="shared" si="0"/>
        <v>100</v>
      </c>
      <c r="T11" s="1502" t="s">
        <v>8</v>
      </c>
      <c r="U11" s="1503">
        <f t="shared" si="1"/>
        <v>100</v>
      </c>
      <c r="V11" s="1502" t="s">
        <v>8</v>
      </c>
      <c r="W11" s="1503">
        <f t="shared" si="2"/>
        <v>100</v>
      </c>
      <c r="X11" s="1504"/>
      <c r="Y11" s="3465"/>
      <c r="Z11" s="1132">
        <f t="shared" si="7"/>
        <v>111</v>
      </c>
      <c r="AA11" s="1505">
        <f t="shared" si="3"/>
        <v>1</v>
      </c>
      <c r="AB11" s="1505">
        <f t="shared" si="4"/>
        <v>1</v>
      </c>
      <c r="AC11" s="1505">
        <f t="shared" si="5"/>
        <v>1</v>
      </c>
    </row>
    <row r="12" spans="1:29" s="1202" customFormat="1" ht="15">
      <c r="A12" s="2633"/>
      <c r="B12" s="2639">
        <v>111</v>
      </c>
      <c r="C12" s="522"/>
      <c r="D12" s="532">
        <v>100</v>
      </c>
      <c r="E12" s="869"/>
      <c r="F12" s="253">
        <f>SUMIF(57:57,E12,58:58)-SUMIF(57:57,C12,58:58)+100</f>
        <v>100</v>
      </c>
      <c r="G12" s="869"/>
      <c r="H12" s="253">
        <f>SUMIF(57:57,G12,58:58)-SUMIF(57:57,C12,58:58)+100</f>
        <v>100</v>
      </c>
      <c r="I12" s="869"/>
      <c r="J12" s="253">
        <f>SUMIF(57:57,I12,58:58)-SUMIF(57:57,C12,58:58)+100</f>
        <v>100</v>
      </c>
      <c r="K12" s="575"/>
      <c r="L12" s="2016"/>
      <c r="M12" s="2017"/>
      <c r="N12" s="2017"/>
      <c r="O12" s="2018"/>
      <c r="P12" s="3468"/>
      <c r="Q12" s="1133">
        <f t="shared" si="6"/>
        <v>111</v>
      </c>
      <c r="R12" s="1502" t="s">
        <v>8</v>
      </c>
      <c r="S12" s="1503">
        <f t="shared" si="0"/>
        <v>100</v>
      </c>
      <c r="T12" s="1502" t="s">
        <v>8</v>
      </c>
      <c r="U12" s="1503">
        <f t="shared" si="1"/>
        <v>100</v>
      </c>
      <c r="V12" s="1502" t="s">
        <v>8</v>
      </c>
      <c r="W12" s="1503">
        <f t="shared" si="2"/>
        <v>100</v>
      </c>
      <c r="X12" s="1504"/>
      <c r="Y12" s="3465"/>
      <c r="Z12" s="1132">
        <f t="shared" si="7"/>
        <v>111</v>
      </c>
      <c r="AA12" s="1505">
        <f>D12/F12</f>
        <v>1</v>
      </c>
      <c r="AB12" s="1505">
        <f>D12/H12</f>
        <v>1</v>
      </c>
      <c r="AC12" s="1505">
        <f>D12/J12</f>
        <v>1</v>
      </c>
    </row>
    <row r="13" spans="1:29" ht="15.75" thickBot="1">
      <c r="A13" s="2634"/>
      <c r="B13" s="2640">
        <v>111</v>
      </c>
      <c r="C13" s="533"/>
      <c r="D13" s="534">
        <v>100</v>
      </c>
      <c r="E13" s="869"/>
      <c r="F13" s="253">
        <f>SUMIF(59:59,E13,60:60)-SUMIF(59:59,C13,60:60)+100</f>
        <v>100</v>
      </c>
      <c r="G13" s="869"/>
      <c r="H13" s="534">
        <f>SUMIF(59:59,G13,60:60)-SUMIF(59:59,C13,60:60)+100</f>
        <v>100</v>
      </c>
      <c r="I13" s="869"/>
      <c r="J13" s="534">
        <f>SUMIF(59:59,I13,60:60)-SUMIF(59:59,C13,60:60)+100</f>
        <v>100</v>
      </c>
      <c r="K13" s="575"/>
      <c r="L13" s="2023"/>
      <c r="M13" s="2015"/>
      <c r="N13" s="2015"/>
      <c r="O13" s="2022"/>
      <c r="P13" s="3468"/>
      <c r="Q13" s="1133">
        <f t="shared" si="6"/>
        <v>111</v>
      </c>
      <c r="R13" s="1502" t="s">
        <v>8</v>
      </c>
      <c r="S13" s="1503">
        <f t="shared" si="0"/>
        <v>100</v>
      </c>
      <c r="T13" s="1502" t="s">
        <v>8</v>
      </c>
      <c r="U13" s="1503">
        <f t="shared" si="1"/>
        <v>100</v>
      </c>
      <c r="V13" s="1502" t="s">
        <v>8</v>
      </c>
      <c r="W13" s="1503">
        <f t="shared" si="2"/>
        <v>100</v>
      </c>
      <c r="X13" s="1504"/>
      <c r="Y13" s="3465"/>
      <c r="Z13" s="1132">
        <f t="shared" si="7"/>
        <v>111</v>
      </c>
      <c r="AA13" s="1505">
        <f t="shared" si="3"/>
        <v>1</v>
      </c>
      <c r="AB13" s="1505">
        <f t="shared" si="4"/>
        <v>1</v>
      </c>
      <c r="AC13" s="1505">
        <f t="shared" si="5"/>
        <v>1</v>
      </c>
    </row>
    <row r="14" spans="1:29" ht="28.5">
      <c r="A14" s="2626" t="s">
        <v>2734</v>
      </c>
      <c r="B14" s="164" t="s">
        <v>537</v>
      </c>
      <c r="C14" s="910" t="str">
        <f>IF(B1="工业",估价对象房地状况!G4,估价对象房地状况!C6)</f>
        <v>现状差，未来较好</v>
      </c>
      <c r="D14" s="543">
        <v>100</v>
      </c>
      <c r="E14" s="544"/>
      <c r="F14" s="545">
        <f>SUMIF(61:61,E15,62:62)-SUMIF(61:61,C15,62:62)+100</f>
        <v>100</v>
      </c>
      <c r="G14" s="546"/>
      <c r="H14" s="543">
        <f>SUMIF(61:61,G15,62:62)-SUMIF(61:61,C15,62:62)+100</f>
        <v>100</v>
      </c>
      <c r="I14" s="544"/>
      <c r="J14" s="543">
        <f>SUMIF(61:61,I15,62:62)-SUMIF(61:61,C15,62:62)+100</f>
        <v>100</v>
      </c>
      <c r="K14" s="887"/>
      <c r="L14" s="2023"/>
      <c r="M14" s="2015"/>
      <c r="N14" s="2015"/>
      <c r="O14" s="2022"/>
      <c r="P14" s="3470" t="s">
        <v>534</v>
      </c>
      <c r="Q14" s="1506" t="str">
        <f t="shared" si="6"/>
        <v>交通便捷度</v>
      </c>
      <c r="R14" s="1507" t="s">
        <v>8</v>
      </c>
      <c r="S14" s="1508">
        <f t="shared" si="0"/>
        <v>100</v>
      </c>
      <c r="T14" s="1507" t="s">
        <v>8</v>
      </c>
      <c r="U14" s="1508">
        <f t="shared" si="1"/>
        <v>100</v>
      </c>
      <c r="V14" s="1507" t="s">
        <v>8</v>
      </c>
      <c r="W14" s="1508">
        <f t="shared" si="2"/>
        <v>100</v>
      </c>
      <c r="X14" s="1501"/>
      <c r="Y14" s="3470"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3"/>
      <c r="M15" s="2015"/>
      <c r="N15" s="2015"/>
      <c r="O15" s="2022"/>
      <c r="P15" s="3471"/>
      <c r="Q15" s="1506"/>
      <c r="R15" s="1507"/>
      <c r="S15" s="1508"/>
      <c r="T15" s="1507"/>
      <c r="U15" s="1508"/>
      <c r="V15" s="1507"/>
      <c r="W15" s="1508"/>
      <c r="X15" s="1501"/>
      <c r="Y15" s="3471"/>
      <c r="Z15" s="1509"/>
      <c r="AA15" s="1510">
        <v>1</v>
      </c>
      <c r="AB15" s="1510">
        <v>1</v>
      </c>
      <c r="AC15" s="1510">
        <v>1</v>
      </c>
    </row>
    <row r="16" spans="1:29" ht="15">
      <c r="A16" s="526"/>
      <c r="B16" s="2446" t="s">
        <v>2527</v>
      </c>
      <c r="C16" s="861" t="str">
        <f>IF(B1="工业",估价对象房地状况!G5,估价对象房地状况!C7)</f>
        <v>现状差，未来好</v>
      </c>
      <c r="D16" s="559">
        <v>100</v>
      </c>
      <c r="E16" s="564"/>
      <c r="F16" s="565">
        <f>SUMIF(63:63,E17,64:64)-SUMIF(63:63,C17,64:64)+100</f>
        <v>100</v>
      </c>
      <c r="G16" s="566"/>
      <c r="H16" s="559">
        <f>SUMIF(63:63,G17,64:64)-SUMIF(63:63,C17,64:64)+100</f>
        <v>100</v>
      </c>
      <c r="I16" s="564"/>
      <c r="J16" s="559">
        <f>SUMIF(63:63,I17,64:64)-SUMIF(63:63,C17,64:64)+100</f>
        <v>100</v>
      </c>
      <c r="K16" s="887"/>
      <c r="L16" s="2023"/>
      <c r="M16" s="2015"/>
      <c r="N16" s="2015"/>
      <c r="O16" s="2022"/>
      <c r="P16" s="3471"/>
      <c r="Q16" s="1506" t="str">
        <f>B16</f>
        <v>公共配套设施</v>
      </c>
      <c r="R16" s="1507" t="s">
        <v>8</v>
      </c>
      <c r="S16" s="1508">
        <f>F16</f>
        <v>100</v>
      </c>
      <c r="T16" s="1507" t="s">
        <v>8</v>
      </c>
      <c r="U16" s="1508">
        <f>H16</f>
        <v>100</v>
      </c>
      <c r="V16" s="1507" t="s">
        <v>8</v>
      </c>
      <c r="W16" s="1508">
        <f>J16</f>
        <v>100</v>
      </c>
      <c r="X16" s="1501"/>
      <c r="Y16" s="3471"/>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3"/>
      <c r="M17" s="2015"/>
      <c r="N17" s="2015"/>
      <c r="O17" s="2022"/>
      <c r="P17" s="3471"/>
      <c r="Q17" s="1506"/>
      <c r="R17" s="1507"/>
      <c r="S17" s="1508"/>
      <c r="T17" s="1507"/>
      <c r="U17" s="1508"/>
      <c r="V17" s="1507"/>
      <c r="W17" s="1508"/>
      <c r="X17" s="1501"/>
      <c r="Y17" s="3471"/>
      <c r="Z17" s="1509"/>
      <c r="AA17" s="1510">
        <v>1</v>
      </c>
      <c r="AB17" s="1510">
        <v>1</v>
      </c>
      <c r="AC17" s="1510">
        <v>1</v>
      </c>
    </row>
    <row r="18" spans="1:29" ht="15">
      <c r="A18" s="526"/>
      <c r="B18" s="2434" t="s">
        <v>2539</v>
      </c>
      <c r="C18" s="861" t="str">
        <f>IF(B1="工业",估价对象房地状况!G6,估价对象房地状况!C8)</f>
        <v>七桶</v>
      </c>
      <c r="D18" s="553">
        <v>100</v>
      </c>
      <c r="E18" s="556"/>
      <c r="F18" s="557">
        <f>SUMIF(65:65,E19,66:66)-SUMIF(65:65,C19,66:66)+100</f>
        <v>100</v>
      </c>
      <c r="G18" s="558"/>
      <c r="H18" s="559">
        <f>SUMIF(65:65,G19,66:66)-SUMIF(65:65,C19,66:66)+100</f>
        <v>100</v>
      </c>
      <c r="I18" s="564"/>
      <c r="J18" s="559">
        <f>SUMIF(65:65,I19,66:66)-SUMIF(65:65,C19,66:66)+100</f>
        <v>100</v>
      </c>
      <c r="K18" s="887"/>
      <c r="L18" s="2023"/>
      <c r="M18" s="2015"/>
      <c r="N18" s="2015"/>
      <c r="O18" s="2022"/>
      <c r="P18" s="3471"/>
      <c r="Q18" s="2428" t="str">
        <f>B18</f>
        <v>基础设施水平</v>
      </c>
      <c r="R18" s="1507" t="s">
        <v>8</v>
      </c>
      <c r="S18" s="1508">
        <f>F18</f>
        <v>100</v>
      </c>
      <c r="T18" s="1507" t="s">
        <v>8</v>
      </c>
      <c r="U18" s="1508">
        <f>H18</f>
        <v>100</v>
      </c>
      <c r="V18" s="1507" t="s">
        <v>8</v>
      </c>
      <c r="W18" s="1508">
        <f>J18</f>
        <v>100</v>
      </c>
      <c r="X18" s="2430"/>
      <c r="Y18" s="3471"/>
      <c r="Z18" s="2429"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5"/>
      <c r="L19" s="2023"/>
      <c r="M19" s="2015"/>
      <c r="N19" s="2015"/>
      <c r="O19" s="2022"/>
      <c r="P19" s="3471"/>
      <c r="Q19" s="2428"/>
      <c r="R19" s="1507"/>
      <c r="S19" s="1508"/>
      <c r="T19" s="1507"/>
      <c r="U19" s="1508"/>
      <c r="V19" s="1507"/>
      <c r="W19" s="1508"/>
      <c r="X19" s="2430"/>
      <c r="Y19" s="3471"/>
      <c r="Z19" s="2429"/>
      <c r="AA19" s="1510">
        <v>1</v>
      </c>
      <c r="AB19" s="1510">
        <v>1</v>
      </c>
      <c r="AC19" s="1510">
        <v>1</v>
      </c>
    </row>
    <row r="20" spans="1:29" ht="28.5">
      <c r="A20" s="526"/>
      <c r="B20" s="860" t="s">
        <v>798</v>
      </c>
      <c r="C20" s="861" t="str">
        <f>IF(B1="工业",估价对象房地状况!G7,估价对象房地状况!C9)</f>
        <v>现状一般，未来较好</v>
      </c>
      <c r="D20" s="559">
        <v>100</v>
      </c>
      <c r="E20" s="564"/>
      <c r="F20" s="565">
        <f>SUMIF(67:67,E21,68:68)-SUMIF(67:67,C21,68:68)+100</f>
        <v>100</v>
      </c>
      <c r="G20" s="566"/>
      <c r="H20" s="553">
        <f>SUMIF(67:67,G21,68:68)-SUMIF(67:67,C21,68:68)+100</f>
        <v>100</v>
      </c>
      <c r="I20" s="556"/>
      <c r="J20" s="553">
        <f>SUMIF(67:67,I21,68:68)-SUMIF(67:67,C21,68:68)+100</f>
        <v>100</v>
      </c>
      <c r="K20" s="887"/>
      <c r="L20" s="2023"/>
      <c r="M20" s="2015"/>
      <c r="N20" s="2015"/>
      <c r="O20" s="2022"/>
      <c r="P20" s="3471"/>
      <c r="Q20" s="1506" t="str">
        <f>B20</f>
        <v>自然及人文环境</v>
      </c>
      <c r="R20" s="1507" t="s">
        <v>8</v>
      </c>
      <c r="S20" s="1508">
        <f>F20</f>
        <v>100</v>
      </c>
      <c r="T20" s="1507" t="s">
        <v>8</v>
      </c>
      <c r="U20" s="1508">
        <f>H20</f>
        <v>100</v>
      </c>
      <c r="V20" s="1507" t="s">
        <v>8</v>
      </c>
      <c r="W20" s="1508">
        <f>J20</f>
        <v>100</v>
      </c>
      <c r="X20" s="1501"/>
      <c r="Y20" s="3471"/>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3"/>
      <c r="M21" s="2015"/>
      <c r="N21" s="2015"/>
      <c r="O21" s="2022"/>
      <c r="P21" s="3471"/>
      <c r="Q21" s="1506"/>
      <c r="R21" s="1507"/>
      <c r="S21" s="1508"/>
      <c r="T21" s="1507"/>
      <c r="U21" s="1508"/>
      <c r="V21" s="1507"/>
      <c r="W21" s="1508"/>
      <c r="X21" s="1501"/>
      <c r="Y21" s="3471"/>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471"/>
      <c r="Q22" s="1506" t="str">
        <f>B22</f>
        <v>楼层</v>
      </c>
      <c r="R22" s="1507" t="s">
        <v>8</v>
      </c>
      <c r="S22" s="1508">
        <f>F22</f>
        <v>100</v>
      </c>
      <c r="T22" s="1507" t="s">
        <v>8</v>
      </c>
      <c r="U22" s="1508">
        <f>H22</f>
        <v>100</v>
      </c>
      <c r="V22" s="1507" t="s">
        <v>8</v>
      </c>
      <c r="W22" s="1508">
        <f>J22</f>
        <v>100</v>
      </c>
      <c r="X22" s="1501"/>
      <c r="Y22" s="3471"/>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471"/>
      <c r="Q23" s="1506">
        <f>B23</f>
        <v>111</v>
      </c>
      <c r="R23" s="1507" t="s">
        <v>8</v>
      </c>
      <c r="S23" s="1508">
        <f>F23</f>
        <v>100</v>
      </c>
      <c r="T23" s="1507" t="s">
        <v>8</v>
      </c>
      <c r="U23" s="1508">
        <f>H23</f>
        <v>100</v>
      </c>
      <c r="V23" s="1507" t="s">
        <v>8</v>
      </c>
      <c r="W23" s="1508">
        <f>J23</f>
        <v>100</v>
      </c>
      <c r="X23" s="1501"/>
      <c r="Y23" s="3471"/>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471"/>
      <c r="Q24" s="1506">
        <f t="shared" ref="Q24:Q34" si="11">B24</f>
        <v>111</v>
      </c>
      <c r="R24" s="1507" t="s">
        <v>8</v>
      </c>
      <c r="S24" s="1508">
        <f>F24</f>
        <v>100</v>
      </c>
      <c r="T24" s="1507" t="s">
        <v>8</v>
      </c>
      <c r="U24" s="1508">
        <f>H24</f>
        <v>100</v>
      </c>
      <c r="V24" s="1507" t="s">
        <v>8</v>
      </c>
      <c r="W24" s="1508">
        <f>J24</f>
        <v>100</v>
      </c>
      <c r="X24" s="1501"/>
      <c r="Y24" s="3471"/>
      <c r="Z24" s="1509">
        <f>Q24</f>
        <v>111</v>
      </c>
      <c r="AA24" s="1510">
        <f t="shared" si="3"/>
        <v>1</v>
      </c>
      <c r="AB24" s="1510">
        <f t="shared" si="4"/>
        <v>1</v>
      </c>
      <c r="AC24" s="1510">
        <f t="shared" si="5"/>
        <v>1</v>
      </c>
    </row>
    <row r="25" spans="1:29" s="1202"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6"/>
      <c r="M25" s="2017"/>
      <c r="N25" s="2017"/>
      <c r="O25" s="2018"/>
      <c r="P25" s="3471"/>
      <c r="Q25" s="1133">
        <f t="shared" si="11"/>
        <v>111</v>
      </c>
      <c r="R25" s="1502" t="s">
        <v>8</v>
      </c>
      <c r="S25" s="1503">
        <f>F25</f>
        <v>100</v>
      </c>
      <c r="T25" s="1502" t="s">
        <v>8</v>
      </c>
      <c r="U25" s="1503">
        <f>H25</f>
        <v>100</v>
      </c>
      <c r="V25" s="1502" t="s">
        <v>8</v>
      </c>
      <c r="W25" s="1503">
        <f>J25</f>
        <v>100</v>
      </c>
      <c r="X25" s="1504"/>
      <c r="Y25" s="3471"/>
      <c r="Z25" s="1132">
        <f>Q25</f>
        <v>111</v>
      </c>
      <c r="AA25" s="1510">
        <f>D25/F25</f>
        <v>1</v>
      </c>
      <c r="AB25" s="1510">
        <f>D25/H25</f>
        <v>1</v>
      </c>
      <c r="AC25" s="1510">
        <f>D25/J25</f>
        <v>1</v>
      </c>
    </row>
    <row r="26" spans="1:29" ht="15">
      <c r="A26" s="2623"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3"/>
      <c r="M26" s="2015"/>
      <c r="N26" s="2015"/>
      <c r="O26" s="2022"/>
      <c r="P26" s="3472"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73" t="s">
        <v>815</v>
      </c>
      <c r="Z26" s="1509" t="str">
        <f t="shared" ref="Z26:Z34" si="15">Q26</f>
        <v>公共部分装修</v>
      </c>
      <c r="AA26" s="1510">
        <f t="shared" si="3"/>
        <v>1</v>
      </c>
      <c r="AB26" s="1510">
        <f t="shared" si="4"/>
        <v>1</v>
      </c>
      <c r="AC26" s="1510">
        <f t="shared" si="5"/>
        <v>1</v>
      </c>
    </row>
    <row r="27" spans="1:29" s="1292"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1"/>
      <c r="M27" s="2051"/>
      <c r="N27" s="2051"/>
      <c r="O27" s="2024"/>
      <c r="P27" s="3473"/>
      <c r="Q27" s="1535" t="str">
        <f t="shared" si="11"/>
        <v>成新率</v>
      </c>
      <c r="R27" s="1511" t="s">
        <v>8</v>
      </c>
      <c r="S27" s="1512" t="e">
        <f t="shared" si="12"/>
        <v>#N/A</v>
      </c>
      <c r="T27" s="1511" t="s">
        <v>8</v>
      </c>
      <c r="U27" s="1512" t="e">
        <f t="shared" si="13"/>
        <v>#N/A</v>
      </c>
      <c r="V27" s="1511" t="s">
        <v>8</v>
      </c>
      <c r="W27" s="1512" t="e">
        <f t="shared" si="14"/>
        <v>#N/A</v>
      </c>
      <c r="X27" s="1513"/>
      <c r="Y27" s="3473"/>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473"/>
      <c r="Q28" s="1506" t="str">
        <f t="shared" si="11"/>
        <v>物业等级</v>
      </c>
      <c r="R28" s="1507" t="s">
        <v>8</v>
      </c>
      <c r="S28" s="1508">
        <f t="shared" si="12"/>
        <v>100</v>
      </c>
      <c r="T28" s="1507" t="s">
        <v>8</v>
      </c>
      <c r="U28" s="1508">
        <f t="shared" si="13"/>
        <v>100</v>
      </c>
      <c r="V28" s="1507" t="s">
        <v>8</v>
      </c>
      <c r="W28" s="1508">
        <f t="shared" si="14"/>
        <v>100</v>
      </c>
      <c r="X28" s="1501"/>
      <c r="Y28" s="3473"/>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3"/>
      <c r="M29" s="2015"/>
      <c r="N29" s="2015"/>
      <c r="O29" s="2022"/>
      <c r="P29" s="3473"/>
      <c r="Q29" s="1506" t="str">
        <f t="shared" si="11"/>
        <v>有无电梯</v>
      </c>
      <c r="R29" s="1507" t="s">
        <v>8</v>
      </c>
      <c r="S29" s="1508">
        <f t="shared" si="12"/>
        <v>100</v>
      </c>
      <c r="T29" s="1507" t="s">
        <v>8</v>
      </c>
      <c r="U29" s="1508">
        <f t="shared" si="13"/>
        <v>100</v>
      </c>
      <c r="V29" s="1507" t="s">
        <v>8</v>
      </c>
      <c r="W29" s="1508">
        <f t="shared" si="14"/>
        <v>100</v>
      </c>
      <c r="X29" s="1501"/>
      <c r="Y29" s="3473"/>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3"/>
      <c r="M30" s="2015"/>
      <c r="N30" s="2015"/>
      <c r="O30" s="2022"/>
      <c r="P30" s="3473"/>
      <c r="Q30" s="1506" t="str">
        <f t="shared" si="11"/>
        <v>建筑面积</v>
      </c>
      <c r="R30" s="1507" t="s">
        <v>8</v>
      </c>
      <c r="S30" s="1508" t="e">
        <f t="shared" si="12"/>
        <v>#N/A</v>
      </c>
      <c r="T30" s="1507" t="s">
        <v>8</v>
      </c>
      <c r="U30" s="1508" t="e">
        <f t="shared" si="13"/>
        <v>#N/A</v>
      </c>
      <c r="V30" s="1507" t="s">
        <v>8</v>
      </c>
      <c r="W30" s="1508" t="e">
        <f t="shared" si="14"/>
        <v>#N/A</v>
      </c>
      <c r="X30" s="1501"/>
      <c r="Y30" s="3473"/>
      <c r="Z30" s="1509" t="str">
        <f t="shared" si="15"/>
        <v>建筑面积</v>
      </c>
      <c r="AA30" s="1510" t="e">
        <f t="shared" si="3"/>
        <v>#N/A</v>
      </c>
      <c r="AB30" s="1510" t="e">
        <f t="shared" si="4"/>
        <v>#N/A</v>
      </c>
      <c r="AC30" s="1510" t="e">
        <f t="shared" si="5"/>
        <v>#N/A</v>
      </c>
    </row>
    <row r="31" spans="1:29" s="1202"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6"/>
      <c r="M31" s="2017"/>
      <c r="N31" s="2017"/>
      <c r="O31" s="2018"/>
      <c r="P31" s="3473"/>
      <c r="Q31" s="1133" t="str">
        <f t="shared" si="11"/>
        <v>是否封闭</v>
      </c>
      <c r="R31" s="1502" t="s">
        <v>8</v>
      </c>
      <c r="S31" s="1503">
        <f t="shared" si="12"/>
        <v>100</v>
      </c>
      <c r="T31" s="1502" t="s">
        <v>8</v>
      </c>
      <c r="U31" s="1503">
        <f t="shared" si="13"/>
        <v>100</v>
      </c>
      <c r="V31" s="1502" t="s">
        <v>8</v>
      </c>
      <c r="W31" s="1503">
        <f t="shared" si="14"/>
        <v>100</v>
      </c>
      <c r="X31" s="1504"/>
      <c r="Y31" s="3473"/>
      <c r="Z31" s="1132"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3"/>
      <c r="M32" s="2015"/>
      <c r="N32" s="2015"/>
      <c r="O32" s="2022"/>
      <c r="P32" s="3473" t="s">
        <v>544</v>
      </c>
      <c r="Q32" s="1506">
        <f t="shared" si="11"/>
        <v>111</v>
      </c>
      <c r="R32" s="1507" t="s">
        <v>8</v>
      </c>
      <c r="S32" s="1508">
        <f t="shared" si="12"/>
        <v>100</v>
      </c>
      <c r="T32" s="1507" t="s">
        <v>8</v>
      </c>
      <c r="U32" s="1508">
        <f t="shared" si="13"/>
        <v>100</v>
      </c>
      <c r="V32" s="1507" t="s">
        <v>8</v>
      </c>
      <c r="W32" s="1508">
        <f t="shared" si="14"/>
        <v>100</v>
      </c>
      <c r="X32" s="1501"/>
      <c r="Y32" s="3473"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3"/>
      <c r="M33" s="2015"/>
      <c r="N33" s="2015"/>
      <c r="O33" s="2022"/>
      <c r="P33" s="3473"/>
      <c r="Q33" s="1506">
        <f t="shared" si="11"/>
        <v>111</v>
      </c>
      <c r="R33" s="1507" t="s">
        <v>8</v>
      </c>
      <c r="S33" s="1508">
        <f t="shared" si="12"/>
        <v>100</v>
      </c>
      <c r="T33" s="1507" t="s">
        <v>8</v>
      </c>
      <c r="U33" s="1508">
        <f t="shared" si="13"/>
        <v>100</v>
      </c>
      <c r="V33" s="1507" t="s">
        <v>8</v>
      </c>
      <c r="W33" s="1508">
        <f t="shared" si="14"/>
        <v>100</v>
      </c>
      <c r="X33" s="1501"/>
      <c r="Y33" s="3473"/>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3"/>
      <c r="M34" s="2015"/>
      <c r="N34" s="2015"/>
      <c r="O34" s="2022"/>
      <c r="P34" s="3473"/>
      <c r="Q34" s="1506">
        <f t="shared" si="11"/>
        <v>111</v>
      </c>
      <c r="R34" s="1507" t="s">
        <v>8</v>
      </c>
      <c r="S34" s="1508">
        <f t="shared" si="12"/>
        <v>100</v>
      </c>
      <c r="T34" s="1507" t="s">
        <v>8</v>
      </c>
      <c r="U34" s="1508">
        <f t="shared" si="13"/>
        <v>100</v>
      </c>
      <c r="V34" s="1507" t="s">
        <v>8</v>
      </c>
      <c r="W34" s="1508">
        <f t="shared" si="14"/>
        <v>100</v>
      </c>
      <c r="X34" s="1501"/>
      <c r="Y34" s="3473"/>
      <c r="Z34" s="1509">
        <f t="shared" si="15"/>
        <v>111</v>
      </c>
      <c r="AA34" s="1510">
        <f t="shared" si="3"/>
        <v>1</v>
      </c>
      <c r="AB34" s="1510">
        <f t="shared" si="4"/>
        <v>1</v>
      </c>
      <c r="AC34" s="1510">
        <f t="shared" si="5"/>
        <v>1</v>
      </c>
    </row>
    <row r="35" spans="1:29" ht="15">
      <c r="A35" s="601" t="s">
        <v>730</v>
      </c>
      <c r="B35" s="876"/>
      <c r="C35" s="2469" t="s">
        <v>1</v>
      </c>
      <c r="D35" s="2470"/>
      <c r="E35" s="2471"/>
      <c r="F35" s="2472"/>
      <c r="G35" s="2473"/>
      <c r="H35" s="2474"/>
      <c r="I35" s="2471"/>
      <c r="J35" s="2474"/>
      <c r="K35" s="1540"/>
      <c r="L35" s="2025"/>
      <c r="M35" s="2026"/>
      <c r="N35" s="2015"/>
      <c r="O35" s="2026"/>
      <c r="P35" s="3468" t="str">
        <f>A35</f>
        <v>成交单价（元/平方米）</v>
      </c>
      <c r="Q35" s="3468"/>
      <c r="R35" s="3575">
        <f>E35</f>
        <v>0</v>
      </c>
      <c r="S35" s="3575"/>
      <c r="T35" s="3575">
        <f>G35</f>
        <v>0</v>
      </c>
      <c r="U35" s="3575"/>
      <c r="V35" s="3575">
        <f>I35</f>
        <v>0</v>
      </c>
      <c r="W35" s="3575"/>
      <c r="X35" s="1496"/>
      <c r="Y35" s="1515"/>
      <c r="Z35" s="1496"/>
      <c r="AA35" s="1496"/>
      <c r="AB35" s="1496"/>
      <c r="AC35" s="1496"/>
    </row>
    <row r="36" spans="1:29" ht="15.75" thickBot="1">
      <c r="A36" s="609" t="s">
        <v>2740</v>
      </c>
      <c r="B36" s="877"/>
      <c r="C36" s="2475" t="e">
        <f>R37</f>
        <v>#DIV/0!</v>
      </c>
      <c r="D36" s="3013" t="s">
        <v>2965</v>
      </c>
      <c r="E36" s="2476" t="e">
        <f>R36</f>
        <v>#DIV/0!</v>
      </c>
      <c r="F36" s="3014"/>
      <c r="G36" s="2475" t="e">
        <f>T36</f>
        <v>#DIV/0!</v>
      </c>
      <c r="H36" s="3014"/>
      <c r="I36" s="2476" t="e">
        <f>V36</f>
        <v>#DIV/0!</v>
      </c>
      <c r="J36" s="3014"/>
      <c r="K36" s="3022">
        <f>F36+H36+J36</f>
        <v>0</v>
      </c>
      <c r="L36" s="2025"/>
      <c r="M36" s="2026"/>
      <c r="N36" s="2015"/>
      <c r="O36" s="2026"/>
      <c r="P36" s="3468" t="str">
        <f>A36</f>
        <v>比较价格（元/平方米）</v>
      </c>
      <c r="Q36" s="3468"/>
      <c r="R36" s="3575" t="e">
        <f>IF(F1="售价",ROUND(PRODUCT(R35,AA7:AA34),0),ROUND(PRODUCT(R35,AA7:AA34),1))</f>
        <v>#DIV/0!</v>
      </c>
      <c r="S36" s="3575"/>
      <c r="T36" s="3575" t="e">
        <f>IF(F1="售价",ROUND(PRODUCT(T35,AB7:AB34),0),ROUND(PRODUCT(T35,AB7:AB34),1))</f>
        <v>#DIV/0!</v>
      </c>
      <c r="U36" s="3575"/>
      <c r="V36" s="3575" t="e">
        <f>IF(F1="售价",ROUND(PRODUCT(V35,AC7:AC34),0),ROUND(PRODUCT(V35,AC7:AC34),1))</f>
        <v>#DIV/0!</v>
      </c>
      <c r="W36" s="3575"/>
      <c r="X36" s="1496"/>
      <c r="Y36" s="1496"/>
      <c r="Z36" s="1496"/>
      <c r="AA36" s="1496"/>
      <c r="AB36" s="1496"/>
      <c r="AC36" s="1496"/>
    </row>
    <row r="37" spans="1:29" ht="15.75" thickBot="1">
      <c r="A37" s="613" t="s">
        <v>2899</v>
      </c>
      <c r="B37" s="614"/>
      <c r="C37" s="2477" t="e">
        <f>R37</f>
        <v>#DIV/0!</v>
      </c>
      <c r="D37" s="2477"/>
      <c r="E37" s="2477"/>
      <c r="F37" s="2477"/>
      <c r="G37" s="2477"/>
      <c r="H37" s="2477"/>
      <c r="I37" s="2477"/>
      <c r="J37" s="2477"/>
      <c r="K37" s="1541"/>
      <c r="L37" s="2025"/>
      <c r="M37" s="2026"/>
      <c r="N37" s="2026"/>
      <c r="O37" s="2026"/>
      <c r="P37" s="3489" t="str">
        <f>A37</f>
        <v>估价对象XX用房的比较价格（楼面单价，元/平方米）</v>
      </c>
      <c r="Q37" s="3490"/>
      <c r="R37" s="3574" t="e">
        <f>IF(F1="售价",ROUND(IF(D36="简单平均",AVERAGE(R36:W36),R36*F36+T36*H36+V36*J36),0),ROUND(IF(D36="简单平均",AVERAGE(R36:V36),R36*F36+T36*H36+V36*J36),1))</f>
        <v>#DIV/0!</v>
      </c>
      <c r="S37" s="3574"/>
      <c r="T37" s="3574"/>
      <c r="U37" s="3574"/>
      <c r="V37" s="3574"/>
      <c r="W37" s="3574"/>
      <c r="X37" s="1496"/>
      <c r="Y37" s="1496"/>
      <c r="Z37" s="1496"/>
      <c r="AA37" s="1496"/>
      <c r="AB37" s="1496"/>
      <c r="AC37" s="1496"/>
    </row>
    <row r="38" spans="1:29">
      <c r="A38" s="3211"/>
      <c r="B38" s="3211"/>
      <c r="C38" s="3211"/>
      <c r="D38" s="3211"/>
      <c r="E38" s="3211"/>
      <c r="F38" s="3211"/>
      <c r="G38" s="3213"/>
      <c r="H38" s="3211"/>
      <c r="I38" s="3211"/>
      <c r="J38" s="3211"/>
      <c r="K38" s="3214"/>
      <c r="L38" s="2030"/>
      <c r="M38" s="2026"/>
      <c r="N38" s="2026"/>
      <c r="O38" s="2026"/>
      <c r="P38" s="2026"/>
      <c r="Q38" s="2026"/>
      <c r="R38" s="2026"/>
      <c r="S38" s="2026"/>
      <c r="T38" s="2026"/>
      <c r="U38" s="2026"/>
      <c r="V38" s="2026"/>
      <c r="W38" s="2026"/>
      <c r="X38" s="2026"/>
      <c r="Y38" s="2026"/>
      <c r="Z38" s="2026"/>
      <c r="AA38" s="2026"/>
      <c r="AB38" s="2026"/>
      <c r="AC38" s="2026"/>
    </row>
    <row r="39" spans="1:29">
      <c r="A39" s="3211"/>
      <c r="B39" s="3211"/>
      <c r="C39" s="3211"/>
      <c r="D39" s="3211"/>
      <c r="E39" s="3211"/>
      <c r="F39" s="3211"/>
      <c r="G39" s="3211"/>
      <c r="H39" s="3211"/>
      <c r="I39" s="3211"/>
      <c r="J39" s="3211"/>
      <c r="K39" s="3214"/>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1"/>
      <c r="B40" s="3211"/>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4"/>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1"/>
      <c r="B41" s="3211"/>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4"/>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2"/>
      <c r="B42" s="3212"/>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5"/>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5">
      <c r="A46" s="637" t="s">
        <v>523</v>
      </c>
      <c r="B46" s="638"/>
      <c r="C46" s="2518" t="str">
        <f>YEAR(C7)&amp;"-"&amp;MONTH(C7)</f>
        <v>2020-10</v>
      </c>
      <c r="D46" s="2520">
        <f>EDATE(C46,-1)</f>
        <v>44075</v>
      </c>
      <c r="E46" s="2520">
        <f t="shared" ref="E46:O46" si="16">EDATE(D46,-1)</f>
        <v>44044</v>
      </c>
      <c r="F46" s="2520">
        <f t="shared" si="16"/>
        <v>44013</v>
      </c>
      <c r="G46" s="2520">
        <f t="shared" si="16"/>
        <v>43983</v>
      </c>
      <c r="H46" s="2520">
        <f t="shared" si="16"/>
        <v>43952</v>
      </c>
      <c r="I46" s="2520">
        <f t="shared" si="16"/>
        <v>43922</v>
      </c>
      <c r="J46" s="2520">
        <f t="shared" si="16"/>
        <v>43891</v>
      </c>
      <c r="K46" s="2520">
        <f t="shared" si="16"/>
        <v>43862</v>
      </c>
      <c r="L46" s="2520">
        <f t="shared" si="16"/>
        <v>43831</v>
      </c>
      <c r="M46" s="2520">
        <f t="shared" si="16"/>
        <v>43800</v>
      </c>
      <c r="N46" s="2520">
        <f t="shared" si="16"/>
        <v>43770</v>
      </c>
      <c r="O46" s="2520">
        <f t="shared" si="16"/>
        <v>43739</v>
      </c>
      <c r="P46" s="2040"/>
      <c r="Q46" s="2041"/>
      <c r="R46" s="2041"/>
      <c r="S46" s="2041"/>
      <c r="T46" s="2041"/>
      <c r="U46" s="2041"/>
      <c r="V46" s="2041"/>
      <c r="W46" s="2041"/>
      <c r="X46" s="2041"/>
      <c r="Y46" s="2041"/>
      <c r="Z46" s="2041"/>
      <c r="AA46" s="2041"/>
      <c r="AB46" s="2041"/>
      <c r="AC46" s="2041"/>
    </row>
    <row r="47" spans="1:29" s="1202" customFormat="1" ht="15">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7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5">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5.75"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5.75" thickTop="1">
      <c r="A55" s="661"/>
      <c r="B55" s="924">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5.75"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7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75" thickTop="1">
      <c r="A65" s="661"/>
      <c r="B65" s="2440" t="s">
        <v>2539</v>
      </c>
      <c r="C65" s="2441" t="s">
        <v>2540</v>
      </c>
      <c r="D65" s="2441" t="s">
        <v>2541</v>
      </c>
      <c r="E65" s="2441" t="s">
        <v>2542</v>
      </c>
      <c r="F65" s="2441" t="s">
        <v>2543</v>
      </c>
      <c r="G65" s="2441" t="s">
        <v>2544</v>
      </c>
      <c r="H65" s="666"/>
      <c r="I65" s="666"/>
      <c r="J65" s="666"/>
      <c r="K65" s="666"/>
      <c r="L65" s="666"/>
      <c r="M65" s="2444"/>
      <c r="N65" s="2046"/>
      <c r="O65" s="2046"/>
      <c r="P65" s="2045"/>
      <c r="Q65" s="2038"/>
      <c r="R65" s="2026"/>
      <c r="S65" s="2026"/>
      <c r="T65" s="2026"/>
      <c r="U65" s="2026"/>
      <c r="V65" s="2026"/>
      <c r="W65" s="2026"/>
      <c r="X65" s="2026"/>
      <c r="Y65" s="2026"/>
      <c r="Z65" s="2026"/>
      <c r="AA65" s="2026"/>
      <c r="AB65" s="2026"/>
      <c r="AC65" s="2026"/>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6"/>
      <c r="O66" s="2046"/>
      <c r="P66" s="2045"/>
      <c r="Q66" s="2038"/>
      <c r="R66" s="2026"/>
      <c r="S66" s="2026"/>
      <c r="T66" s="2026"/>
      <c r="U66" s="2026"/>
      <c r="V66" s="2026"/>
      <c r="W66" s="2026"/>
      <c r="X66" s="2026"/>
      <c r="Y66" s="2026"/>
      <c r="Z66" s="2026"/>
      <c r="AA66" s="2026"/>
      <c r="AB66" s="2026"/>
      <c r="AC66" s="2026"/>
    </row>
    <row r="67" spans="1:29" ht="15.7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7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5.75"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1"/>
      <c r="B71" s="665">
        <f>B23</f>
        <v>111</v>
      </c>
      <c r="C71" s="535"/>
      <c r="D71" s="535"/>
      <c r="E71" s="535"/>
      <c r="F71" s="535"/>
      <c r="G71" s="680"/>
      <c r="H71" s="680"/>
      <c r="I71" s="680"/>
      <c r="J71" s="680"/>
      <c r="K71" s="680"/>
      <c r="L71" s="879"/>
      <c r="M71" s="880"/>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1"/>
      <c r="B73" s="665">
        <f>B24</f>
        <v>111</v>
      </c>
      <c r="C73" s="535"/>
      <c r="D73" s="535"/>
      <c r="E73" s="535"/>
      <c r="F73" s="535"/>
      <c r="G73" s="680"/>
      <c r="H73" s="680"/>
      <c r="I73" s="680"/>
      <c r="J73" s="680"/>
      <c r="K73" s="680"/>
      <c r="L73" s="680"/>
      <c r="M73" s="880"/>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ht="15">
      <c r="A80" s="661"/>
      <c r="B80" s="673"/>
      <c r="C80" s="883">
        <v>0.5</v>
      </c>
      <c r="D80" s="883">
        <v>0.6</v>
      </c>
      <c r="E80" s="883">
        <v>0.7</v>
      </c>
      <c r="F80" s="883">
        <v>0.8</v>
      </c>
      <c r="G80" s="883">
        <v>0.9</v>
      </c>
      <c r="H80" s="883">
        <v>1.0001</v>
      </c>
      <c r="I80" s="924"/>
      <c r="J80" s="924"/>
      <c r="K80" s="934"/>
      <c r="L80" s="935"/>
      <c r="M80" s="936"/>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5.75"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80"/>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5"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5.75"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5"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5.75"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5" thickTop="1">
      <c r="A95" s="727"/>
      <c r="B95" s="906">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5.75"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27" priority="18" stopIfTrue="1" operator="containsText" text="超过">
      <formula>NOT(ISERROR(SEARCH("超过",F40)))</formula>
    </cfRule>
  </conditionalFormatting>
  <conditionalFormatting sqref="J42">
    <cfRule type="containsText" dxfId="26" priority="17" stopIfTrue="1" operator="containsText" text="超过">
      <formula>NOT(ISERROR(SEARCH("超过",J42)))</formula>
    </cfRule>
  </conditionalFormatting>
  <conditionalFormatting sqref="H42">
    <cfRule type="containsText" dxfId="25" priority="16" stopIfTrue="1" operator="containsText" text="超过">
      <formula>NOT(ISERROR(SEARCH("超过",H42)))</formula>
    </cfRule>
  </conditionalFormatting>
  <conditionalFormatting sqref="F42">
    <cfRule type="containsText" dxfId="24" priority="15" stopIfTrue="1" operator="containsText" text="超过">
      <formula>NOT(ISERROR(SEARCH("超过",F42)))</formula>
    </cfRule>
  </conditionalFormatting>
  <conditionalFormatting sqref="F41 H41 J41">
    <cfRule type="containsText" dxfId="23" priority="14" stopIfTrue="1" operator="containsText" text="超过">
      <formula>NOT(ISERROR(SEARCH("超过",F41)))</formula>
    </cfRule>
  </conditionalFormatting>
  <conditionalFormatting sqref="E40">
    <cfRule type="expression" dxfId="22" priority="13" stopIfTrue="1">
      <formula>$F$40="超过30%"</formula>
    </cfRule>
  </conditionalFormatting>
  <conditionalFormatting sqref="G42">
    <cfRule type="expression" dxfId="21" priority="12" stopIfTrue="1">
      <formula>$H$54+$H$42="超过30%"</formula>
    </cfRule>
  </conditionalFormatting>
  <conditionalFormatting sqref="E41">
    <cfRule type="expression" dxfId="20" priority="11" stopIfTrue="1">
      <formula>$F$41="超过20%"</formula>
    </cfRule>
  </conditionalFormatting>
  <conditionalFormatting sqref="E42">
    <cfRule type="expression" dxfId="19" priority="10" stopIfTrue="1">
      <formula>$F$42="超过30%"</formula>
    </cfRule>
  </conditionalFormatting>
  <conditionalFormatting sqref="G40">
    <cfRule type="expression" dxfId="18" priority="9" stopIfTrue="1">
      <formula>$H$52+$H$40="超过30%"</formula>
    </cfRule>
  </conditionalFormatting>
  <conditionalFormatting sqref="G41">
    <cfRule type="expression" dxfId="17" priority="8" stopIfTrue="1">
      <formula>$H$53+$H$41="超过20%"</formula>
    </cfRule>
  </conditionalFormatting>
  <conditionalFormatting sqref="I40">
    <cfRule type="expression" dxfId="16" priority="7" stopIfTrue="1">
      <formula>$J$40="超过30%"</formula>
    </cfRule>
  </conditionalFormatting>
  <conditionalFormatting sqref="I41">
    <cfRule type="expression" dxfId="15" priority="6" stopIfTrue="1">
      <formula>$J$41="超过20%"</formula>
    </cfRule>
  </conditionalFormatting>
  <conditionalFormatting sqref="I42">
    <cfRule type="expression" dxfId="14" priority="5" stopIfTrue="1">
      <formula>$J$42="超过30%"</formula>
    </cfRule>
  </conditionalFormatting>
  <conditionalFormatting sqref="F36">
    <cfRule type="expression" dxfId="13" priority="4">
      <formula>$D$36="简单平均"</formula>
    </cfRule>
  </conditionalFormatting>
  <conditionalFormatting sqref="H36">
    <cfRule type="expression" dxfId="12" priority="3">
      <formula>$D$36="简单平均"</formula>
    </cfRule>
  </conditionalFormatting>
  <conditionalFormatting sqref="J36">
    <cfRule type="expression" dxfId="11" priority="2">
      <formula>$D$36="简单平均"</formula>
    </cfRule>
  </conditionalFormatting>
  <conditionalFormatting sqref="F7:F34 H7:H34 J7:J34">
    <cfRule type="cellIs" dxfId="10"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495" activePane="bottomLeft" state="frozen"/>
      <selection activeCell="W502" sqref="W502"/>
      <selection pane="bottomLeft" activeCell="W502" sqref="W502"/>
    </sheetView>
  </sheetViews>
  <sheetFormatPr defaultColWidth="9" defaultRowHeight="12.75"/>
  <cols>
    <col min="1" max="1" width="11.5" style="1203" customWidth="1"/>
    <col min="2" max="2" width="9.1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3" t="s">
        <v>2290</v>
      </c>
      <c r="C1" s="3590" t="s">
        <v>2291</v>
      </c>
      <c r="D1" s="3591"/>
      <c r="E1" s="3591"/>
      <c r="F1" s="3591"/>
      <c r="G1" s="3591"/>
      <c r="H1" s="3591"/>
      <c r="I1" s="3591"/>
      <c r="J1" s="3591"/>
      <c r="K1" s="3591"/>
      <c r="L1" s="3591"/>
      <c r="M1" s="3591"/>
      <c r="N1" s="3591"/>
      <c r="O1" s="3591"/>
      <c r="P1" s="3591"/>
      <c r="Q1" s="3591"/>
      <c r="R1" s="3591"/>
      <c r="S1" s="3592"/>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9" t="s">
        <v>2293</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5" t="str">
        <f>S3&amp;"(含)"&amp;"-"</f>
        <v>(含)-</v>
      </c>
      <c r="T2" s="940"/>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1"/>
      <c r="C3" s="942"/>
      <c r="D3" s="943"/>
      <c r="E3" s="943"/>
      <c r="F3" s="943"/>
      <c r="G3" s="943"/>
      <c r="H3" s="943"/>
      <c r="I3" s="943"/>
      <c r="J3" s="944"/>
      <c r="K3" s="944"/>
      <c r="L3" s="945"/>
      <c r="M3" s="2118"/>
      <c r="N3" s="2119"/>
      <c r="O3" s="943"/>
      <c r="P3" s="943"/>
      <c r="Q3" s="943"/>
      <c r="R3" s="943"/>
      <c r="S3" s="2120"/>
      <c r="T3" s="946"/>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6" t="s">
        <v>2892</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8" t="s">
        <v>2891</v>
      </c>
      <c r="C7" s="1874"/>
      <c r="D7" s="1875"/>
      <c r="E7" s="1875"/>
      <c r="F7" s="1875"/>
      <c r="G7" s="1875"/>
      <c r="H7" s="1875"/>
      <c r="I7" s="1875"/>
      <c r="J7" s="1875"/>
      <c r="K7" s="1875"/>
      <c r="L7" s="1875"/>
      <c r="M7" s="2138"/>
      <c r="N7" s="2139"/>
      <c r="O7" s="2140"/>
      <c r="P7" s="2141"/>
      <c r="Q7" s="2142"/>
      <c r="R7" s="2143"/>
      <c r="S7" s="2144"/>
      <c r="T7" s="947"/>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8" t="s">
        <v>2890</v>
      </c>
      <c r="C9" s="1874"/>
      <c r="D9" s="1875"/>
      <c r="E9" s="1875"/>
      <c r="F9" s="1875"/>
      <c r="G9" s="1875"/>
      <c r="H9" s="1875"/>
      <c r="I9" s="1875"/>
      <c r="J9" s="1875"/>
      <c r="K9" s="1875"/>
      <c r="L9" s="1876"/>
      <c r="M9" s="2138"/>
      <c r="N9" s="2139"/>
      <c r="O9" s="2140"/>
      <c r="P9" s="2141"/>
      <c r="Q9" s="2142"/>
      <c r="R9" s="2143"/>
      <c r="S9" s="2144"/>
      <c r="T9" s="947"/>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7"/>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6" t="s">
        <v>2903</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6" t="s">
        <v>2889</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6" t="s">
        <v>2888</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9"/>
      <c r="B19" s="937"/>
      <c r="C19" s="1901"/>
      <c r="D19" s="1901"/>
      <c r="E19" s="1901"/>
      <c r="F19" s="1901"/>
      <c r="G19" s="1901"/>
      <c r="H19" s="1901"/>
      <c r="I19" s="1901"/>
      <c r="J19" s="1901"/>
      <c r="K19" s="1901"/>
      <c r="L19" s="1901"/>
      <c r="M19" s="1901"/>
      <c r="N19" s="1901"/>
      <c r="O19" s="1901"/>
      <c r="P19" s="1901"/>
      <c r="Q19" s="1901"/>
      <c r="R19" s="2104"/>
      <c r="S19" s="1910"/>
    </row>
    <row r="20" spans="1:45" ht="15.75">
      <c r="A20" s="948" t="s">
        <v>822</v>
      </c>
      <c r="B20" s="765">
        <f>S22</f>
        <v>0</v>
      </c>
      <c r="C20" s="1901"/>
      <c r="D20" s="1901"/>
      <c r="E20" s="1901"/>
      <c r="F20" s="1901"/>
      <c r="G20" s="1901"/>
      <c r="H20" s="1901"/>
      <c r="I20" s="1901"/>
      <c r="J20" s="1901"/>
      <c r="K20" s="1901"/>
      <c r="L20" s="1901"/>
      <c r="M20" s="1901"/>
      <c r="N20" s="1901"/>
      <c r="O20" s="1901"/>
      <c r="P20" s="1901"/>
      <c r="Q20" s="1901"/>
      <c r="R20" s="2104"/>
      <c r="S20" s="1910"/>
    </row>
    <row r="21" spans="1:45" ht="15.75">
      <c r="A21" s="948" t="str">
        <f>IF(B23="土地面积","地面单价","楼面单价")</f>
        <v>楼面单价</v>
      </c>
      <c r="B21" s="765" t="e">
        <f>R22</f>
        <v>#DIV/0!</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0</v>
      </c>
      <c r="C22" s="3587" t="s">
        <v>20</v>
      </c>
      <c r="D22" s="3588"/>
      <c r="E22" s="3588"/>
      <c r="F22" s="3588"/>
      <c r="G22" s="3588"/>
      <c r="H22" s="3588"/>
      <c r="I22" s="3588"/>
      <c r="J22" s="3588"/>
      <c r="K22" s="3588"/>
      <c r="L22" s="3588"/>
      <c r="M22" s="3588"/>
      <c r="N22" s="3588"/>
      <c r="O22" s="3588"/>
      <c r="P22" s="3588"/>
      <c r="Q22" s="3589"/>
      <c r="R22" s="484" t="e">
        <f>ROUND(S22*10000/B22,0)</f>
        <v>#DIV/0!</v>
      </c>
      <c r="S22" s="53">
        <f>SUM(S24:S10000)</f>
        <v>0</v>
      </c>
    </row>
    <row r="23" spans="1:45" s="1542" customFormat="1" ht="24">
      <c r="A23" s="17" t="s">
        <v>824</v>
      </c>
      <c r="B23" s="2860" t="s">
        <v>2911</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5">
        <v>1</v>
      </c>
      <c r="D24" s="3276"/>
      <c r="E24" s="3275">
        <v>1</v>
      </c>
      <c r="F24" s="3276"/>
      <c r="G24" s="3275">
        <v>1</v>
      </c>
      <c r="H24" s="3276"/>
      <c r="I24" s="3275">
        <v>1</v>
      </c>
      <c r="J24" s="3276"/>
      <c r="K24" s="3275">
        <v>1</v>
      </c>
      <c r="L24" s="3276"/>
      <c r="M24" s="3275">
        <v>1</v>
      </c>
      <c r="N24" s="3276"/>
      <c r="O24" s="3275">
        <v>1</v>
      </c>
      <c r="P24" s="3276"/>
      <c r="Q24" s="3275">
        <v>1</v>
      </c>
      <c r="R24" s="952"/>
      <c r="S24" s="950">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657" customWidth="1"/>
    <col min="2" max="2" width="13.125" style="2663" customWidth="1"/>
    <col min="3" max="3" width="15.625" style="2663" customWidth="1"/>
    <col min="4" max="4" width="9.375" style="2663" bestFit="1" customWidth="1"/>
    <col min="5" max="5" width="13.5" style="2663" customWidth="1"/>
    <col min="6" max="6" width="9" style="2663"/>
    <col min="7" max="7" width="9.375" style="2663" bestFit="1" customWidth="1"/>
    <col min="8" max="9" width="9" style="2663"/>
    <col min="10" max="10" width="9.375" style="2663" bestFit="1" customWidth="1"/>
    <col min="11" max="11" width="4" style="2657" customWidth="1"/>
    <col min="12" max="12" width="5.125" style="2663" customWidth="1"/>
    <col min="13" max="13" width="13.625" style="2663" customWidth="1"/>
    <col min="14" max="256" width="9" style="2663"/>
    <col min="257" max="257" width="4.875" style="2655" customWidth="1"/>
    <col min="258" max="258" width="13.125" style="2655" customWidth="1"/>
    <col min="259" max="259" width="15.625" style="2655" customWidth="1"/>
    <col min="260" max="260" width="9.375" style="2655" bestFit="1" customWidth="1"/>
    <col min="261" max="261" width="13.5" style="2655" customWidth="1"/>
    <col min="262" max="262" width="9" style="2655"/>
    <col min="263" max="263" width="9.375" style="2655" bestFit="1" customWidth="1"/>
    <col min="264" max="265" width="9" style="2655"/>
    <col min="266" max="266" width="9.375" style="2655" bestFit="1" customWidth="1"/>
    <col min="267" max="267" width="4" style="2655" customWidth="1"/>
    <col min="268" max="268" width="5.125" style="2655" customWidth="1"/>
    <col min="269" max="269" width="13.625" style="2655" customWidth="1"/>
    <col min="270" max="512" width="9" style="2655"/>
    <col min="513" max="513" width="4.875" style="2655" customWidth="1"/>
    <col min="514" max="514" width="13.125" style="2655" customWidth="1"/>
    <col min="515" max="515" width="15.625" style="2655" customWidth="1"/>
    <col min="516" max="516" width="9.375" style="2655" bestFit="1" customWidth="1"/>
    <col min="517" max="517" width="13.5" style="2655" customWidth="1"/>
    <col min="518" max="518" width="9" style="2655"/>
    <col min="519" max="519" width="9.375" style="2655" bestFit="1" customWidth="1"/>
    <col min="520" max="521" width="9" style="2655"/>
    <col min="522" max="522" width="9.375" style="2655" bestFit="1" customWidth="1"/>
    <col min="523" max="523" width="4" style="2655" customWidth="1"/>
    <col min="524" max="524" width="5.125" style="2655" customWidth="1"/>
    <col min="525" max="525" width="13.625" style="2655" customWidth="1"/>
    <col min="526" max="768" width="9" style="2655"/>
    <col min="769" max="769" width="4.875" style="2655" customWidth="1"/>
    <col min="770" max="770" width="13.125" style="2655" customWidth="1"/>
    <col min="771" max="771" width="15.625" style="2655" customWidth="1"/>
    <col min="772" max="772" width="9.375" style="2655" bestFit="1" customWidth="1"/>
    <col min="773" max="773" width="13.5" style="2655" customWidth="1"/>
    <col min="774" max="774" width="9" style="2655"/>
    <col min="775" max="775" width="9.375" style="2655" bestFit="1" customWidth="1"/>
    <col min="776" max="777" width="9" style="2655"/>
    <col min="778" max="778" width="9.375" style="2655" bestFit="1" customWidth="1"/>
    <col min="779" max="779" width="4" style="2655" customWidth="1"/>
    <col min="780" max="780" width="5.125" style="2655" customWidth="1"/>
    <col min="781" max="781" width="13.625" style="2655" customWidth="1"/>
    <col min="782" max="1024" width="9" style="2655"/>
    <col min="1025" max="1025" width="4.875" style="2655" customWidth="1"/>
    <col min="1026" max="1026" width="13.125" style="2655" customWidth="1"/>
    <col min="1027" max="1027" width="15.625" style="2655" customWidth="1"/>
    <col min="1028" max="1028" width="9.375" style="2655" bestFit="1" customWidth="1"/>
    <col min="1029" max="1029" width="13.5" style="2655" customWidth="1"/>
    <col min="1030" max="1030" width="9" style="2655"/>
    <col min="1031" max="1031" width="9.375" style="2655" bestFit="1" customWidth="1"/>
    <col min="1032" max="1033" width="9" style="2655"/>
    <col min="1034" max="1034" width="9.375" style="2655" bestFit="1" customWidth="1"/>
    <col min="1035" max="1035" width="4" style="2655" customWidth="1"/>
    <col min="1036" max="1036" width="5.125" style="2655" customWidth="1"/>
    <col min="1037" max="1037" width="13.625" style="2655" customWidth="1"/>
    <col min="1038" max="1280" width="9" style="2655"/>
    <col min="1281" max="1281" width="4.875" style="2655" customWidth="1"/>
    <col min="1282" max="1282" width="13.125" style="2655" customWidth="1"/>
    <col min="1283" max="1283" width="15.625" style="2655" customWidth="1"/>
    <col min="1284" max="1284" width="9.375" style="2655" bestFit="1" customWidth="1"/>
    <col min="1285" max="1285" width="13.5" style="2655" customWidth="1"/>
    <col min="1286" max="1286" width="9" style="2655"/>
    <col min="1287" max="1287" width="9.375" style="2655" bestFit="1" customWidth="1"/>
    <col min="1288" max="1289" width="9" style="2655"/>
    <col min="1290" max="1290" width="9.375" style="2655" bestFit="1" customWidth="1"/>
    <col min="1291" max="1291" width="4" style="2655" customWidth="1"/>
    <col min="1292" max="1292" width="5.125" style="2655" customWidth="1"/>
    <col min="1293" max="1293" width="13.625" style="2655" customWidth="1"/>
    <col min="1294" max="1536" width="9" style="2655"/>
    <col min="1537" max="1537" width="4.875" style="2655" customWidth="1"/>
    <col min="1538" max="1538" width="13.125" style="2655" customWidth="1"/>
    <col min="1539" max="1539" width="15.625" style="2655" customWidth="1"/>
    <col min="1540" max="1540" width="9.375" style="2655" bestFit="1" customWidth="1"/>
    <col min="1541" max="1541" width="13.5" style="2655" customWidth="1"/>
    <col min="1542" max="1542" width="9" style="2655"/>
    <col min="1543" max="1543" width="9.375" style="2655" bestFit="1" customWidth="1"/>
    <col min="1544" max="1545" width="9" style="2655"/>
    <col min="1546" max="1546" width="9.375" style="2655" bestFit="1" customWidth="1"/>
    <col min="1547" max="1547" width="4" style="2655" customWidth="1"/>
    <col min="1548" max="1548" width="5.125" style="2655" customWidth="1"/>
    <col min="1549" max="1549" width="13.625" style="2655" customWidth="1"/>
    <col min="1550" max="1792" width="9" style="2655"/>
    <col min="1793" max="1793" width="4.875" style="2655" customWidth="1"/>
    <col min="1794" max="1794" width="13.125" style="2655" customWidth="1"/>
    <col min="1795" max="1795" width="15.625" style="2655" customWidth="1"/>
    <col min="1796" max="1796" width="9.375" style="2655" bestFit="1" customWidth="1"/>
    <col min="1797" max="1797" width="13.5" style="2655" customWidth="1"/>
    <col min="1798" max="1798" width="9" style="2655"/>
    <col min="1799" max="1799" width="9.375" style="2655" bestFit="1" customWidth="1"/>
    <col min="1800" max="1801" width="9" style="2655"/>
    <col min="1802" max="1802" width="9.375" style="2655" bestFit="1" customWidth="1"/>
    <col min="1803" max="1803" width="4" style="2655" customWidth="1"/>
    <col min="1804" max="1804" width="5.125" style="2655" customWidth="1"/>
    <col min="1805" max="1805" width="13.625" style="2655" customWidth="1"/>
    <col min="1806" max="2048" width="9" style="2655"/>
    <col min="2049" max="2049" width="4.875" style="2655" customWidth="1"/>
    <col min="2050" max="2050" width="13.125" style="2655" customWidth="1"/>
    <col min="2051" max="2051" width="15.625" style="2655" customWidth="1"/>
    <col min="2052" max="2052" width="9.375" style="2655" bestFit="1" customWidth="1"/>
    <col min="2053" max="2053" width="13.5" style="2655" customWidth="1"/>
    <col min="2054" max="2054" width="9" style="2655"/>
    <col min="2055" max="2055" width="9.375" style="2655" bestFit="1" customWidth="1"/>
    <col min="2056" max="2057" width="9" style="2655"/>
    <col min="2058" max="2058" width="9.375" style="2655" bestFit="1" customWidth="1"/>
    <col min="2059" max="2059" width="4" style="2655" customWidth="1"/>
    <col min="2060" max="2060" width="5.125" style="2655" customWidth="1"/>
    <col min="2061" max="2061" width="13.625" style="2655" customWidth="1"/>
    <col min="2062" max="2304" width="9" style="2655"/>
    <col min="2305" max="2305" width="4.875" style="2655" customWidth="1"/>
    <col min="2306" max="2306" width="13.125" style="2655" customWidth="1"/>
    <col min="2307" max="2307" width="15.625" style="2655" customWidth="1"/>
    <col min="2308" max="2308" width="9.375" style="2655" bestFit="1" customWidth="1"/>
    <col min="2309" max="2309" width="13.5" style="2655" customWidth="1"/>
    <col min="2310" max="2310" width="9" style="2655"/>
    <col min="2311" max="2311" width="9.375" style="2655" bestFit="1" customWidth="1"/>
    <col min="2312" max="2313" width="9" style="2655"/>
    <col min="2314" max="2314" width="9.375" style="2655" bestFit="1" customWidth="1"/>
    <col min="2315" max="2315" width="4" style="2655" customWidth="1"/>
    <col min="2316" max="2316" width="5.125" style="2655" customWidth="1"/>
    <col min="2317" max="2317" width="13.625" style="2655" customWidth="1"/>
    <col min="2318" max="2560" width="9" style="2655"/>
    <col min="2561" max="2561" width="4.875" style="2655" customWidth="1"/>
    <col min="2562" max="2562" width="13.125" style="2655" customWidth="1"/>
    <col min="2563" max="2563" width="15.625" style="2655" customWidth="1"/>
    <col min="2564" max="2564" width="9.375" style="2655" bestFit="1" customWidth="1"/>
    <col min="2565" max="2565" width="13.5" style="2655" customWidth="1"/>
    <col min="2566" max="2566" width="9" style="2655"/>
    <col min="2567" max="2567" width="9.375" style="2655" bestFit="1" customWidth="1"/>
    <col min="2568" max="2569" width="9" style="2655"/>
    <col min="2570" max="2570" width="9.375" style="2655" bestFit="1" customWidth="1"/>
    <col min="2571" max="2571" width="4" style="2655" customWidth="1"/>
    <col min="2572" max="2572" width="5.125" style="2655" customWidth="1"/>
    <col min="2573" max="2573" width="13.625" style="2655" customWidth="1"/>
    <col min="2574" max="2816" width="9" style="2655"/>
    <col min="2817" max="2817" width="4.875" style="2655" customWidth="1"/>
    <col min="2818" max="2818" width="13.125" style="2655" customWidth="1"/>
    <col min="2819" max="2819" width="15.625" style="2655" customWidth="1"/>
    <col min="2820" max="2820" width="9.375" style="2655" bestFit="1" customWidth="1"/>
    <col min="2821" max="2821" width="13.5" style="2655" customWidth="1"/>
    <col min="2822" max="2822" width="9" style="2655"/>
    <col min="2823" max="2823" width="9.375" style="2655" bestFit="1" customWidth="1"/>
    <col min="2824" max="2825" width="9" style="2655"/>
    <col min="2826" max="2826" width="9.375" style="2655" bestFit="1" customWidth="1"/>
    <col min="2827" max="2827" width="4" style="2655" customWidth="1"/>
    <col min="2828" max="2828" width="5.125" style="2655" customWidth="1"/>
    <col min="2829" max="2829" width="13.625" style="2655" customWidth="1"/>
    <col min="2830" max="3072" width="9" style="2655"/>
    <col min="3073" max="3073" width="4.875" style="2655" customWidth="1"/>
    <col min="3074" max="3074" width="13.125" style="2655" customWidth="1"/>
    <col min="3075" max="3075" width="15.625" style="2655" customWidth="1"/>
    <col min="3076" max="3076" width="9.375" style="2655" bestFit="1" customWidth="1"/>
    <col min="3077" max="3077" width="13.5" style="2655" customWidth="1"/>
    <col min="3078" max="3078" width="9" style="2655"/>
    <col min="3079" max="3079" width="9.375" style="2655" bestFit="1" customWidth="1"/>
    <col min="3080" max="3081" width="9" style="2655"/>
    <col min="3082" max="3082" width="9.375" style="2655" bestFit="1" customWidth="1"/>
    <col min="3083" max="3083" width="4" style="2655" customWidth="1"/>
    <col min="3084" max="3084" width="5.125" style="2655" customWidth="1"/>
    <col min="3085" max="3085" width="13.625" style="2655" customWidth="1"/>
    <col min="3086" max="3328" width="9" style="2655"/>
    <col min="3329" max="3329" width="4.875" style="2655" customWidth="1"/>
    <col min="3330" max="3330" width="13.125" style="2655" customWidth="1"/>
    <col min="3331" max="3331" width="15.625" style="2655" customWidth="1"/>
    <col min="3332" max="3332" width="9.375" style="2655" bestFit="1" customWidth="1"/>
    <col min="3333" max="3333" width="13.5" style="2655" customWidth="1"/>
    <col min="3334" max="3334" width="9" style="2655"/>
    <col min="3335" max="3335" width="9.375" style="2655" bestFit="1" customWidth="1"/>
    <col min="3336" max="3337" width="9" style="2655"/>
    <col min="3338" max="3338" width="9.375" style="2655" bestFit="1" customWidth="1"/>
    <col min="3339" max="3339" width="4" style="2655" customWidth="1"/>
    <col min="3340" max="3340" width="5.125" style="2655" customWidth="1"/>
    <col min="3341" max="3341" width="13.625" style="2655" customWidth="1"/>
    <col min="3342" max="3584" width="9" style="2655"/>
    <col min="3585" max="3585" width="4.875" style="2655" customWidth="1"/>
    <col min="3586" max="3586" width="13.125" style="2655" customWidth="1"/>
    <col min="3587" max="3587" width="15.625" style="2655" customWidth="1"/>
    <col min="3588" max="3588" width="9.375" style="2655" bestFit="1" customWidth="1"/>
    <col min="3589" max="3589" width="13.5" style="2655" customWidth="1"/>
    <col min="3590" max="3590" width="9" style="2655"/>
    <col min="3591" max="3591" width="9.375" style="2655" bestFit="1" customWidth="1"/>
    <col min="3592" max="3593" width="9" style="2655"/>
    <col min="3594" max="3594" width="9.375" style="2655" bestFit="1" customWidth="1"/>
    <col min="3595" max="3595" width="4" style="2655" customWidth="1"/>
    <col min="3596" max="3596" width="5.125" style="2655" customWidth="1"/>
    <col min="3597" max="3597" width="13.625" style="2655" customWidth="1"/>
    <col min="3598" max="3840" width="9" style="2655"/>
    <col min="3841" max="3841" width="4.875" style="2655" customWidth="1"/>
    <col min="3842" max="3842" width="13.125" style="2655" customWidth="1"/>
    <col min="3843" max="3843" width="15.625" style="2655" customWidth="1"/>
    <col min="3844" max="3844" width="9.375" style="2655" bestFit="1" customWidth="1"/>
    <col min="3845" max="3845" width="13.5" style="2655" customWidth="1"/>
    <col min="3846" max="3846" width="9" style="2655"/>
    <col min="3847" max="3847" width="9.375" style="2655" bestFit="1" customWidth="1"/>
    <col min="3848" max="3849" width="9" style="2655"/>
    <col min="3850" max="3850" width="9.375" style="2655" bestFit="1" customWidth="1"/>
    <col min="3851" max="3851" width="4" style="2655" customWidth="1"/>
    <col min="3852" max="3852" width="5.125" style="2655" customWidth="1"/>
    <col min="3853" max="3853" width="13.625" style="2655" customWidth="1"/>
    <col min="3854" max="4096" width="9" style="2655"/>
    <col min="4097" max="4097" width="4.875" style="2655" customWidth="1"/>
    <col min="4098" max="4098" width="13.125" style="2655" customWidth="1"/>
    <col min="4099" max="4099" width="15.625" style="2655" customWidth="1"/>
    <col min="4100" max="4100" width="9.375" style="2655" bestFit="1" customWidth="1"/>
    <col min="4101" max="4101" width="13.5" style="2655" customWidth="1"/>
    <col min="4102" max="4102" width="9" style="2655"/>
    <col min="4103" max="4103" width="9.375" style="2655" bestFit="1" customWidth="1"/>
    <col min="4104" max="4105" width="9" style="2655"/>
    <col min="4106" max="4106" width="9.375" style="2655" bestFit="1" customWidth="1"/>
    <col min="4107" max="4107" width="4" style="2655" customWidth="1"/>
    <col min="4108" max="4108" width="5.125" style="2655" customWidth="1"/>
    <col min="4109" max="4109" width="13.625" style="2655" customWidth="1"/>
    <col min="4110" max="4352" width="9" style="2655"/>
    <col min="4353" max="4353" width="4.875" style="2655" customWidth="1"/>
    <col min="4354" max="4354" width="13.125" style="2655" customWidth="1"/>
    <col min="4355" max="4355" width="15.625" style="2655" customWidth="1"/>
    <col min="4356" max="4356" width="9.375" style="2655" bestFit="1" customWidth="1"/>
    <col min="4357" max="4357" width="13.5" style="2655" customWidth="1"/>
    <col min="4358" max="4358" width="9" style="2655"/>
    <col min="4359" max="4359" width="9.375" style="2655" bestFit="1" customWidth="1"/>
    <col min="4360" max="4361" width="9" style="2655"/>
    <col min="4362" max="4362" width="9.375" style="2655" bestFit="1" customWidth="1"/>
    <col min="4363" max="4363" width="4" style="2655" customWidth="1"/>
    <col min="4364" max="4364" width="5.125" style="2655" customWidth="1"/>
    <col min="4365" max="4365" width="13.625" style="2655" customWidth="1"/>
    <col min="4366" max="4608" width="9" style="2655"/>
    <col min="4609" max="4609" width="4.875" style="2655" customWidth="1"/>
    <col min="4610" max="4610" width="13.125" style="2655" customWidth="1"/>
    <col min="4611" max="4611" width="15.625" style="2655" customWidth="1"/>
    <col min="4612" max="4612" width="9.375" style="2655" bestFit="1" customWidth="1"/>
    <col min="4613" max="4613" width="13.5" style="2655" customWidth="1"/>
    <col min="4614" max="4614" width="9" style="2655"/>
    <col min="4615" max="4615" width="9.375" style="2655" bestFit="1" customWidth="1"/>
    <col min="4616" max="4617" width="9" style="2655"/>
    <col min="4618" max="4618" width="9.375" style="2655" bestFit="1" customWidth="1"/>
    <col min="4619" max="4619" width="4" style="2655" customWidth="1"/>
    <col min="4620" max="4620" width="5.125" style="2655" customWidth="1"/>
    <col min="4621" max="4621" width="13.625" style="2655" customWidth="1"/>
    <col min="4622" max="4864" width="9" style="2655"/>
    <col min="4865" max="4865" width="4.875" style="2655" customWidth="1"/>
    <col min="4866" max="4866" width="13.125" style="2655" customWidth="1"/>
    <col min="4867" max="4867" width="15.625" style="2655" customWidth="1"/>
    <col min="4868" max="4868" width="9.375" style="2655" bestFit="1" customWidth="1"/>
    <col min="4869" max="4869" width="13.5" style="2655" customWidth="1"/>
    <col min="4870" max="4870" width="9" style="2655"/>
    <col min="4871" max="4871" width="9.375" style="2655" bestFit="1" customWidth="1"/>
    <col min="4872" max="4873" width="9" style="2655"/>
    <col min="4874" max="4874" width="9.375" style="2655" bestFit="1" customWidth="1"/>
    <col min="4875" max="4875" width="4" style="2655" customWidth="1"/>
    <col min="4876" max="4876" width="5.125" style="2655" customWidth="1"/>
    <col min="4877" max="4877" width="13.625" style="2655" customWidth="1"/>
    <col min="4878" max="5120" width="9" style="2655"/>
    <col min="5121" max="5121" width="4.875" style="2655" customWidth="1"/>
    <col min="5122" max="5122" width="13.125" style="2655" customWidth="1"/>
    <col min="5123" max="5123" width="15.625" style="2655" customWidth="1"/>
    <col min="5124" max="5124" width="9.375" style="2655" bestFit="1" customWidth="1"/>
    <col min="5125" max="5125" width="13.5" style="2655" customWidth="1"/>
    <col min="5126" max="5126" width="9" style="2655"/>
    <col min="5127" max="5127" width="9.375" style="2655" bestFit="1" customWidth="1"/>
    <col min="5128" max="5129" width="9" style="2655"/>
    <col min="5130" max="5130" width="9.375" style="2655" bestFit="1" customWidth="1"/>
    <col min="5131" max="5131" width="4" style="2655" customWidth="1"/>
    <col min="5132" max="5132" width="5.125" style="2655" customWidth="1"/>
    <col min="5133" max="5133" width="13.625" style="2655" customWidth="1"/>
    <col min="5134" max="5376" width="9" style="2655"/>
    <col min="5377" max="5377" width="4.875" style="2655" customWidth="1"/>
    <col min="5378" max="5378" width="13.125" style="2655" customWidth="1"/>
    <col min="5379" max="5379" width="15.625" style="2655" customWidth="1"/>
    <col min="5380" max="5380" width="9.375" style="2655" bestFit="1" customWidth="1"/>
    <col min="5381" max="5381" width="13.5" style="2655" customWidth="1"/>
    <col min="5382" max="5382" width="9" style="2655"/>
    <col min="5383" max="5383" width="9.375" style="2655" bestFit="1" customWidth="1"/>
    <col min="5384" max="5385" width="9" style="2655"/>
    <col min="5386" max="5386" width="9.375" style="2655" bestFit="1" customWidth="1"/>
    <col min="5387" max="5387" width="4" style="2655" customWidth="1"/>
    <col min="5388" max="5388" width="5.125" style="2655" customWidth="1"/>
    <col min="5389" max="5389" width="13.625" style="2655" customWidth="1"/>
    <col min="5390" max="5632" width="9" style="2655"/>
    <col min="5633" max="5633" width="4.875" style="2655" customWidth="1"/>
    <col min="5634" max="5634" width="13.125" style="2655" customWidth="1"/>
    <col min="5635" max="5635" width="15.625" style="2655" customWidth="1"/>
    <col min="5636" max="5636" width="9.375" style="2655" bestFit="1" customWidth="1"/>
    <col min="5637" max="5637" width="13.5" style="2655" customWidth="1"/>
    <col min="5638" max="5638" width="9" style="2655"/>
    <col min="5639" max="5639" width="9.375" style="2655" bestFit="1" customWidth="1"/>
    <col min="5640" max="5641" width="9" style="2655"/>
    <col min="5642" max="5642" width="9.375" style="2655" bestFit="1" customWidth="1"/>
    <col min="5643" max="5643" width="4" style="2655" customWidth="1"/>
    <col min="5644" max="5644" width="5.125" style="2655" customWidth="1"/>
    <col min="5645" max="5645" width="13.625" style="2655" customWidth="1"/>
    <col min="5646" max="5888" width="9" style="2655"/>
    <col min="5889" max="5889" width="4.875" style="2655" customWidth="1"/>
    <col min="5890" max="5890" width="13.125" style="2655" customWidth="1"/>
    <col min="5891" max="5891" width="15.625" style="2655" customWidth="1"/>
    <col min="5892" max="5892" width="9.375" style="2655" bestFit="1" customWidth="1"/>
    <col min="5893" max="5893" width="13.5" style="2655" customWidth="1"/>
    <col min="5894" max="5894" width="9" style="2655"/>
    <col min="5895" max="5895" width="9.375" style="2655" bestFit="1" customWidth="1"/>
    <col min="5896" max="5897" width="9" style="2655"/>
    <col min="5898" max="5898" width="9.375" style="2655" bestFit="1" customWidth="1"/>
    <col min="5899" max="5899" width="4" style="2655" customWidth="1"/>
    <col min="5900" max="5900" width="5.125" style="2655" customWidth="1"/>
    <col min="5901" max="5901" width="13.625" style="2655" customWidth="1"/>
    <col min="5902" max="6144" width="9" style="2655"/>
    <col min="6145" max="6145" width="4.875" style="2655" customWidth="1"/>
    <col min="6146" max="6146" width="13.125" style="2655" customWidth="1"/>
    <col min="6147" max="6147" width="15.625" style="2655" customWidth="1"/>
    <col min="6148" max="6148" width="9.375" style="2655" bestFit="1" customWidth="1"/>
    <col min="6149" max="6149" width="13.5" style="2655" customWidth="1"/>
    <col min="6150" max="6150" width="9" style="2655"/>
    <col min="6151" max="6151" width="9.375" style="2655" bestFit="1" customWidth="1"/>
    <col min="6152" max="6153" width="9" style="2655"/>
    <col min="6154" max="6154" width="9.375" style="2655" bestFit="1" customWidth="1"/>
    <col min="6155" max="6155" width="4" style="2655" customWidth="1"/>
    <col min="6156" max="6156" width="5.125" style="2655" customWidth="1"/>
    <col min="6157" max="6157" width="13.625" style="2655" customWidth="1"/>
    <col min="6158" max="6400" width="9" style="2655"/>
    <col min="6401" max="6401" width="4.875" style="2655" customWidth="1"/>
    <col min="6402" max="6402" width="13.125" style="2655" customWidth="1"/>
    <col min="6403" max="6403" width="15.625" style="2655" customWidth="1"/>
    <col min="6404" max="6404" width="9.375" style="2655" bestFit="1" customWidth="1"/>
    <col min="6405" max="6405" width="13.5" style="2655" customWidth="1"/>
    <col min="6406" max="6406" width="9" style="2655"/>
    <col min="6407" max="6407" width="9.375" style="2655" bestFit="1" customWidth="1"/>
    <col min="6408" max="6409" width="9" style="2655"/>
    <col min="6410" max="6410" width="9.375" style="2655" bestFit="1" customWidth="1"/>
    <col min="6411" max="6411" width="4" style="2655" customWidth="1"/>
    <col min="6412" max="6412" width="5.125" style="2655" customWidth="1"/>
    <col min="6413" max="6413" width="13.625" style="2655" customWidth="1"/>
    <col min="6414" max="6656" width="9" style="2655"/>
    <col min="6657" max="6657" width="4.875" style="2655" customWidth="1"/>
    <col min="6658" max="6658" width="13.125" style="2655" customWidth="1"/>
    <col min="6659" max="6659" width="15.625" style="2655" customWidth="1"/>
    <col min="6660" max="6660" width="9.375" style="2655" bestFit="1" customWidth="1"/>
    <col min="6661" max="6661" width="13.5" style="2655" customWidth="1"/>
    <col min="6662" max="6662" width="9" style="2655"/>
    <col min="6663" max="6663" width="9.375" style="2655" bestFit="1" customWidth="1"/>
    <col min="6664" max="6665" width="9" style="2655"/>
    <col min="6666" max="6666" width="9.375" style="2655" bestFit="1" customWidth="1"/>
    <col min="6667" max="6667" width="4" style="2655" customWidth="1"/>
    <col min="6668" max="6668" width="5.125" style="2655" customWidth="1"/>
    <col min="6669" max="6669" width="13.625" style="2655" customWidth="1"/>
    <col min="6670" max="6912" width="9" style="2655"/>
    <col min="6913" max="6913" width="4.875" style="2655" customWidth="1"/>
    <col min="6914" max="6914" width="13.125" style="2655" customWidth="1"/>
    <col min="6915" max="6915" width="15.625" style="2655" customWidth="1"/>
    <col min="6916" max="6916" width="9.375" style="2655" bestFit="1" customWidth="1"/>
    <col min="6917" max="6917" width="13.5" style="2655" customWidth="1"/>
    <col min="6918" max="6918" width="9" style="2655"/>
    <col min="6919" max="6919" width="9.375" style="2655" bestFit="1" customWidth="1"/>
    <col min="6920" max="6921" width="9" style="2655"/>
    <col min="6922" max="6922" width="9.375" style="2655" bestFit="1" customWidth="1"/>
    <col min="6923" max="6923" width="4" style="2655" customWidth="1"/>
    <col min="6924" max="6924" width="5.125" style="2655" customWidth="1"/>
    <col min="6925" max="6925" width="13.625" style="2655" customWidth="1"/>
    <col min="6926" max="7168" width="9" style="2655"/>
    <col min="7169" max="7169" width="4.875" style="2655" customWidth="1"/>
    <col min="7170" max="7170" width="13.125" style="2655" customWidth="1"/>
    <col min="7171" max="7171" width="15.625" style="2655" customWidth="1"/>
    <col min="7172" max="7172" width="9.375" style="2655" bestFit="1" customWidth="1"/>
    <col min="7173" max="7173" width="13.5" style="2655" customWidth="1"/>
    <col min="7174" max="7174" width="9" style="2655"/>
    <col min="7175" max="7175" width="9.375" style="2655" bestFit="1" customWidth="1"/>
    <col min="7176" max="7177" width="9" style="2655"/>
    <col min="7178" max="7178" width="9.375" style="2655" bestFit="1" customWidth="1"/>
    <col min="7179" max="7179" width="4" style="2655" customWidth="1"/>
    <col min="7180" max="7180" width="5.125" style="2655" customWidth="1"/>
    <col min="7181" max="7181" width="13.625" style="2655" customWidth="1"/>
    <col min="7182" max="7424" width="9" style="2655"/>
    <col min="7425" max="7425" width="4.875" style="2655" customWidth="1"/>
    <col min="7426" max="7426" width="13.125" style="2655" customWidth="1"/>
    <col min="7427" max="7427" width="15.625" style="2655" customWidth="1"/>
    <col min="7428" max="7428" width="9.375" style="2655" bestFit="1" customWidth="1"/>
    <col min="7429" max="7429" width="13.5" style="2655" customWidth="1"/>
    <col min="7430" max="7430" width="9" style="2655"/>
    <col min="7431" max="7431" width="9.375" style="2655" bestFit="1" customWidth="1"/>
    <col min="7432" max="7433" width="9" style="2655"/>
    <col min="7434" max="7434" width="9.375" style="2655" bestFit="1" customWidth="1"/>
    <col min="7435" max="7435" width="4" style="2655" customWidth="1"/>
    <col min="7436" max="7436" width="5.125" style="2655" customWidth="1"/>
    <col min="7437" max="7437" width="13.625" style="2655" customWidth="1"/>
    <col min="7438" max="7680" width="9" style="2655"/>
    <col min="7681" max="7681" width="4.875" style="2655" customWidth="1"/>
    <col min="7682" max="7682" width="13.125" style="2655" customWidth="1"/>
    <col min="7683" max="7683" width="15.625" style="2655" customWidth="1"/>
    <col min="7684" max="7684" width="9.375" style="2655" bestFit="1" customWidth="1"/>
    <col min="7685" max="7685" width="13.5" style="2655" customWidth="1"/>
    <col min="7686" max="7686" width="9" style="2655"/>
    <col min="7687" max="7687" width="9.375" style="2655" bestFit="1" customWidth="1"/>
    <col min="7688" max="7689" width="9" style="2655"/>
    <col min="7690" max="7690" width="9.375" style="2655" bestFit="1" customWidth="1"/>
    <col min="7691" max="7691" width="4" style="2655" customWidth="1"/>
    <col min="7692" max="7692" width="5.125" style="2655" customWidth="1"/>
    <col min="7693" max="7693" width="13.625" style="2655" customWidth="1"/>
    <col min="7694" max="7936" width="9" style="2655"/>
    <col min="7937" max="7937" width="4.875" style="2655" customWidth="1"/>
    <col min="7938" max="7938" width="13.125" style="2655" customWidth="1"/>
    <col min="7939" max="7939" width="15.625" style="2655" customWidth="1"/>
    <col min="7940" max="7940" width="9.375" style="2655" bestFit="1" customWidth="1"/>
    <col min="7941" max="7941" width="13.5" style="2655" customWidth="1"/>
    <col min="7942" max="7942" width="9" style="2655"/>
    <col min="7943" max="7943" width="9.375" style="2655" bestFit="1" customWidth="1"/>
    <col min="7944" max="7945" width="9" style="2655"/>
    <col min="7946" max="7946" width="9.375" style="2655" bestFit="1" customWidth="1"/>
    <col min="7947" max="7947" width="4" style="2655" customWidth="1"/>
    <col min="7948" max="7948" width="5.125" style="2655" customWidth="1"/>
    <col min="7949" max="7949" width="13.625" style="2655" customWidth="1"/>
    <col min="7950" max="8192" width="9" style="2655"/>
    <col min="8193" max="8193" width="4.875" style="2655" customWidth="1"/>
    <col min="8194" max="8194" width="13.125" style="2655" customWidth="1"/>
    <col min="8195" max="8195" width="15.625" style="2655" customWidth="1"/>
    <col min="8196" max="8196" width="9.375" style="2655" bestFit="1" customWidth="1"/>
    <col min="8197" max="8197" width="13.5" style="2655" customWidth="1"/>
    <col min="8198" max="8198" width="9" style="2655"/>
    <col min="8199" max="8199" width="9.375" style="2655" bestFit="1" customWidth="1"/>
    <col min="8200" max="8201" width="9" style="2655"/>
    <col min="8202" max="8202" width="9.375" style="2655" bestFit="1" customWidth="1"/>
    <col min="8203" max="8203" width="4" style="2655" customWidth="1"/>
    <col min="8204" max="8204" width="5.125" style="2655" customWidth="1"/>
    <col min="8205" max="8205" width="13.625" style="2655" customWidth="1"/>
    <col min="8206" max="8448" width="9" style="2655"/>
    <col min="8449" max="8449" width="4.875" style="2655" customWidth="1"/>
    <col min="8450" max="8450" width="13.125" style="2655" customWidth="1"/>
    <col min="8451" max="8451" width="15.625" style="2655" customWidth="1"/>
    <col min="8452" max="8452" width="9.375" style="2655" bestFit="1" customWidth="1"/>
    <col min="8453" max="8453" width="13.5" style="2655" customWidth="1"/>
    <col min="8454" max="8454" width="9" style="2655"/>
    <col min="8455" max="8455" width="9.375" style="2655" bestFit="1" customWidth="1"/>
    <col min="8456" max="8457" width="9" style="2655"/>
    <col min="8458" max="8458" width="9.375" style="2655" bestFit="1" customWidth="1"/>
    <col min="8459" max="8459" width="4" style="2655" customWidth="1"/>
    <col min="8460" max="8460" width="5.125" style="2655" customWidth="1"/>
    <col min="8461" max="8461" width="13.625" style="2655" customWidth="1"/>
    <col min="8462" max="8704" width="9" style="2655"/>
    <col min="8705" max="8705" width="4.875" style="2655" customWidth="1"/>
    <col min="8706" max="8706" width="13.125" style="2655" customWidth="1"/>
    <col min="8707" max="8707" width="15.625" style="2655" customWidth="1"/>
    <col min="8708" max="8708" width="9.375" style="2655" bestFit="1" customWidth="1"/>
    <col min="8709" max="8709" width="13.5" style="2655" customWidth="1"/>
    <col min="8710" max="8710" width="9" style="2655"/>
    <col min="8711" max="8711" width="9.375" style="2655" bestFit="1" customWidth="1"/>
    <col min="8712" max="8713" width="9" style="2655"/>
    <col min="8714" max="8714" width="9.375" style="2655" bestFit="1" customWidth="1"/>
    <col min="8715" max="8715" width="4" style="2655" customWidth="1"/>
    <col min="8716" max="8716" width="5.125" style="2655" customWidth="1"/>
    <col min="8717" max="8717" width="13.625" style="2655" customWidth="1"/>
    <col min="8718" max="8960" width="9" style="2655"/>
    <col min="8961" max="8961" width="4.875" style="2655" customWidth="1"/>
    <col min="8962" max="8962" width="13.125" style="2655" customWidth="1"/>
    <col min="8963" max="8963" width="15.625" style="2655" customWidth="1"/>
    <col min="8964" max="8964" width="9.375" style="2655" bestFit="1" customWidth="1"/>
    <col min="8965" max="8965" width="13.5" style="2655" customWidth="1"/>
    <col min="8966" max="8966" width="9" style="2655"/>
    <col min="8967" max="8967" width="9.375" style="2655" bestFit="1" customWidth="1"/>
    <col min="8968" max="8969" width="9" style="2655"/>
    <col min="8970" max="8970" width="9.375" style="2655" bestFit="1" customWidth="1"/>
    <col min="8971" max="8971" width="4" style="2655" customWidth="1"/>
    <col min="8972" max="8972" width="5.125" style="2655" customWidth="1"/>
    <col min="8973" max="8973" width="13.625" style="2655" customWidth="1"/>
    <col min="8974" max="9216" width="9" style="2655"/>
    <col min="9217" max="9217" width="4.875" style="2655" customWidth="1"/>
    <col min="9218" max="9218" width="13.125" style="2655" customWidth="1"/>
    <col min="9219" max="9219" width="15.625" style="2655" customWidth="1"/>
    <col min="9220" max="9220" width="9.375" style="2655" bestFit="1" customWidth="1"/>
    <col min="9221" max="9221" width="13.5" style="2655" customWidth="1"/>
    <col min="9222" max="9222" width="9" style="2655"/>
    <col min="9223" max="9223" width="9.375" style="2655" bestFit="1" customWidth="1"/>
    <col min="9224" max="9225" width="9" style="2655"/>
    <col min="9226" max="9226" width="9.375" style="2655" bestFit="1" customWidth="1"/>
    <col min="9227" max="9227" width="4" style="2655" customWidth="1"/>
    <col min="9228" max="9228" width="5.125" style="2655" customWidth="1"/>
    <col min="9229" max="9229" width="13.625" style="2655" customWidth="1"/>
    <col min="9230" max="9472" width="9" style="2655"/>
    <col min="9473" max="9473" width="4.875" style="2655" customWidth="1"/>
    <col min="9474" max="9474" width="13.125" style="2655" customWidth="1"/>
    <col min="9475" max="9475" width="15.625" style="2655" customWidth="1"/>
    <col min="9476" max="9476" width="9.375" style="2655" bestFit="1" customWidth="1"/>
    <col min="9477" max="9477" width="13.5" style="2655" customWidth="1"/>
    <col min="9478" max="9478" width="9" style="2655"/>
    <col min="9479" max="9479" width="9.375" style="2655" bestFit="1" customWidth="1"/>
    <col min="9480" max="9481" width="9" style="2655"/>
    <col min="9482" max="9482" width="9.375" style="2655" bestFit="1" customWidth="1"/>
    <col min="9483" max="9483" width="4" style="2655" customWidth="1"/>
    <col min="9484" max="9484" width="5.125" style="2655" customWidth="1"/>
    <col min="9485" max="9485" width="13.625" style="2655" customWidth="1"/>
    <col min="9486" max="9728" width="9" style="2655"/>
    <col min="9729" max="9729" width="4.875" style="2655" customWidth="1"/>
    <col min="9730" max="9730" width="13.125" style="2655" customWidth="1"/>
    <col min="9731" max="9731" width="15.625" style="2655" customWidth="1"/>
    <col min="9732" max="9732" width="9.375" style="2655" bestFit="1" customWidth="1"/>
    <col min="9733" max="9733" width="13.5" style="2655" customWidth="1"/>
    <col min="9734" max="9734" width="9" style="2655"/>
    <col min="9735" max="9735" width="9.375" style="2655" bestFit="1" customWidth="1"/>
    <col min="9736" max="9737" width="9" style="2655"/>
    <col min="9738" max="9738" width="9.375" style="2655" bestFit="1" customWidth="1"/>
    <col min="9739" max="9739" width="4" style="2655" customWidth="1"/>
    <col min="9740" max="9740" width="5.125" style="2655" customWidth="1"/>
    <col min="9741" max="9741" width="13.625" style="2655" customWidth="1"/>
    <col min="9742" max="9984" width="9" style="2655"/>
    <col min="9985" max="9985" width="4.875" style="2655" customWidth="1"/>
    <col min="9986" max="9986" width="13.125" style="2655" customWidth="1"/>
    <col min="9987" max="9987" width="15.625" style="2655" customWidth="1"/>
    <col min="9988" max="9988" width="9.375" style="2655" bestFit="1" customWidth="1"/>
    <col min="9989" max="9989" width="13.5" style="2655" customWidth="1"/>
    <col min="9990" max="9990" width="9" style="2655"/>
    <col min="9991" max="9991" width="9.375" style="2655" bestFit="1" customWidth="1"/>
    <col min="9992" max="9993" width="9" style="2655"/>
    <col min="9994" max="9994" width="9.375" style="2655" bestFit="1" customWidth="1"/>
    <col min="9995" max="9995" width="4" style="2655" customWidth="1"/>
    <col min="9996" max="9996" width="5.125" style="2655" customWidth="1"/>
    <col min="9997" max="9997" width="13.625" style="2655" customWidth="1"/>
    <col min="9998" max="10240" width="9" style="2655"/>
    <col min="10241" max="10241" width="4.875" style="2655" customWidth="1"/>
    <col min="10242" max="10242" width="13.125" style="2655" customWidth="1"/>
    <col min="10243" max="10243" width="15.625" style="2655" customWidth="1"/>
    <col min="10244" max="10244" width="9.375" style="2655" bestFit="1" customWidth="1"/>
    <col min="10245" max="10245" width="13.5" style="2655" customWidth="1"/>
    <col min="10246" max="10246" width="9" style="2655"/>
    <col min="10247" max="10247" width="9.375" style="2655" bestFit="1" customWidth="1"/>
    <col min="10248" max="10249" width="9" style="2655"/>
    <col min="10250" max="10250" width="9.375" style="2655" bestFit="1" customWidth="1"/>
    <col min="10251" max="10251" width="4" style="2655" customWidth="1"/>
    <col min="10252" max="10252" width="5.125" style="2655" customWidth="1"/>
    <col min="10253" max="10253" width="13.625" style="2655" customWidth="1"/>
    <col min="10254" max="10496" width="9" style="2655"/>
    <col min="10497" max="10497" width="4.875" style="2655" customWidth="1"/>
    <col min="10498" max="10498" width="13.125" style="2655" customWidth="1"/>
    <col min="10499" max="10499" width="15.625" style="2655" customWidth="1"/>
    <col min="10500" max="10500" width="9.375" style="2655" bestFit="1" customWidth="1"/>
    <col min="10501" max="10501" width="13.5" style="2655" customWidth="1"/>
    <col min="10502" max="10502" width="9" style="2655"/>
    <col min="10503" max="10503" width="9.375" style="2655" bestFit="1" customWidth="1"/>
    <col min="10504" max="10505" width="9" style="2655"/>
    <col min="10506" max="10506" width="9.375" style="2655" bestFit="1" customWidth="1"/>
    <col min="10507" max="10507" width="4" style="2655" customWidth="1"/>
    <col min="10508" max="10508" width="5.125" style="2655" customWidth="1"/>
    <col min="10509" max="10509" width="13.625" style="2655" customWidth="1"/>
    <col min="10510" max="10752" width="9" style="2655"/>
    <col min="10753" max="10753" width="4.875" style="2655" customWidth="1"/>
    <col min="10754" max="10754" width="13.125" style="2655" customWidth="1"/>
    <col min="10755" max="10755" width="15.625" style="2655" customWidth="1"/>
    <col min="10756" max="10756" width="9.375" style="2655" bestFit="1" customWidth="1"/>
    <col min="10757" max="10757" width="13.5" style="2655" customWidth="1"/>
    <col min="10758" max="10758" width="9" style="2655"/>
    <col min="10759" max="10759" width="9.375" style="2655" bestFit="1" customWidth="1"/>
    <col min="10760" max="10761" width="9" style="2655"/>
    <col min="10762" max="10762" width="9.375" style="2655" bestFit="1" customWidth="1"/>
    <col min="10763" max="10763" width="4" style="2655" customWidth="1"/>
    <col min="10764" max="10764" width="5.125" style="2655" customWidth="1"/>
    <col min="10765" max="10765" width="13.625" style="2655" customWidth="1"/>
    <col min="10766" max="11008" width="9" style="2655"/>
    <col min="11009" max="11009" width="4.875" style="2655" customWidth="1"/>
    <col min="11010" max="11010" width="13.125" style="2655" customWidth="1"/>
    <col min="11011" max="11011" width="15.625" style="2655" customWidth="1"/>
    <col min="11012" max="11012" width="9.375" style="2655" bestFit="1" customWidth="1"/>
    <col min="11013" max="11013" width="13.5" style="2655" customWidth="1"/>
    <col min="11014" max="11014" width="9" style="2655"/>
    <col min="11015" max="11015" width="9.375" style="2655" bestFit="1" customWidth="1"/>
    <col min="11016" max="11017" width="9" style="2655"/>
    <col min="11018" max="11018" width="9.375" style="2655" bestFit="1" customWidth="1"/>
    <col min="11019" max="11019" width="4" style="2655" customWidth="1"/>
    <col min="11020" max="11020" width="5.125" style="2655" customWidth="1"/>
    <col min="11021" max="11021" width="13.625" style="2655" customWidth="1"/>
    <col min="11022" max="11264" width="9" style="2655"/>
    <col min="11265" max="11265" width="4.875" style="2655" customWidth="1"/>
    <col min="11266" max="11266" width="13.125" style="2655" customWidth="1"/>
    <col min="11267" max="11267" width="15.625" style="2655" customWidth="1"/>
    <col min="11268" max="11268" width="9.375" style="2655" bestFit="1" customWidth="1"/>
    <col min="11269" max="11269" width="13.5" style="2655" customWidth="1"/>
    <col min="11270" max="11270" width="9" style="2655"/>
    <col min="11271" max="11271" width="9.375" style="2655" bestFit="1" customWidth="1"/>
    <col min="11272" max="11273" width="9" style="2655"/>
    <col min="11274" max="11274" width="9.375" style="2655" bestFit="1" customWidth="1"/>
    <col min="11275" max="11275" width="4" style="2655" customWidth="1"/>
    <col min="11276" max="11276" width="5.125" style="2655" customWidth="1"/>
    <col min="11277" max="11277" width="13.625" style="2655" customWidth="1"/>
    <col min="11278" max="11520" width="9" style="2655"/>
    <col min="11521" max="11521" width="4.875" style="2655" customWidth="1"/>
    <col min="11522" max="11522" width="13.125" style="2655" customWidth="1"/>
    <col min="11523" max="11523" width="15.625" style="2655" customWidth="1"/>
    <col min="11524" max="11524" width="9.375" style="2655" bestFit="1" customWidth="1"/>
    <col min="11525" max="11525" width="13.5" style="2655" customWidth="1"/>
    <col min="11526" max="11526" width="9" style="2655"/>
    <col min="11527" max="11527" width="9.375" style="2655" bestFit="1" customWidth="1"/>
    <col min="11528" max="11529" width="9" style="2655"/>
    <col min="11530" max="11530" width="9.375" style="2655" bestFit="1" customWidth="1"/>
    <col min="11531" max="11531" width="4" style="2655" customWidth="1"/>
    <col min="11532" max="11532" width="5.125" style="2655" customWidth="1"/>
    <col min="11533" max="11533" width="13.625" style="2655" customWidth="1"/>
    <col min="11534" max="11776" width="9" style="2655"/>
    <col min="11777" max="11777" width="4.875" style="2655" customWidth="1"/>
    <col min="11778" max="11778" width="13.125" style="2655" customWidth="1"/>
    <col min="11779" max="11779" width="15.625" style="2655" customWidth="1"/>
    <col min="11780" max="11780" width="9.375" style="2655" bestFit="1" customWidth="1"/>
    <col min="11781" max="11781" width="13.5" style="2655" customWidth="1"/>
    <col min="11782" max="11782" width="9" style="2655"/>
    <col min="11783" max="11783" width="9.375" style="2655" bestFit="1" customWidth="1"/>
    <col min="11784" max="11785" width="9" style="2655"/>
    <col min="11786" max="11786" width="9.375" style="2655" bestFit="1" customWidth="1"/>
    <col min="11787" max="11787" width="4" style="2655" customWidth="1"/>
    <col min="11788" max="11788" width="5.125" style="2655" customWidth="1"/>
    <col min="11789" max="11789" width="13.625" style="2655" customWidth="1"/>
    <col min="11790" max="12032" width="9" style="2655"/>
    <col min="12033" max="12033" width="4.875" style="2655" customWidth="1"/>
    <col min="12034" max="12034" width="13.125" style="2655" customWidth="1"/>
    <col min="12035" max="12035" width="15.625" style="2655" customWidth="1"/>
    <col min="12036" max="12036" width="9.375" style="2655" bestFit="1" customWidth="1"/>
    <col min="12037" max="12037" width="13.5" style="2655" customWidth="1"/>
    <col min="12038" max="12038" width="9" style="2655"/>
    <col min="12039" max="12039" width="9.375" style="2655" bestFit="1" customWidth="1"/>
    <col min="12040" max="12041" width="9" style="2655"/>
    <col min="12042" max="12042" width="9.375" style="2655" bestFit="1" customWidth="1"/>
    <col min="12043" max="12043" width="4" style="2655" customWidth="1"/>
    <col min="12044" max="12044" width="5.125" style="2655" customWidth="1"/>
    <col min="12045" max="12045" width="13.625" style="2655" customWidth="1"/>
    <col min="12046" max="12288" width="9" style="2655"/>
    <col min="12289" max="12289" width="4.875" style="2655" customWidth="1"/>
    <col min="12290" max="12290" width="13.125" style="2655" customWidth="1"/>
    <col min="12291" max="12291" width="15.625" style="2655" customWidth="1"/>
    <col min="12292" max="12292" width="9.375" style="2655" bestFit="1" customWidth="1"/>
    <col min="12293" max="12293" width="13.5" style="2655" customWidth="1"/>
    <col min="12294" max="12294" width="9" style="2655"/>
    <col min="12295" max="12295" width="9.375" style="2655" bestFit="1" customWidth="1"/>
    <col min="12296" max="12297" width="9" style="2655"/>
    <col min="12298" max="12298" width="9.375" style="2655" bestFit="1" customWidth="1"/>
    <col min="12299" max="12299" width="4" style="2655" customWidth="1"/>
    <col min="12300" max="12300" width="5.125" style="2655" customWidth="1"/>
    <col min="12301" max="12301" width="13.625" style="2655" customWidth="1"/>
    <col min="12302" max="12544" width="9" style="2655"/>
    <col min="12545" max="12545" width="4.875" style="2655" customWidth="1"/>
    <col min="12546" max="12546" width="13.125" style="2655" customWidth="1"/>
    <col min="12547" max="12547" width="15.625" style="2655" customWidth="1"/>
    <col min="12548" max="12548" width="9.375" style="2655" bestFit="1" customWidth="1"/>
    <col min="12549" max="12549" width="13.5" style="2655" customWidth="1"/>
    <col min="12550" max="12550" width="9" style="2655"/>
    <col min="12551" max="12551" width="9.375" style="2655" bestFit="1" customWidth="1"/>
    <col min="12552" max="12553" width="9" style="2655"/>
    <col min="12554" max="12554" width="9.375" style="2655" bestFit="1" customWidth="1"/>
    <col min="12555" max="12555" width="4" style="2655" customWidth="1"/>
    <col min="12556" max="12556" width="5.125" style="2655" customWidth="1"/>
    <col min="12557" max="12557" width="13.625" style="2655" customWidth="1"/>
    <col min="12558" max="12800" width="9" style="2655"/>
    <col min="12801" max="12801" width="4.875" style="2655" customWidth="1"/>
    <col min="12802" max="12802" width="13.125" style="2655" customWidth="1"/>
    <col min="12803" max="12803" width="15.625" style="2655" customWidth="1"/>
    <col min="12804" max="12804" width="9.375" style="2655" bestFit="1" customWidth="1"/>
    <col min="12805" max="12805" width="13.5" style="2655" customWidth="1"/>
    <col min="12806" max="12806" width="9" style="2655"/>
    <col min="12807" max="12807" width="9.375" style="2655" bestFit="1" customWidth="1"/>
    <col min="12808" max="12809" width="9" style="2655"/>
    <col min="12810" max="12810" width="9.375" style="2655" bestFit="1" customWidth="1"/>
    <col min="12811" max="12811" width="4" style="2655" customWidth="1"/>
    <col min="12812" max="12812" width="5.125" style="2655" customWidth="1"/>
    <col min="12813" max="12813" width="13.625" style="2655" customWidth="1"/>
    <col min="12814" max="13056" width="9" style="2655"/>
    <col min="13057" max="13057" width="4.875" style="2655" customWidth="1"/>
    <col min="13058" max="13058" width="13.125" style="2655" customWidth="1"/>
    <col min="13059" max="13059" width="15.625" style="2655" customWidth="1"/>
    <col min="13060" max="13060" width="9.375" style="2655" bestFit="1" customWidth="1"/>
    <col min="13061" max="13061" width="13.5" style="2655" customWidth="1"/>
    <col min="13062" max="13062" width="9" style="2655"/>
    <col min="13063" max="13063" width="9.375" style="2655" bestFit="1" customWidth="1"/>
    <col min="13064" max="13065" width="9" style="2655"/>
    <col min="13066" max="13066" width="9.375" style="2655" bestFit="1" customWidth="1"/>
    <col min="13067" max="13067" width="4" style="2655" customWidth="1"/>
    <col min="13068" max="13068" width="5.125" style="2655" customWidth="1"/>
    <col min="13069" max="13069" width="13.625" style="2655" customWidth="1"/>
    <col min="13070" max="13312" width="9" style="2655"/>
    <col min="13313" max="13313" width="4.875" style="2655" customWidth="1"/>
    <col min="13314" max="13314" width="13.125" style="2655" customWidth="1"/>
    <col min="13315" max="13315" width="15.625" style="2655" customWidth="1"/>
    <col min="13316" max="13316" width="9.375" style="2655" bestFit="1" customWidth="1"/>
    <col min="13317" max="13317" width="13.5" style="2655" customWidth="1"/>
    <col min="13318" max="13318" width="9" style="2655"/>
    <col min="13319" max="13319" width="9.375" style="2655" bestFit="1" customWidth="1"/>
    <col min="13320" max="13321" width="9" style="2655"/>
    <col min="13322" max="13322" width="9.375" style="2655" bestFit="1" customWidth="1"/>
    <col min="13323" max="13323" width="4" style="2655" customWidth="1"/>
    <col min="13324" max="13324" width="5.125" style="2655" customWidth="1"/>
    <col min="13325" max="13325" width="13.625" style="2655" customWidth="1"/>
    <col min="13326" max="13568" width="9" style="2655"/>
    <col min="13569" max="13569" width="4.875" style="2655" customWidth="1"/>
    <col min="13570" max="13570" width="13.125" style="2655" customWidth="1"/>
    <col min="13571" max="13571" width="15.625" style="2655" customWidth="1"/>
    <col min="13572" max="13572" width="9.375" style="2655" bestFit="1" customWidth="1"/>
    <col min="13573" max="13573" width="13.5" style="2655" customWidth="1"/>
    <col min="13574" max="13574" width="9" style="2655"/>
    <col min="13575" max="13575" width="9.375" style="2655" bestFit="1" customWidth="1"/>
    <col min="13576" max="13577" width="9" style="2655"/>
    <col min="13578" max="13578" width="9.375" style="2655" bestFit="1" customWidth="1"/>
    <col min="13579" max="13579" width="4" style="2655" customWidth="1"/>
    <col min="13580" max="13580" width="5.125" style="2655" customWidth="1"/>
    <col min="13581" max="13581" width="13.625" style="2655" customWidth="1"/>
    <col min="13582" max="13824" width="9" style="2655"/>
    <col min="13825" max="13825" width="4.875" style="2655" customWidth="1"/>
    <col min="13826" max="13826" width="13.125" style="2655" customWidth="1"/>
    <col min="13827" max="13827" width="15.625" style="2655" customWidth="1"/>
    <col min="13828" max="13828" width="9.375" style="2655" bestFit="1" customWidth="1"/>
    <col min="13829" max="13829" width="13.5" style="2655" customWidth="1"/>
    <col min="13830" max="13830" width="9" style="2655"/>
    <col min="13831" max="13831" width="9.375" style="2655" bestFit="1" customWidth="1"/>
    <col min="13832" max="13833" width="9" style="2655"/>
    <col min="13834" max="13834" width="9.375" style="2655" bestFit="1" customWidth="1"/>
    <col min="13835" max="13835" width="4" style="2655" customWidth="1"/>
    <col min="13836" max="13836" width="5.125" style="2655" customWidth="1"/>
    <col min="13837" max="13837" width="13.625" style="2655" customWidth="1"/>
    <col min="13838" max="14080" width="9" style="2655"/>
    <col min="14081" max="14081" width="4.875" style="2655" customWidth="1"/>
    <col min="14082" max="14082" width="13.125" style="2655" customWidth="1"/>
    <col min="14083" max="14083" width="15.625" style="2655" customWidth="1"/>
    <col min="14084" max="14084" width="9.375" style="2655" bestFit="1" customWidth="1"/>
    <col min="14085" max="14085" width="13.5" style="2655" customWidth="1"/>
    <col min="14086" max="14086" width="9" style="2655"/>
    <col min="14087" max="14087" width="9.375" style="2655" bestFit="1" customWidth="1"/>
    <col min="14088" max="14089" width="9" style="2655"/>
    <col min="14090" max="14090" width="9.375" style="2655" bestFit="1" customWidth="1"/>
    <col min="14091" max="14091" width="4" style="2655" customWidth="1"/>
    <col min="14092" max="14092" width="5.125" style="2655" customWidth="1"/>
    <col min="14093" max="14093" width="13.625" style="2655" customWidth="1"/>
    <col min="14094" max="14336" width="9" style="2655"/>
    <col min="14337" max="14337" width="4.875" style="2655" customWidth="1"/>
    <col min="14338" max="14338" width="13.125" style="2655" customWidth="1"/>
    <col min="14339" max="14339" width="15.625" style="2655" customWidth="1"/>
    <col min="14340" max="14340" width="9.375" style="2655" bestFit="1" customWidth="1"/>
    <col min="14341" max="14341" width="13.5" style="2655" customWidth="1"/>
    <col min="14342" max="14342" width="9" style="2655"/>
    <col min="14343" max="14343" width="9.375" style="2655" bestFit="1" customWidth="1"/>
    <col min="14344" max="14345" width="9" style="2655"/>
    <col min="14346" max="14346" width="9.375" style="2655" bestFit="1" customWidth="1"/>
    <col min="14347" max="14347" width="4" style="2655" customWidth="1"/>
    <col min="14348" max="14348" width="5.125" style="2655" customWidth="1"/>
    <col min="14349" max="14349" width="13.625" style="2655" customWidth="1"/>
    <col min="14350" max="14592" width="9" style="2655"/>
    <col min="14593" max="14593" width="4.875" style="2655" customWidth="1"/>
    <col min="14594" max="14594" width="13.125" style="2655" customWidth="1"/>
    <col min="14595" max="14595" width="15.625" style="2655" customWidth="1"/>
    <col min="14596" max="14596" width="9.375" style="2655" bestFit="1" customWidth="1"/>
    <col min="14597" max="14597" width="13.5" style="2655" customWidth="1"/>
    <col min="14598" max="14598" width="9" style="2655"/>
    <col min="14599" max="14599" width="9.375" style="2655" bestFit="1" customWidth="1"/>
    <col min="14600" max="14601" width="9" style="2655"/>
    <col min="14602" max="14602" width="9.375" style="2655" bestFit="1" customWidth="1"/>
    <col min="14603" max="14603" width="4" style="2655" customWidth="1"/>
    <col min="14604" max="14604" width="5.125" style="2655" customWidth="1"/>
    <col min="14605" max="14605" width="13.625" style="2655" customWidth="1"/>
    <col min="14606" max="14848" width="9" style="2655"/>
    <col min="14849" max="14849" width="4.875" style="2655" customWidth="1"/>
    <col min="14850" max="14850" width="13.125" style="2655" customWidth="1"/>
    <col min="14851" max="14851" width="15.625" style="2655" customWidth="1"/>
    <col min="14852" max="14852" width="9.375" style="2655" bestFit="1" customWidth="1"/>
    <col min="14853" max="14853" width="13.5" style="2655" customWidth="1"/>
    <col min="14854" max="14854" width="9" style="2655"/>
    <col min="14855" max="14855" width="9.375" style="2655" bestFit="1" customWidth="1"/>
    <col min="14856" max="14857" width="9" style="2655"/>
    <col min="14858" max="14858" width="9.375" style="2655" bestFit="1" customWidth="1"/>
    <col min="14859" max="14859" width="4" style="2655" customWidth="1"/>
    <col min="14860" max="14860" width="5.125" style="2655" customWidth="1"/>
    <col min="14861" max="14861" width="13.625" style="2655" customWidth="1"/>
    <col min="14862" max="15104" width="9" style="2655"/>
    <col min="15105" max="15105" width="4.875" style="2655" customWidth="1"/>
    <col min="15106" max="15106" width="13.125" style="2655" customWidth="1"/>
    <col min="15107" max="15107" width="15.625" style="2655" customWidth="1"/>
    <col min="15108" max="15108" width="9.375" style="2655" bestFit="1" customWidth="1"/>
    <col min="15109" max="15109" width="13.5" style="2655" customWidth="1"/>
    <col min="15110" max="15110" width="9" style="2655"/>
    <col min="15111" max="15111" width="9.375" style="2655" bestFit="1" customWidth="1"/>
    <col min="15112" max="15113" width="9" style="2655"/>
    <col min="15114" max="15114" width="9.375" style="2655" bestFit="1" customWidth="1"/>
    <col min="15115" max="15115" width="4" style="2655" customWidth="1"/>
    <col min="15116" max="15116" width="5.125" style="2655" customWidth="1"/>
    <col min="15117" max="15117" width="13.625" style="2655" customWidth="1"/>
    <col min="15118" max="15360" width="9" style="2655"/>
    <col min="15361" max="15361" width="4.875" style="2655" customWidth="1"/>
    <col min="15362" max="15362" width="13.125" style="2655" customWidth="1"/>
    <col min="15363" max="15363" width="15.625" style="2655" customWidth="1"/>
    <col min="15364" max="15364" width="9.375" style="2655" bestFit="1" customWidth="1"/>
    <col min="15365" max="15365" width="13.5" style="2655" customWidth="1"/>
    <col min="15366" max="15366" width="9" style="2655"/>
    <col min="15367" max="15367" width="9.375" style="2655" bestFit="1" customWidth="1"/>
    <col min="15368" max="15369" width="9" style="2655"/>
    <col min="15370" max="15370" width="9.375" style="2655" bestFit="1" customWidth="1"/>
    <col min="15371" max="15371" width="4" style="2655" customWidth="1"/>
    <col min="15372" max="15372" width="5.125" style="2655" customWidth="1"/>
    <col min="15373" max="15373" width="13.625" style="2655" customWidth="1"/>
    <col min="15374" max="15616" width="9" style="2655"/>
    <col min="15617" max="15617" width="4.875" style="2655" customWidth="1"/>
    <col min="15618" max="15618" width="13.125" style="2655" customWidth="1"/>
    <col min="15619" max="15619" width="15.625" style="2655" customWidth="1"/>
    <col min="15620" max="15620" width="9.375" style="2655" bestFit="1" customWidth="1"/>
    <col min="15621" max="15621" width="13.5" style="2655" customWidth="1"/>
    <col min="15622" max="15622" width="9" style="2655"/>
    <col min="15623" max="15623" width="9.375" style="2655" bestFit="1" customWidth="1"/>
    <col min="15624" max="15625" width="9" style="2655"/>
    <col min="15626" max="15626" width="9.375" style="2655" bestFit="1" customWidth="1"/>
    <col min="15627" max="15627" width="4" style="2655" customWidth="1"/>
    <col min="15628" max="15628" width="5.125" style="2655" customWidth="1"/>
    <col min="15629" max="15629" width="13.625" style="2655" customWidth="1"/>
    <col min="15630" max="15872" width="9" style="2655"/>
    <col min="15873" max="15873" width="4.875" style="2655" customWidth="1"/>
    <col min="15874" max="15874" width="13.125" style="2655" customWidth="1"/>
    <col min="15875" max="15875" width="15.625" style="2655" customWidth="1"/>
    <col min="15876" max="15876" width="9.375" style="2655" bestFit="1" customWidth="1"/>
    <col min="15877" max="15877" width="13.5" style="2655" customWidth="1"/>
    <col min="15878" max="15878" width="9" style="2655"/>
    <col min="15879" max="15879" width="9.375" style="2655" bestFit="1" customWidth="1"/>
    <col min="15880" max="15881" width="9" style="2655"/>
    <col min="15882" max="15882" width="9.375" style="2655" bestFit="1" customWidth="1"/>
    <col min="15883" max="15883" width="4" style="2655" customWidth="1"/>
    <col min="15884" max="15884" width="5.125" style="2655" customWidth="1"/>
    <col min="15885" max="15885" width="13.625" style="2655" customWidth="1"/>
    <col min="15886" max="16128" width="9" style="2655"/>
    <col min="16129" max="16129" width="4.875" style="2655" customWidth="1"/>
    <col min="16130" max="16130" width="13.125" style="2655" customWidth="1"/>
    <col min="16131" max="16131" width="15.625" style="2655" customWidth="1"/>
    <col min="16132" max="16132" width="9.375" style="2655" bestFit="1" customWidth="1"/>
    <col min="16133" max="16133" width="13.5" style="2655" customWidth="1"/>
    <col min="16134" max="16134" width="9" style="2655"/>
    <col min="16135" max="16135" width="9.375" style="2655" bestFit="1" customWidth="1"/>
    <col min="16136" max="16137" width="9" style="2655"/>
    <col min="16138" max="16138" width="9.375" style="2655" bestFit="1" customWidth="1"/>
    <col min="16139" max="16139" width="4" style="2655" customWidth="1"/>
    <col min="16140" max="16140" width="5.125" style="2655" customWidth="1"/>
    <col min="16141" max="16141" width="13.625" style="2655" customWidth="1"/>
    <col min="16142" max="16384" width="9" style="2655"/>
  </cols>
  <sheetData>
    <row r="1" spans="1:257" s="2715" customFormat="1" ht="14.25" thickBot="1">
      <c r="A1" s="2714"/>
      <c r="B1" s="2716" t="s">
        <v>2767</v>
      </c>
      <c r="C1" s="2720">
        <f>项目基本情况!D3</f>
        <v>44125</v>
      </c>
      <c r="H1" s="2654">
        <f>IF(C1&gt;C13,0,MATCH(C1,C$13:C$100,-1))+IF(SUMIF(C13:C100,C1,D13:D100)=0,13,12)</f>
        <v>13</v>
      </c>
      <c r="I1" s="2654">
        <f>MATCH(C2,H3:H7,1)+IF(SUMIF(H3:H7,C2,I3:I7)=0,2,1)</f>
        <v>6</v>
      </c>
      <c r="J1" s="2713">
        <f>MATCH(C3,H3:H7,1)+IF(SUMIF(H3:H7,C3,J3:J7)=0,2,1)</f>
        <v>5</v>
      </c>
      <c r="N1" s="2654">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6"/>
      <c r="B2" s="2717" t="s">
        <v>2798</v>
      </c>
      <c r="C2" s="2721">
        <f>'数据-取费表'!B22</f>
        <v>4</v>
      </c>
      <c r="D2" s="2716" t="s">
        <v>2768</v>
      </c>
      <c r="E2" s="2719">
        <f ca="1">INDIRECT("I"&amp;$I$1)/100</f>
        <v>4.7500000000000001E-2</v>
      </c>
      <c r="G2" s="2656"/>
      <c r="H2" s="2656"/>
      <c r="I2" s="2656" t="s">
        <v>2769</v>
      </c>
      <c r="K2" s="2656"/>
      <c r="L2" s="2656"/>
      <c r="M2" s="2656"/>
      <c r="N2" s="2656" t="s">
        <v>2770</v>
      </c>
      <c r="O2" s="2656"/>
      <c r="P2" s="2656"/>
      <c r="Q2" s="2656"/>
      <c r="R2" s="2656"/>
      <c r="S2" s="2656"/>
      <c r="T2" s="2656"/>
      <c r="U2" s="2656"/>
      <c r="V2" s="2656"/>
      <c r="W2" s="2656"/>
      <c r="X2" s="2656"/>
      <c r="Y2" s="2656"/>
      <c r="Z2" s="2656"/>
      <c r="AA2" s="2656"/>
      <c r="AB2" s="2656"/>
      <c r="AC2" s="2656"/>
      <c r="AD2" s="2656"/>
      <c r="AE2" s="2656"/>
      <c r="AF2" s="2656"/>
      <c r="AG2" s="2656"/>
      <c r="AH2" s="2656"/>
      <c r="AI2" s="2656"/>
      <c r="AJ2" s="2656"/>
      <c r="AK2" s="2656"/>
      <c r="AL2" s="2656"/>
      <c r="AM2" s="2656"/>
      <c r="AN2" s="2656"/>
      <c r="AO2" s="2656"/>
      <c r="AP2" s="2656"/>
      <c r="AQ2" s="2656"/>
      <c r="AR2" s="2656"/>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c r="BP2" s="2656"/>
      <c r="BQ2" s="2656"/>
      <c r="BR2" s="2656"/>
      <c r="BS2" s="2656"/>
      <c r="BT2" s="2656"/>
      <c r="BU2" s="2656"/>
      <c r="BV2" s="2656"/>
      <c r="BW2" s="2656"/>
      <c r="BX2" s="2656"/>
      <c r="BY2" s="2656"/>
      <c r="BZ2" s="2656"/>
      <c r="CA2" s="2656"/>
      <c r="CB2" s="2656"/>
      <c r="CC2" s="2656"/>
      <c r="CD2" s="2656"/>
      <c r="CE2" s="2656"/>
      <c r="CF2" s="2656"/>
      <c r="CG2" s="2656"/>
      <c r="CH2" s="2656"/>
      <c r="CI2" s="2656"/>
      <c r="CJ2" s="2656"/>
      <c r="CK2" s="2656"/>
      <c r="CL2" s="2656"/>
      <c r="CM2" s="2656"/>
      <c r="CN2" s="2656"/>
      <c r="CO2" s="2656"/>
      <c r="CP2" s="2656"/>
      <c r="CQ2" s="2656"/>
      <c r="CR2" s="2656"/>
      <c r="CS2" s="2656"/>
      <c r="CT2" s="2656"/>
      <c r="CU2" s="2656"/>
      <c r="CV2" s="2656"/>
      <c r="CW2" s="2656"/>
      <c r="CX2" s="2656"/>
      <c r="CY2" s="2656"/>
      <c r="CZ2" s="2656"/>
      <c r="DA2" s="2656"/>
      <c r="DB2" s="2656"/>
      <c r="DC2" s="2656"/>
      <c r="DD2" s="2656"/>
      <c r="DE2" s="2656"/>
      <c r="DF2" s="2656"/>
      <c r="DG2" s="2656"/>
      <c r="DH2" s="2656"/>
      <c r="DI2" s="2656"/>
      <c r="DJ2" s="2656"/>
      <c r="DK2" s="2656"/>
      <c r="DL2" s="2656"/>
      <c r="DM2" s="2656"/>
      <c r="DN2" s="2656"/>
      <c r="DO2" s="2656"/>
      <c r="DP2" s="2656"/>
      <c r="DQ2" s="2656"/>
      <c r="DR2" s="2656"/>
      <c r="DS2" s="2656"/>
      <c r="DT2" s="2656"/>
      <c r="DU2" s="2656"/>
      <c r="DV2" s="2656"/>
      <c r="DW2" s="2656"/>
      <c r="DX2" s="2656"/>
      <c r="DY2" s="2656"/>
      <c r="DZ2" s="2656"/>
      <c r="EA2" s="2656"/>
      <c r="EB2" s="2656"/>
      <c r="EC2" s="2656"/>
      <c r="ED2" s="2656"/>
      <c r="EE2" s="2656"/>
      <c r="EF2" s="2656"/>
      <c r="EG2" s="2656"/>
      <c r="EH2" s="2656"/>
      <c r="EI2" s="2656"/>
      <c r="EJ2" s="2656"/>
      <c r="EK2" s="2656"/>
      <c r="EL2" s="2656"/>
      <c r="EM2" s="2656"/>
      <c r="EN2" s="2656"/>
      <c r="EO2" s="2656"/>
      <c r="EP2" s="2656"/>
      <c r="EQ2" s="2656"/>
      <c r="ER2" s="2656"/>
      <c r="ES2" s="2656"/>
      <c r="ET2" s="2656"/>
      <c r="EU2" s="2656"/>
      <c r="EV2" s="2656"/>
      <c r="EW2" s="2656"/>
      <c r="EX2" s="2656"/>
      <c r="EY2" s="2656"/>
      <c r="EZ2" s="2656"/>
      <c r="FA2" s="2656"/>
      <c r="FB2" s="2656"/>
      <c r="FC2" s="2656"/>
      <c r="FD2" s="2656"/>
      <c r="FE2" s="2656"/>
      <c r="FF2" s="2656"/>
      <c r="FG2" s="2656"/>
      <c r="FH2" s="2656"/>
      <c r="FI2" s="2656"/>
      <c r="FJ2" s="2656"/>
      <c r="FK2" s="2656"/>
      <c r="FL2" s="2656"/>
      <c r="FM2" s="2656"/>
      <c r="FN2" s="2656"/>
      <c r="FO2" s="2656"/>
      <c r="FP2" s="2656"/>
      <c r="FQ2" s="2656"/>
      <c r="FR2" s="2656"/>
      <c r="FS2" s="2656"/>
      <c r="FT2" s="2656"/>
      <c r="FU2" s="2656"/>
      <c r="FV2" s="2656"/>
      <c r="FW2" s="2656"/>
      <c r="FX2" s="2656"/>
      <c r="FY2" s="2656"/>
      <c r="FZ2" s="2656"/>
      <c r="GA2" s="2656"/>
      <c r="GB2" s="2656"/>
      <c r="GC2" s="2656"/>
      <c r="GD2" s="2656"/>
      <c r="GE2" s="2656"/>
      <c r="GF2" s="2656"/>
      <c r="GG2" s="2656"/>
      <c r="GH2" s="2656"/>
      <c r="GI2" s="2656"/>
      <c r="GJ2" s="2656"/>
      <c r="GK2" s="2656"/>
      <c r="GL2" s="2656"/>
      <c r="GM2" s="2656"/>
      <c r="GN2" s="2656"/>
      <c r="GO2" s="2656"/>
      <c r="GP2" s="2656"/>
      <c r="GQ2" s="2656"/>
      <c r="GR2" s="2656"/>
      <c r="GS2" s="2656"/>
      <c r="GT2" s="2656"/>
      <c r="GU2" s="2656"/>
      <c r="GV2" s="2656"/>
      <c r="GW2" s="2656"/>
      <c r="GX2" s="2656"/>
      <c r="GY2" s="2656"/>
      <c r="GZ2" s="2656"/>
      <c r="HA2" s="2656"/>
      <c r="HB2" s="2656"/>
      <c r="HC2" s="2656"/>
      <c r="HD2" s="2656"/>
      <c r="HE2" s="2656"/>
      <c r="HF2" s="2656"/>
      <c r="HG2" s="2656"/>
      <c r="HH2" s="2656"/>
      <c r="HI2" s="2656"/>
      <c r="HJ2" s="2656"/>
      <c r="HK2" s="2656"/>
      <c r="HL2" s="2656"/>
      <c r="HM2" s="2656"/>
      <c r="HN2" s="2656"/>
      <c r="HO2" s="2656"/>
      <c r="HP2" s="2656"/>
      <c r="HQ2" s="2656"/>
      <c r="HR2" s="2656"/>
      <c r="HS2" s="2656"/>
      <c r="HT2" s="2656"/>
      <c r="HU2" s="2656"/>
      <c r="HV2" s="2656"/>
      <c r="HW2" s="2656"/>
      <c r="HX2" s="2656"/>
      <c r="HY2" s="2656"/>
      <c r="HZ2" s="2656"/>
      <c r="IA2" s="2656"/>
      <c r="IB2" s="2656"/>
      <c r="IC2" s="2656"/>
      <c r="ID2" s="2656"/>
      <c r="IE2" s="2656"/>
      <c r="IF2" s="2656"/>
      <c r="IG2" s="2656"/>
      <c r="IH2" s="2656"/>
      <c r="II2" s="2656"/>
      <c r="IJ2" s="2656"/>
      <c r="IK2" s="2656"/>
      <c r="IL2" s="2656"/>
      <c r="IM2" s="2656"/>
      <c r="IN2" s="2656"/>
      <c r="IO2" s="2656"/>
      <c r="IP2" s="2656"/>
      <c r="IQ2" s="2656"/>
      <c r="IR2" s="2656"/>
      <c r="IS2" s="2656"/>
      <c r="IT2" s="2656"/>
      <c r="IU2" s="2656"/>
      <c r="IV2" s="2656"/>
      <c r="IW2" s="2656"/>
    </row>
    <row r="3" spans="1:257" s="2712" customFormat="1">
      <c r="A3" s="2657"/>
      <c r="B3" s="2716" t="s">
        <v>2800</v>
      </c>
      <c r="C3" s="2718">
        <f>'数据-取费表'!B19</f>
        <v>2</v>
      </c>
      <c r="D3" s="2716" t="s">
        <v>2768</v>
      </c>
      <c r="E3" s="2719">
        <f ca="1">INDIRECT("J"&amp;$J$1)/100</f>
        <v>4.7500000000000001E-2</v>
      </c>
      <c r="G3" s="2658" t="s">
        <v>2771</v>
      </c>
      <c r="H3" s="2659">
        <v>0</v>
      </c>
      <c r="I3" s="2660">
        <f ca="1">INDIRECT("d"&amp;$H$1)</f>
        <v>4.3499999999999996</v>
      </c>
      <c r="J3" s="2660">
        <f ca="1">INDIRECT("d"&amp;$H$1)</f>
        <v>4.3499999999999996</v>
      </c>
      <c r="K3" s="2657"/>
      <c r="L3" s="2657"/>
      <c r="M3" s="2661">
        <v>0.5</v>
      </c>
      <c r="N3" s="2662">
        <f ca="1">INDIRECT("p"&amp;$N$1)</f>
        <v>1.3</v>
      </c>
      <c r="O3" s="2657"/>
      <c r="P3" s="2657"/>
      <c r="Q3" s="2657"/>
      <c r="R3" s="2657"/>
      <c r="S3" s="2657"/>
      <c r="T3" s="2657"/>
      <c r="U3" s="2657"/>
      <c r="V3" s="2657"/>
      <c r="W3" s="2657"/>
      <c r="X3" s="2657"/>
      <c r="Y3" s="2657"/>
      <c r="Z3" s="2657"/>
      <c r="AA3" s="2657"/>
      <c r="AB3" s="2657"/>
      <c r="AC3" s="2657"/>
      <c r="AD3" s="2657"/>
      <c r="AE3" s="2657"/>
      <c r="AF3" s="2657"/>
      <c r="AG3" s="2657"/>
      <c r="AH3" s="2657"/>
      <c r="AI3" s="2657"/>
      <c r="AJ3" s="2657"/>
      <c r="AK3" s="2657"/>
      <c r="AL3" s="2657"/>
      <c r="AM3" s="2657"/>
      <c r="AN3" s="2657"/>
      <c r="AO3" s="2657"/>
      <c r="AP3" s="2657"/>
      <c r="AQ3" s="2657"/>
      <c r="AR3" s="2657"/>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c r="BP3" s="2657"/>
      <c r="BQ3" s="2657"/>
      <c r="BR3" s="2657"/>
      <c r="BS3" s="2657"/>
      <c r="BT3" s="2657"/>
      <c r="BU3" s="2657"/>
      <c r="BV3" s="2657"/>
      <c r="BW3" s="2657"/>
      <c r="BX3" s="2657"/>
      <c r="BY3" s="2657"/>
      <c r="BZ3" s="2657"/>
      <c r="CA3" s="2657"/>
      <c r="CB3" s="2657"/>
      <c r="CC3" s="2657"/>
      <c r="CD3" s="2657"/>
      <c r="CE3" s="2657"/>
      <c r="CF3" s="2657"/>
      <c r="CG3" s="2657"/>
      <c r="CH3" s="2657"/>
      <c r="CI3" s="2657"/>
      <c r="CJ3" s="2657"/>
      <c r="CK3" s="2657"/>
      <c r="CL3" s="2657"/>
      <c r="CM3" s="2657"/>
      <c r="CN3" s="2657"/>
      <c r="CO3" s="2657"/>
      <c r="CP3" s="2657"/>
      <c r="CQ3" s="2657"/>
      <c r="CR3" s="2657"/>
      <c r="CS3" s="2657"/>
      <c r="CT3" s="2657"/>
      <c r="CU3" s="2657"/>
      <c r="CV3" s="2657"/>
      <c r="CW3" s="2657"/>
      <c r="CX3" s="2657"/>
      <c r="CY3" s="2657"/>
      <c r="CZ3" s="2657"/>
      <c r="DA3" s="2657"/>
      <c r="DB3" s="2657"/>
      <c r="DC3" s="2657"/>
      <c r="DD3" s="2657"/>
      <c r="DE3" s="2657"/>
      <c r="DF3" s="2657"/>
      <c r="DG3" s="2657"/>
      <c r="DH3" s="2657"/>
      <c r="DI3" s="2657"/>
      <c r="DJ3" s="2657"/>
      <c r="DK3" s="2657"/>
      <c r="DL3" s="2657"/>
      <c r="DM3" s="2657"/>
      <c r="DN3" s="2657"/>
      <c r="DO3" s="2657"/>
      <c r="DP3" s="2657"/>
      <c r="DQ3" s="2657"/>
      <c r="DR3" s="2657"/>
      <c r="DS3" s="2657"/>
      <c r="DT3" s="2657"/>
      <c r="DU3" s="2657"/>
      <c r="DV3" s="2657"/>
      <c r="DW3" s="2657"/>
      <c r="DX3" s="2657"/>
      <c r="DY3" s="2657"/>
      <c r="DZ3" s="2657"/>
      <c r="EA3" s="2657"/>
      <c r="EB3" s="2657"/>
      <c r="EC3" s="2657"/>
      <c r="ED3" s="2657"/>
      <c r="EE3" s="2657"/>
      <c r="EF3" s="2657"/>
      <c r="EG3" s="2657"/>
      <c r="EH3" s="2657"/>
      <c r="EI3" s="2657"/>
      <c r="EJ3" s="2657"/>
      <c r="EK3" s="2657"/>
      <c r="EL3" s="2657"/>
      <c r="EM3" s="2657"/>
      <c r="EN3" s="2657"/>
      <c r="EO3" s="2657"/>
      <c r="EP3" s="2657"/>
      <c r="EQ3" s="2657"/>
      <c r="ER3" s="2657"/>
      <c r="ES3" s="2657"/>
      <c r="ET3" s="2657"/>
      <c r="EU3" s="2657"/>
      <c r="EV3" s="2657"/>
      <c r="EW3" s="2657"/>
      <c r="EX3" s="2657"/>
      <c r="EY3" s="2657"/>
      <c r="EZ3" s="2657"/>
      <c r="FA3" s="2657"/>
      <c r="FB3" s="2657"/>
      <c r="FC3" s="2657"/>
      <c r="FD3" s="2657"/>
      <c r="FE3" s="2657"/>
      <c r="FF3" s="2657"/>
      <c r="FG3" s="2657"/>
      <c r="FH3" s="2657"/>
      <c r="FI3" s="2657"/>
      <c r="FJ3" s="2657"/>
      <c r="FK3" s="2657"/>
      <c r="FL3" s="2657"/>
      <c r="FM3" s="2657"/>
      <c r="FN3" s="2657"/>
      <c r="FO3" s="2657"/>
      <c r="FP3" s="2657"/>
      <c r="FQ3" s="2657"/>
      <c r="FR3" s="2657"/>
      <c r="FS3" s="2657"/>
      <c r="FT3" s="2657"/>
      <c r="FU3" s="2657"/>
      <c r="FV3" s="2657"/>
      <c r="FW3" s="2657"/>
      <c r="FX3" s="2657"/>
      <c r="FY3" s="2657"/>
      <c r="FZ3" s="2657"/>
      <c r="GA3" s="2657"/>
      <c r="GB3" s="2657"/>
      <c r="GC3" s="2657"/>
      <c r="GD3" s="2657"/>
      <c r="GE3" s="2657"/>
      <c r="GF3" s="2657"/>
      <c r="GG3" s="2657"/>
      <c r="GH3" s="2657"/>
      <c r="GI3" s="2657"/>
      <c r="GJ3" s="2657"/>
      <c r="GK3" s="2657"/>
      <c r="GL3" s="2657"/>
      <c r="GM3" s="2657"/>
      <c r="GN3" s="2657"/>
      <c r="GO3" s="2657"/>
      <c r="GP3" s="2657"/>
      <c r="GQ3" s="2657"/>
      <c r="GR3" s="2657"/>
      <c r="GS3" s="2657"/>
      <c r="GT3" s="2657"/>
      <c r="GU3" s="2657"/>
      <c r="GV3" s="2657"/>
      <c r="GW3" s="2657"/>
      <c r="GX3" s="2657"/>
      <c r="GY3" s="2657"/>
      <c r="GZ3" s="2657"/>
      <c r="HA3" s="2657"/>
      <c r="HB3" s="2657"/>
      <c r="HC3" s="2657"/>
      <c r="HD3" s="2657"/>
      <c r="HE3" s="2657"/>
      <c r="HF3" s="2657"/>
      <c r="HG3" s="2657"/>
      <c r="HH3" s="2657"/>
      <c r="HI3" s="2657"/>
      <c r="HJ3" s="2657"/>
      <c r="HK3" s="2657"/>
      <c r="HL3" s="2657"/>
      <c r="HM3" s="2657"/>
      <c r="HN3" s="2657"/>
      <c r="HO3" s="2657"/>
      <c r="HP3" s="2657"/>
      <c r="HQ3" s="2657"/>
      <c r="HR3" s="2657"/>
      <c r="HS3" s="2657"/>
      <c r="HT3" s="2657"/>
      <c r="HU3" s="2657"/>
      <c r="HV3" s="2657"/>
      <c r="HW3" s="2657"/>
      <c r="HX3" s="2657"/>
      <c r="HY3" s="2657"/>
      <c r="HZ3" s="2657"/>
      <c r="IA3" s="2657"/>
      <c r="IB3" s="2657"/>
      <c r="IC3" s="2657"/>
      <c r="ID3" s="2657"/>
      <c r="IE3" s="2657"/>
      <c r="IF3" s="2657"/>
      <c r="IG3" s="2657"/>
      <c r="IH3" s="2657"/>
      <c r="II3" s="2657"/>
      <c r="IJ3" s="2657"/>
      <c r="IK3" s="2657"/>
      <c r="IL3" s="2657"/>
      <c r="IM3" s="2657"/>
      <c r="IN3" s="2657"/>
      <c r="IO3" s="2657"/>
      <c r="IP3" s="2657"/>
      <c r="IQ3" s="2657"/>
      <c r="IR3" s="2657"/>
      <c r="IS3" s="2657"/>
      <c r="IT3" s="2657"/>
      <c r="IU3" s="2657"/>
      <c r="IV3" s="2657"/>
    </row>
    <row r="4" spans="1:257" s="2712" customFormat="1">
      <c r="A4" s="2657"/>
      <c r="B4" s="2716" t="s">
        <v>2799</v>
      </c>
      <c r="C4" s="2719">
        <f ca="1">N4/100</f>
        <v>1.4999999999999999E-2</v>
      </c>
      <c r="G4" s="2664" t="s">
        <v>2772</v>
      </c>
      <c r="H4" s="2665">
        <v>0.5</v>
      </c>
      <c r="I4" s="2666">
        <f ca="1">INDIRECT("e"&amp;$H$1)</f>
        <v>4.3499999999999996</v>
      </c>
      <c r="J4" s="2666">
        <f ca="1">INDIRECT("e"&amp;$H$1)</f>
        <v>4.3499999999999996</v>
      </c>
      <c r="K4" s="2657"/>
      <c r="L4" s="2657"/>
      <c r="M4" s="2667">
        <v>1</v>
      </c>
      <c r="N4" s="2668">
        <f ca="1">INDIRECT("q"&amp;$N$1)</f>
        <v>1.5</v>
      </c>
      <c r="O4" s="2657"/>
      <c r="P4" s="2657"/>
      <c r="Q4" s="2657"/>
      <c r="R4" s="2657"/>
      <c r="S4" s="2657"/>
      <c r="T4" s="2657"/>
      <c r="U4" s="2657"/>
      <c r="V4" s="2657"/>
      <c r="W4" s="2657"/>
      <c r="X4" s="2657"/>
      <c r="Y4" s="2657"/>
      <c r="Z4" s="2657"/>
      <c r="AA4" s="2657"/>
      <c r="AB4" s="2657"/>
      <c r="AC4" s="2657"/>
      <c r="AD4" s="2657"/>
      <c r="AE4" s="2657"/>
      <c r="AF4" s="2657"/>
      <c r="AG4" s="2657"/>
      <c r="AH4" s="2657"/>
      <c r="AI4" s="2657"/>
      <c r="AJ4" s="2657"/>
      <c r="AK4" s="2657"/>
      <c r="AL4" s="2657"/>
      <c r="AM4" s="2657"/>
      <c r="AN4" s="2657"/>
      <c r="AO4" s="2657"/>
      <c r="AP4" s="2657"/>
      <c r="AQ4" s="2657"/>
      <c r="AR4" s="2657"/>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c r="BP4" s="2657"/>
      <c r="BQ4" s="2657"/>
      <c r="BR4" s="2657"/>
      <c r="BS4" s="2657"/>
      <c r="BT4" s="2657"/>
      <c r="BU4" s="2657"/>
      <c r="BV4" s="2657"/>
      <c r="BW4" s="2657"/>
      <c r="BX4" s="2657"/>
      <c r="BY4" s="2657"/>
      <c r="BZ4" s="2657"/>
      <c r="CA4" s="2657"/>
      <c r="CB4" s="2657"/>
      <c r="CC4" s="2657"/>
      <c r="CD4" s="2657"/>
      <c r="CE4" s="2657"/>
      <c r="CF4" s="2657"/>
      <c r="CG4" s="2657"/>
      <c r="CH4" s="2657"/>
      <c r="CI4" s="2657"/>
      <c r="CJ4" s="2657"/>
      <c r="CK4" s="2657"/>
      <c r="CL4" s="2657"/>
      <c r="CM4" s="2657"/>
      <c r="CN4" s="2657"/>
      <c r="CO4" s="2657"/>
      <c r="CP4" s="2657"/>
      <c r="CQ4" s="2657"/>
      <c r="CR4" s="2657"/>
      <c r="CS4" s="2657"/>
      <c r="CT4" s="2657"/>
      <c r="CU4" s="2657"/>
      <c r="CV4" s="2657"/>
      <c r="CW4" s="2657"/>
      <c r="CX4" s="2657"/>
      <c r="CY4" s="2657"/>
      <c r="CZ4" s="2657"/>
      <c r="DA4" s="2657"/>
      <c r="DB4" s="2657"/>
      <c r="DC4" s="2657"/>
      <c r="DD4" s="2657"/>
      <c r="DE4" s="2657"/>
      <c r="DF4" s="2657"/>
      <c r="DG4" s="2657"/>
      <c r="DH4" s="2657"/>
      <c r="DI4" s="2657"/>
      <c r="DJ4" s="2657"/>
      <c r="DK4" s="2657"/>
      <c r="DL4" s="2657"/>
      <c r="DM4" s="2657"/>
      <c r="DN4" s="2657"/>
      <c r="DO4" s="2657"/>
      <c r="DP4" s="2657"/>
      <c r="DQ4" s="2657"/>
      <c r="DR4" s="2657"/>
      <c r="DS4" s="2657"/>
      <c r="DT4" s="2657"/>
      <c r="DU4" s="2657"/>
      <c r="DV4" s="2657"/>
      <c r="DW4" s="2657"/>
      <c r="DX4" s="2657"/>
      <c r="DY4" s="2657"/>
      <c r="DZ4" s="2657"/>
      <c r="EA4" s="2657"/>
      <c r="EB4" s="2657"/>
      <c r="EC4" s="2657"/>
      <c r="ED4" s="2657"/>
      <c r="EE4" s="2657"/>
      <c r="EF4" s="2657"/>
      <c r="EG4" s="2657"/>
      <c r="EH4" s="2657"/>
      <c r="EI4" s="2657"/>
      <c r="EJ4" s="2657"/>
      <c r="EK4" s="2657"/>
      <c r="EL4" s="2657"/>
      <c r="EM4" s="2657"/>
      <c r="EN4" s="2657"/>
      <c r="EO4" s="2657"/>
      <c r="EP4" s="2657"/>
      <c r="EQ4" s="2657"/>
      <c r="ER4" s="2657"/>
      <c r="ES4" s="2657"/>
      <c r="ET4" s="2657"/>
      <c r="EU4" s="2657"/>
      <c r="EV4" s="2657"/>
      <c r="EW4" s="2657"/>
      <c r="EX4" s="2657"/>
      <c r="EY4" s="2657"/>
      <c r="EZ4" s="2657"/>
      <c r="FA4" s="2657"/>
      <c r="FB4" s="2657"/>
      <c r="FC4" s="2657"/>
      <c r="FD4" s="2657"/>
      <c r="FE4" s="2657"/>
      <c r="FF4" s="2657"/>
      <c r="FG4" s="2657"/>
      <c r="FH4" s="2657"/>
      <c r="FI4" s="2657"/>
      <c r="FJ4" s="2657"/>
      <c r="FK4" s="2657"/>
      <c r="FL4" s="2657"/>
      <c r="FM4" s="2657"/>
      <c r="FN4" s="2657"/>
      <c r="FO4" s="2657"/>
      <c r="FP4" s="2657"/>
      <c r="FQ4" s="2657"/>
      <c r="FR4" s="2657"/>
      <c r="FS4" s="2657"/>
      <c r="FT4" s="2657"/>
      <c r="FU4" s="2657"/>
      <c r="FV4" s="2657"/>
      <c r="FW4" s="2657"/>
      <c r="FX4" s="2657"/>
      <c r="FY4" s="2657"/>
      <c r="FZ4" s="2657"/>
      <c r="GA4" s="2657"/>
      <c r="GB4" s="2657"/>
      <c r="GC4" s="2657"/>
      <c r="GD4" s="2657"/>
      <c r="GE4" s="2657"/>
      <c r="GF4" s="2657"/>
      <c r="GG4" s="2657"/>
      <c r="GH4" s="2657"/>
      <c r="GI4" s="2657"/>
      <c r="GJ4" s="2657"/>
      <c r="GK4" s="2657"/>
      <c r="GL4" s="2657"/>
      <c r="GM4" s="2657"/>
      <c r="GN4" s="2657"/>
      <c r="GO4" s="2657"/>
      <c r="GP4" s="2657"/>
      <c r="GQ4" s="2657"/>
      <c r="GR4" s="2657"/>
      <c r="GS4" s="2657"/>
      <c r="GT4" s="2657"/>
      <c r="GU4" s="2657"/>
      <c r="GV4" s="2657"/>
      <c r="GW4" s="2657"/>
      <c r="GX4" s="2657"/>
      <c r="GY4" s="2657"/>
      <c r="GZ4" s="2657"/>
      <c r="HA4" s="2657"/>
      <c r="HB4" s="2657"/>
      <c r="HC4" s="2657"/>
      <c r="HD4" s="2657"/>
      <c r="HE4" s="2657"/>
      <c r="HF4" s="2657"/>
      <c r="HG4" s="2657"/>
      <c r="HH4" s="2657"/>
      <c r="HI4" s="2657"/>
      <c r="HJ4" s="2657"/>
      <c r="HK4" s="2657"/>
      <c r="HL4" s="2657"/>
      <c r="HM4" s="2657"/>
      <c r="HN4" s="2657"/>
      <c r="HO4" s="2657"/>
      <c r="HP4" s="2657"/>
      <c r="HQ4" s="2657"/>
      <c r="HR4" s="2657"/>
      <c r="HS4" s="2657"/>
      <c r="HT4" s="2657"/>
      <c r="HU4" s="2657"/>
      <c r="HV4" s="2657"/>
      <c r="HW4" s="2657"/>
      <c r="HX4" s="2657"/>
      <c r="HY4" s="2657"/>
      <c r="HZ4" s="2657"/>
      <c r="IA4" s="2657"/>
      <c r="IB4" s="2657"/>
      <c r="IC4" s="2657"/>
      <c r="ID4" s="2657"/>
      <c r="IE4" s="2657"/>
      <c r="IF4" s="2657"/>
      <c r="IG4" s="2657"/>
      <c r="IH4" s="2657"/>
      <c r="II4" s="2657"/>
      <c r="IJ4" s="2657"/>
      <c r="IK4" s="2657"/>
      <c r="IL4" s="2657"/>
      <c r="IM4" s="2657"/>
      <c r="IN4" s="2657"/>
      <c r="IO4" s="2657"/>
      <c r="IP4" s="2657"/>
      <c r="IQ4" s="2657"/>
      <c r="IR4" s="2657"/>
      <c r="IS4" s="2657"/>
      <c r="IT4" s="2657"/>
      <c r="IU4" s="2657"/>
      <c r="IV4" s="2657"/>
    </row>
    <row r="5" spans="1:257" s="2712" customFormat="1">
      <c r="A5" s="2657"/>
      <c r="G5" s="2664" t="s">
        <v>2773</v>
      </c>
      <c r="H5" s="2665">
        <v>1</v>
      </c>
      <c r="I5" s="2666">
        <f ca="1">INDIRECT("f"&amp;$H$1)</f>
        <v>4.75</v>
      </c>
      <c r="J5" s="2666">
        <f ca="1">INDIRECT("f"&amp;$H$1)</f>
        <v>4.75</v>
      </c>
      <c r="K5" s="2657"/>
      <c r="L5" s="2657"/>
      <c r="M5" s="2667">
        <v>2</v>
      </c>
      <c r="N5" s="2668">
        <f ca="1">INDIRECT("r"&amp;$N$1)</f>
        <v>2.1</v>
      </c>
      <c r="O5" s="2657"/>
      <c r="P5" s="2657"/>
      <c r="Q5" s="2657"/>
      <c r="R5" s="2657"/>
      <c r="S5" s="2657"/>
      <c r="T5" s="2657"/>
      <c r="U5" s="2657"/>
      <c r="V5" s="2657"/>
      <c r="W5" s="2657"/>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57"/>
      <c r="ET5" s="2657"/>
      <c r="EU5" s="2657"/>
      <c r="EV5" s="2657"/>
      <c r="EW5" s="2657"/>
      <c r="EX5" s="2657"/>
      <c r="EY5" s="2657"/>
      <c r="EZ5" s="2657"/>
      <c r="FA5" s="2657"/>
      <c r="FB5" s="2657"/>
      <c r="FC5" s="2657"/>
      <c r="FD5" s="2657"/>
      <c r="FE5" s="2657"/>
      <c r="FF5" s="2657"/>
      <c r="FG5" s="2657"/>
      <c r="FH5" s="2657"/>
      <c r="FI5" s="2657"/>
      <c r="FJ5" s="2657"/>
      <c r="FK5" s="2657"/>
      <c r="FL5" s="2657"/>
      <c r="FM5" s="2657"/>
      <c r="FN5" s="2657"/>
      <c r="FO5" s="2657"/>
      <c r="FP5" s="2657"/>
      <c r="FQ5" s="2657"/>
      <c r="FR5" s="2657"/>
      <c r="FS5" s="2657"/>
      <c r="FT5" s="2657"/>
      <c r="FU5" s="2657"/>
      <c r="FV5" s="2657"/>
      <c r="FW5" s="2657"/>
      <c r="FX5" s="2657"/>
      <c r="FY5" s="2657"/>
      <c r="FZ5" s="2657"/>
      <c r="GA5" s="2657"/>
      <c r="GB5" s="2657"/>
      <c r="GC5" s="2657"/>
      <c r="GD5" s="2657"/>
      <c r="GE5" s="2657"/>
      <c r="GF5" s="2657"/>
      <c r="GG5" s="2657"/>
      <c r="GH5" s="2657"/>
      <c r="GI5" s="2657"/>
      <c r="GJ5" s="2657"/>
      <c r="GK5" s="2657"/>
      <c r="GL5" s="2657"/>
      <c r="GM5" s="2657"/>
      <c r="GN5" s="2657"/>
      <c r="GO5" s="2657"/>
      <c r="GP5" s="2657"/>
      <c r="GQ5" s="2657"/>
      <c r="GR5" s="2657"/>
      <c r="GS5" s="2657"/>
      <c r="GT5" s="2657"/>
      <c r="GU5" s="2657"/>
      <c r="GV5" s="2657"/>
      <c r="GW5" s="2657"/>
      <c r="GX5" s="2657"/>
      <c r="GY5" s="2657"/>
      <c r="GZ5" s="2657"/>
      <c r="HA5" s="2657"/>
      <c r="HB5" s="2657"/>
      <c r="HC5" s="2657"/>
      <c r="HD5" s="2657"/>
      <c r="HE5" s="2657"/>
      <c r="HF5" s="2657"/>
      <c r="HG5" s="2657"/>
      <c r="HH5" s="2657"/>
      <c r="HI5" s="2657"/>
      <c r="HJ5" s="2657"/>
      <c r="HK5" s="2657"/>
      <c r="HL5" s="2657"/>
      <c r="HM5" s="2657"/>
      <c r="HN5" s="2657"/>
      <c r="HO5" s="2657"/>
      <c r="HP5" s="2657"/>
      <c r="HQ5" s="2657"/>
      <c r="HR5" s="2657"/>
      <c r="HS5" s="2657"/>
      <c r="HT5" s="2657"/>
      <c r="HU5" s="2657"/>
      <c r="HV5" s="2657"/>
      <c r="HW5" s="2657"/>
      <c r="HX5" s="2657"/>
      <c r="HY5" s="2657"/>
      <c r="HZ5" s="2657"/>
      <c r="IA5" s="2657"/>
      <c r="IB5" s="2657"/>
      <c r="IC5" s="2657"/>
      <c r="ID5" s="2657"/>
      <c r="IE5" s="2657"/>
      <c r="IF5" s="2657"/>
      <c r="IG5" s="2657"/>
      <c r="IH5" s="2657"/>
      <c r="II5" s="2657"/>
      <c r="IJ5" s="2657"/>
      <c r="IK5" s="2657"/>
      <c r="IL5" s="2657"/>
      <c r="IM5" s="2657"/>
      <c r="IN5" s="2657"/>
      <c r="IO5" s="2657"/>
      <c r="IP5" s="2657"/>
      <c r="IQ5" s="2657"/>
      <c r="IR5" s="2657"/>
      <c r="IS5" s="2657"/>
      <c r="IT5" s="2657"/>
      <c r="IU5" s="2657"/>
      <c r="IV5" s="2657"/>
    </row>
    <row r="6" spans="1:257" s="2712" customFormat="1">
      <c r="A6" s="2657"/>
      <c r="G6" s="2664" t="s">
        <v>2774</v>
      </c>
      <c r="H6" s="2665">
        <v>3</v>
      </c>
      <c r="I6" s="2666">
        <f ca="1">INDIRECT("g"&amp;$H$1)</f>
        <v>4.75</v>
      </c>
      <c r="J6" s="2666">
        <f ca="1">INDIRECT("g"&amp;$H$1)</f>
        <v>4.75</v>
      </c>
      <c r="K6" s="2657"/>
      <c r="L6" s="2657"/>
      <c r="M6" s="2667">
        <v>3</v>
      </c>
      <c r="N6" s="2668">
        <f ca="1">INDIRECT("s"&amp;$N$1)</f>
        <v>2.75</v>
      </c>
      <c r="O6" s="2657"/>
      <c r="P6" s="2657"/>
      <c r="Q6" s="2657"/>
      <c r="R6" s="2657"/>
      <c r="S6" s="2657"/>
      <c r="T6" s="2657"/>
      <c r="U6" s="2657"/>
      <c r="V6" s="2657"/>
      <c r="W6" s="2657"/>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57"/>
      <c r="ET6" s="2657"/>
      <c r="EU6" s="2657"/>
      <c r="EV6" s="2657"/>
      <c r="EW6" s="2657"/>
      <c r="EX6" s="2657"/>
      <c r="EY6" s="2657"/>
      <c r="EZ6" s="2657"/>
      <c r="FA6" s="2657"/>
      <c r="FB6" s="2657"/>
      <c r="FC6" s="2657"/>
      <c r="FD6" s="2657"/>
      <c r="FE6" s="2657"/>
      <c r="FF6" s="2657"/>
      <c r="FG6" s="2657"/>
      <c r="FH6" s="2657"/>
      <c r="FI6" s="2657"/>
      <c r="FJ6" s="2657"/>
      <c r="FK6" s="2657"/>
      <c r="FL6" s="2657"/>
      <c r="FM6" s="2657"/>
      <c r="FN6" s="2657"/>
      <c r="FO6" s="2657"/>
      <c r="FP6" s="2657"/>
      <c r="FQ6" s="2657"/>
      <c r="FR6" s="2657"/>
      <c r="FS6" s="2657"/>
      <c r="FT6" s="2657"/>
      <c r="FU6" s="2657"/>
      <c r="FV6" s="2657"/>
      <c r="FW6" s="2657"/>
      <c r="FX6" s="2657"/>
      <c r="FY6" s="2657"/>
      <c r="FZ6" s="2657"/>
      <c r="GA6" s="2657"/>
      <c r="GB6" s="2657"/>
      <c r="GC6" s="2657"/>
      <c r="GD6" s="2657"/>
      <c r="GE6" s="2657"/>
      <c r="GF6" s="2657"/>
      <c r="GG6" s="2657"/>
      <c r="GH6" s="2657"/>
      <c r="GI6" s="2657"/>
      <c r="GJ6" s="2657"/>
      <c r="GK6" s="2657"/>
      <c r="GL6" s="2657"/>
      <c r="GM6" s="2657"/>
      <c r="GN6" s="2657"/>
      <c r="GO6" s="2657"/>
      <c r="GP6" s="2657"/>
      <c r="GQ6" s="2657"/>
      <c r="GR6" s="2657"/>
      <c r="GS6" s="2657"/>
      <c r="GT6" s="2657"/>
      <c r="GU6" s="2657"/>
      <c r="GV6" s="2657"/>
      <c r="GW6" s="2657"/>
      <c r="GX6" s="2657"/>
      <c r="GY6" s="2657"/>
      <c r="GZ6" s="2657"/>
      <c r="HA6" s="2657"/>
      <c r="HB6" s="2657"/>
      <c r="HC6" s="2657"/>
      <c r="HD6" s="2657"/>
      <c r="HE6" s="2657"/>
      <c r="HF6" s="2657"/>
      <c r="HG6" s="2657"/>
      <c r="HH6" s="2657"/>
      <c r="HI6" s="2657"/>
      <c r="HJ6" s="2657"/>
      <c r="HK6" s="2657"/>
      <c r="HL6" s="2657"/>
      <c r="HM6" s="2657"/>
      <c r="HN6" s="2657"/>
      <c r="HO6" s="2657"/>
      <c r="HP6" s="2657"/>
      <c r="HQ6" s="2657"/>
      <c r="HR6" s="2657"/>
      <c r="HS6" s="2657"/>
      <c r="HT6" s="2657"/>
      <c r="HU6" s="2657"/>
      <c r="HV6" s="2657"/>
      <c r="HW6" s="2657"/>
      <c r="HX6" s="2657"/>
      <c r="HY6" s="2657"/>
      <c r="HZ6" s="2657"/>
      <c r="IA6" s="2657"/>
      <c r="IB6" s="2657"/>
      <c r="IC6" s="2657"/>
      <c r="ID6" s="2657"/>
      <c r="IE6" s="2657"/>
      <c r="IF6" s="2657"/>
      <c r="IG6" s="2657"/>
      <c r="IH6" s="2657"/>
      <c r="II6" s="2657"/>
      <c r="IJ6" s="2657"/>
      <c r="IK6" s="2657"/>
      <c r="IL6" s="2657"/>
      <c r="IM6" s="2657"/>
      <c r="IN6" s="2657"/>
      <c r="IO6" s="2657"/>
      <c r="IP6" s="2657"/>
      <c r="IQ6" s="2657"/>
      <c r="IR6" s="2657"/>
      <c r="IS6" s="2657"/>
      <c r="IT6" s="2657"/>
      <c r="IU6" s="2657"/>
      <c r="IV6" s="2657"/>
    </row>
    <row r="7" spans="1:257" s="2712" customFormat="1" ht="14.25" thickBot="1">
      <c r="A7" s="2657"/>
      <c r="G7" s="2669" t="s">
        <v>2775</v>
      </c>
      <c r="H7" s="2670">
        <v>5</v>
      </c>
      <c r="I7" s="2671">
        <f ca="1">INDIRECT("h"&amp;$H$1)</f>
        <v>4.9000000000000004</v>
      </c>
      <c r="J7" s="2671">
        <f ca="1">INDIRECT("h"&amp;$H$1)</f>
        <v>4.9000000000000004</v>
      </c>
      <c r="K7" s="2657"/>
      <c r="L7" s="2657"/>
      <c r="M7" s="2672">
        <v>5</v>
      </c>
      <c r="N7" s="2673">
        <f ca="1">INDIRECT("t"&amp;$N$1)</f>
        <v>0</v>
      </c>
      <c r="O7" s="2657"/>
      <c r="P7" s="2657"/>
      <c r="Q7" s="2657"/>
      <c r="R7" s="2657"/>
      <c r="S7" s="2657"/>
      <c r="T7" s="2657"/>
      <c r="U7" s="2657"/>
      <c r="V7" s="2657"/>
      <c r="W7" s="2657"/>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57"/>
      <c r="ET7" s="2657"/>
      <c r="EU7" s="2657"/>
      <c r="EV7" s="2657"/>
      <c r="EW7" s="2657"/>
      <c r="EX7" s="2657"/>
      <c r="EY7" s="2657"/>
      <c r="EZ7" s="2657"/>
      <c r="FA7" s="2657"/>
      <c r="FB7" s="2657"/>
      <c r="FC7" s="2657"/>
      <c r="FD7" s="2657"/>
      <c r="FE7" s="2657"/>
      <c r="FF7" s="2657"/>
      <c r="FG7" s="2657"/>
      <c r="FH7" s="2657"/>
      <c r="FI7" s="2657"/>
      <c r="FJ7" s="2657"/>
      <c r="FK7" s="2657"/>
      <c r="FL7" s="2657"/>
      <c r="FM7" s="2657"/>
      <c r="FN7" s="2657"/>
      <c r="FO7" s="2657"/>
      <c r="FP7" s="2657"/>
      <c r="FQ7" s="2657"/>
      <c r="FR7" s="2657"/>
      <c r="FS7" s="2657"/>
      <c r="FT7" s="2657"/>
      <c r="FU7" s="2657"/>
      <c r="FV7" s="2657"/>
      <c r="FW7" s="2657"/>
      <c r="FX7" s="2657"/>
      <c r="FY7" s="2657"/>
      <c r="FZ7" s="2657"/>
      <c r="GA7" s="2657"/>
      <c r="GB7" s="2657"/>
      <c r="GC7" s="2657"/>
      <c r="GD7" s="2657"/>
      <c r="GE7" s="2657"/>
      <c r="GF7" s="2657"/>
      <c r="GG7" s="2657"/>
      <c r="GH7" s="2657"/>
      <c r="GI7" s="2657"/>
      <c r="GJ7" s="2657"/>
      <c r="GK7" s="2657"/>
      <c r="GL7" s="2657"/>
      <c r="GM7" s="2657"/>
      <c r="GN7" s="2657"/>
      <c r="GO7" s="2657"/>
      <c r="GP7" s="2657"/>
      <c r="GQ7" s="2657"/>
      <c r="GR7" s="2657"/>
      <c r="GS7" s="2657"/>
      <c r="GT7" s="2657"/>
      <c r="GU7" s="2657"/>
      <c r="GV7" s="2657"/>
      <c r="GW7" s="2657"/>
      <c r="GX7" s="2657"/>
      <c r="GY7" s="2657"/>
      <c r="GZ7" s="2657"/>
      <c r="HA7" s="2657"/>
      <c r="HB7" s="2657"/>
      <c r="HC7" s="2657"/>
      <c r="HD7" s="2657"/>
      <c r="HE7" s="2657"/>
      <c r="HF7" s="2657"/>
      <c r="HG7" s="2657"/>
      <c r="HH7" s="2657"/>
      <c r="HI7" s="2657"/>
      <c r="HJ7" s="2657"/>
      <c r="HK7" s="2657"/>
      <c r="HL7" s="2657"/>
      <c r="HM7" s="2657"/>
      <c r="HN7" s="2657"/>
      <c r="HO7" s="2657"/>
      <c r="HP7" s="2657"/>
      <c r="HQ7" s="2657"/>
      <c r="HR7" s="2657"/>
      <c r="HS7" s="2657"/>
      <c r="HT7" s="2657"/>
      <c r="HU7" s="2657"/>
      <c r="HV7" s="2657"/>
      <c r="HW7" s="2657"/>
      <c r="HX7" s="2657"/>
      <c r="HY7" s="2657"/>
      <c r="HZ7" s="2657"/>
      <c r="IA7" s="2657"/>
      <c r="IB7" s="2657"/>
      <c r="IC7" s="2657"/>
      <c r="ID7" s="2657"/>
      <c r="IE7" s="2657"/>
      <c r="IF7" s="2657"/>
      <c r="IG7" s="2657"/>
      <c r="IH7" s="2657"/>
      <c r="II7" s="2657"/>
      <c r="IJ7" s="2657"/>
      <c r="IK7" s="2657"/>
      <c r="IL7" s="2657"/>
      <c r="IM7" s="2657"/>
      <c r="IN7" s="2657"/>
      <c r="IO7" s="2657"/>
      <c r="IP7" s="2657"/>
      <c r="IQ7" s="2657"/>
      <c r="IR7" s="2657"/>
      <c r="IS7" s="2657"/>
      <c r="IT7" s="2657"/>
      <c r="IU7" s="2657"/>
      <c r="IV7" s="2657"/>
    </row>
    <row r="8" spans="1:257">
      <c r="A8" s="2674"/>
      <c r="B8" s="2675"/>
      <c r="C8" s="2676"/>
      <c r="D8" s="2657"/>
      <c r="E8" s="2657"/>
      <c r="F8" s="2657"/>
      <c r="G8" s="2657"/>
      <c r="H8" s="2657"/>
      <c r="I8" s="2657"/>
      <c r="J8" s="2657"/>
      <c r="L8" s="2657"/>
      <c r="M8" s="2657"/>
      <c r="N8" s="2657"/>
      <c r="O8" s="2657"/>
      <c r="P8" s="2657"/>
      <c r="Q8" s="2657"/>
      <c r="R8" s="2657"/>
      <c r="S8" s="2657"/>
      <c r="T8" s="2657"/>
      <c r="U8" s="2657"/>
      <c r="V8" s="2657"/>
      <c r="W8" s="2657"/>
      <c r="X8" s="2657"/>
      <c r="Y8" s="2657"/>
      <c r="Z8" s="2657"/>
    </row>
    <row r="9" spans="1:257" ht="20.25">
      <c r="A9" s="2677"/>
      <c r="B9" s="2678" t="s">
        <v>2776</v>
      </c>
      <c r="C9" s="2679"/>
      <c r="D9" s="2680"/>
      <c r="E9" s="2680"/>
      <c r="F9" s="2680"/>
      <c r="G9" s="2680"/>
      <c r="H9" s="2680"/>
      <c r="I9" s="2680"/>
      <c r="J9" s="2680"/>
      <c r="K9" s="2680"/>
      <c r="L9" s="2680"/>
      <c r="M9" s="2680"/>
      <c r="N9" s="2680"/>
      <c r="O9" s="2680"/>
      <c r="P9" s="2680"/>
      <c r="Q9" s="2680"/>
      <c r="R9" s="2680"/>
      <c r="S9" s="2680"/>
      <c r="T9" s="2680"/>
      <c r="U9" s="2680"/>
      <c r="V9" s="2680"/>
      <c r="W9" s="2680"/>
      <c r="X9" s="2680"/>
      <c r="Y9" s="2680"/>
      <c r="Z9" s="2680"/>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c r="BP9" s="2681"/>
      <c r="BQ9" s="2681"/>
      <c r="BR9" s="2681"/>
      <c r="BS9" s="2681"/>
      <c r="BT9" s="2681"/>
      <c r="BU9" s="2681"/>
      <c r="BV9" s="2681"/>
      <c r="BW9" s="2681"/>
      <c r="BX9" s="2681"/>
      <c r="BY9" s="2681"/>
      <c r="BZ9" s="2681"/>
      <c r="CA9" s="2681"/>
      <c r="CB9" s="2681"/>
      <c r="CC9" s="2681"/>
      <c r="CD9" s="2681"/>
      <c r="CE9" s="2681"/>
      <c r="CF9" s="2681"/>
      <c r="CG9" s="2681"/>
      <c r="CH9" s="2681"/>
      <c r="CI9" s="2681"/>
      <c r="CJ9" s="2681"/>
      <c r="CK9" s="2681"/>
      <c r="CL9" s="2681"/>
      <c r="CM9" s="2681"/>
      <c r="CN9" s="2681"/>
      <c r="CO9" s="2681"/>
      <c r="CP9" s="2681"/>
      <c r="CQ9" s="2681"/>
      <c r="CR9" s="2681"/>
      <c r="CS9" s="2681"/>
      <c r="CT9" s="2681"/>
      <c r="CU9" s="2681"/>
      <c r="CV9" s="2681"/>
      <c r="CW9" s="2681"/>
      <c r="CX9" s="2681"/>
      <c r="CY9" s="2681"/>
      <c r="CZ9" s="2681"/>
      <c r="DA9" s="2681"/>
      <c r="DB9" s="2681"/>
      <c r="DC9" s="2681"/>
      <c r="DD9" s="2681"/>
      <c r="DE9" s="2681"/>
      <c r="DF9" s="2681"/>
      <c r="DG9" s="2681"/>
      <c r="DH9" s="2681"/>
      <c r="DI9" s="2681"/>
      <c r="DJ9" s="2681"/>
      <c r="DK9" s="2681"/>
      <c r="DL9" s="2681"/>
      <c r="DM9" s="2681"/>
      <c r="DN9" s="2681"/>
      <c r="DO9" s="2681"/>
      <c r="DP9" s="2681"/>
      <c r="DQ9" s="2681"/>
      <c r="DR9" s="2681"/>
      <c r="DS9" s="2681"/>
      <c r="DT9" s="2681"/>
      <c r="DU9" s="2681"/>
      <c r="DV9" s="2681"/>
      <c r="DW9" s="2681"/>
      <c r="DX9" s="2681"/>
      <c r="DY9" s="2681"/>
      <c r="DZ9" s="2681"/>
      <c r="EA9" s="2681"/>
      <c r="EB9" s="2681"/>
      <c r="EC9" s="2681"/>
      <c r="ED9" s="2681"/>
      <c r="EE9" s="2681"/>
      <c r="EF9" s="2681"/>
      <c r="EG9" s="2681"/>
      <c r="EH9" s="2681"/>
      <c r="EI9" s="2681"/>
      <c r="EJ9" s="2681"/>
      <c r="EK9" s="2681"/>
      <c r="EL9" s="2681"/>
      <c r="EM9" s="2681"/>
      <c r="EN9" s="2681"/>
      <c r="EO9" s="2681"/>
      <c r="EP9" s="2681"/>
      <c r="EQ9" s="2681"/>
      <c r="ER9" s="2681"/>
      <c r="ES9" s="2681"/>
      <c r="ET9" s="2681"/>
      <c r="EU9" s="2681"/>
      <c r="EV9" s="2681"/>
      <c r="EW9" s="2681"/>
      <c r="EX9" s="2681"/>
      <c r="EY9" s="2681"/>
      <c r="EZ9" s="2681"/>
      <c r="FA9" s="2681"/>
      <c r="FB9" s="2681"/>
      <c r="FC9" s="2681"/>
      <c r="FD9" s="2681"/>
      <c r="FE9" s="2681"/>
      <c r="FF9" s="2681"/>
      <c r="FG9" s="2681"/>
      <c r="FH9" s="2681"/>
      <c r="FI9" s="2681"/>
      <c r="FJ9" s="2681"/>
      <c r="FK9" s="2681"/>
      <c r="FL9" s="2681"/>
      <c r="FM9" s="2681"/>
      <c r="FN9" s="2681"/>
      <c r="FO9" s="2681"/>
      <c r="FP9" s="2681"/>
      <c r="FQ9" s="2681"/>
      <c r="FR9" s="2681"/>
      <c r="FS9" s="2681"/>
      <c r="FT9" s="2681"/>
      <c r="FU9" s="2681"/>
      <c r="FV9" s="2681"/>
      <c r="FW9" s="2681"/>
      <c r="FX9" s="2681"/>
      <c r="FY9" s="2681"/>
      <c r="FZ9" s="2681"/>
      <c r="GA9" s="2681"/>
      <c r="GB9" s="2681"/>
      <c r="GC9" s="2681"/>
      <c r="GD9" s="2681"/>
      <c r="GE9" s="2681"/>
      <c r="GF9" s="2681"/>
      <c r="GG9" s="2681"/>
      <c r="GH9" s="2681"/>
      <c r="GI9" s="2681"/>
      <c r="GJ9" s="2681"/>
      <c r="GK9" s="2681"/>
      <c r="GL9" s="2681"/>
      <c r="GM9" s="2681"/>
      <c r="GN9" s="2681"/>
      <c r="GO9" s="2681"/>
      <c r="GP9" s="2681"/>
      <c r="GQ9" s="2681"/>
      <c r="GR9" s="2681"/>
      <c r="GS9" s="2681"/>
      <c r="GT9" s="2681"/>
      <c r="GU9" s="2681"/>
      <c r="GV9" s="2681"/>
      <c r="GW9" s="2681"/>
      <c r="GX9" s="2681"/>
      <c r="GY9" s="2681"/>
      <c r="GZ9" s="2681"/>
      <c r="HA9" s="2681"/>
      <c r="HB9" s="2681"/>
      <c r="HC9" s="2681"/>
      <c r="HD9" s="2681"/>
      <c r="HE9" s="2681"/>
      <c r="HF9" s="2681"/>
      <c r="HG9" s="2681"/>
      <c r="HH9" s="2681"/>
      <c r="HI9" s="2681"/>
      <c r="HJ9" s="2681"/>
      <c r="HK9" s="2681"/>
      <c r="HL9" s="2681"/>
      <c r="HM9" s="2681"/>
      <c r="HN9" s="2681"/>
      <c r="HO9" s="2681"/>
      <c r="HP9" s="2681"/>
      <c r="HQ9" s="2681"/>
      <c r="HR9" s="2681"/>
      <c r="HS9" s="2681"/>
      <c r="HT9" s="2681"/>
      <c r="HU9" s="2681"/>
      <c r="HV9" s="2681"/>
      <c r="HW9" s="2681"/>
      <c r="HX9" s="2681"/>
      <c r="HY9" s="2681"/>
      <c r="HZ9" s="2681"/>
      <c r="IA9" s="2681"/>
      <c r="IB9" s="2681"/>
      <c r="IC9" s="2681"/>
      <c r="ID9" s="2681"/>
      <c r="IE9" s="2681"/>
      <c r="IF9" s="2681"/>
      <c r="IG9" s="2681"/>
      <c r="IH9" s="2681"/>
      <c r="II9" s="2681"/>
      <c r="IJ9" s="2681"/>
      <c r="IK9" s="2681"/>
      <c r="IL9" s="2681"/>
      <c r="IM9" s="2681"/>
      <c r="IN9" s="2681"/>
      <c r="IO9" s="2681"/>
      <c r="IP9" s="2681"/>
      <c r="IQ9" s="2681"/>
      <c r="IR9" s="2681"/>
      <c r="IS9" s="2681"/>
      <c r="IT9" s="2681"/>
      <c r="IU9" s="2681"/>
      <c r="IV9" s="2681"/>
      <c r="IW9" s="2682"/>
    </row>
    <row r="10" spans="1:257" ht="22.5">
      <c r="A10" s="2683"/>
      <c r="B10" s="2684" t="s">
        <v>2777</v>
      </c>
      <c r="C10" s="2683"/>
      <c r="D10" s="2683"/>
      <c r="E10" s="2683"/>
      <c r="F10" s="2683"/>
      <c r="G10" s="2683"/>
      <c r="H10" s="2683"/>
      <c r="I10" s="2657"/>
      <c r="J10" s="2657"/>
      <c r="K10" s="2683"/>
      <c r="L10" s="2684" t="s">
        <v>2778</v>
      </c>
      <c r="M10" s="2683"/>
      <c r="N10" s="2683"/>
      <c r="O10" s="2683"/>
      <c r="P10" s="2683"/>
      <c r="Q10" s="2683"/>
      <c r="R10" s="2683"/>
      <c r="S10" s="2683"/>
      <c r="T10" s="2683"/>
      <c r="U10" s="2683"/>
      <c r="V10" s="2683"/>
      <c r="W10" s="2683"/>
      <c r="X10" s="2683"/>
      <c r="Y10" s="2683"/>
      <c r="Z10" s="2683"/>
      <c r="AA10" s="2685"/>
      <c r="AB10" s="2685"/>
      <c r="AC10" s="2685"/>
      <c r="AD10" s="2685"/>
      <c r="AE10" s="2685"/>
      <c r="AF10" s="2685"/>
      <c r="AG10" s="2685"/>
      <c r="AH10" s="2685"/>
      <c r="AI10" s="2685"/>
      <c r="AJ10" s="2685"/>
      <c r="AK10" s="2685"/>
      <c r="AL10" s="2685"/>
      <c r="AM10" s="2685"/>
      <c r="AN10" s="2685"/>
      <c r="AO10" s="2685"/>
      <c r="AP10" s="2685"/>
      <c r="AQ10" s="2685"/>
      <c r="AR10" s="2685"/>
      <c r="AS10" s="2685"/>
      <c r="AT10" s="2685"/>
      <c r="AU10" s="2685"/>
      <c r="AV10" s="2685"/>
      <c r="AW10" s="2685"/>
      <c r="AX10" s="2685"/>
      <c r="AY10" s="2685"/>
      <c r="AZ10" s="2685"/>
      <c r="BA10" s="2685"/>
      <c r="BB10" s="2685"/>
      <c r="BC10" s="2685"/>
      <c r="BD10" s="2685"/>
      <c r="BE10" s="2685"/>
      <c r="BF10" s="2685"/>
      <c r="BG10" s="2685"/>
      <c r="BH10" s="2685"/>
      <c r="BI10" s="2685"/>
      <c r="BJ10" s="2685"/>
      <c r="BK10" s="2685"/>
      <c r="BL10" s="2685"/>
      <c r="BM10" s="2685"/>
      <c r="BN10" s="2685"/>
      <c r="BO10" s="2685"/>
      <c r="BP10" s="2685"/>
      <c r="BQ10" s="2685"/>
      <c r="BR10" s="2685"/>
      <c r="BS10" s="2685"/>
      <c r="BT10" s="2685"/>
      <c r="BU10" s="2685"/>
      <c r="BV10" s="2685"/>
      <c r="BW10" s="2685"/>
      <c r="BX10" s="2685"/>
      <c r="BY10" s="2685"/>
      <c r="BZ10" s="2685"/>
      <c r="CA10" s="2685"/>
      <c r="CB10" s="2685"/>
      <c r="CC10" s="2685"/>
      <c r="CD10" s="2685"/>
      <c r="CE10" s="2685"/>
      <c r="CF10" s="2685"/>
      <c r="CG10" s="2685"/>
      <c r="CH10" s="2685"/>
      <c r="CI10" s="2685"/>
      <c r="CJ10" s="2685"/>
      <c r="CK10" s="2685"/>
      <c r="CL10" s="2685"/>
      <c r="CM10" s="2685"/>
      <c r="CN10" s="2685"/>
      <c r="CO10" s="2685"/>
      <c r="CP10" s="2685"/>
      <c r="CQ10" s="2685"/>
      <c r="CR10" s="2685"/>
      <c r="CS10" s="2685"/>
      <c r="CT10" s="2685"/>
      <c r="CU10" s="2685"/>
      <c r="CV10" s="2685"/>
      <c r="CW10" s="2685"/>
      <c r="CX10" s="2685"/>
      <c r="CY10" s="2685"/>
      <c r="CZ10" s="2685"/>
      <c r="DA10" s="2685"/>
      <c r="DB10" s="2685"/>
      <c r="DC10" s="2685"/>
      <c r="DD10" s="2685"/>
      <c r="DE10" s="2685"/>
      <c r="DF10" s="2685"/>
      <c r="DG10" s="2685"/>
      <c r="DH10" s="2685"/>
      <c r="DI10" s="2685"/>
      <c r="DJ10" s="2685"/>
      <c r="DK10" s="2685"/>
      <c r="DL10" s="2685"/>
      <c r="DM10" s="2685"/>
      <c r="DN10" s="2685"/>
      <c r="DO10" s="2685"/>
      <c r="DP10" s="2685"/>
      <c r="DQ10" s="2685"/>
      <c r="DR10" s="2685"/>
      <c r="DS10" s="2685"/>
      <c r="DT10" s="2685"/>
      <c r="DU10" s="2685"/>
      <c r="DV10" s="2685"/>
      <c r="DW10" s="2685"/>
      <c r="DX10" s="2685"/>
      <c r="DY10" s="2685"/>
      <c r="DZ10" s="2685"/>
      <c r="EA10" s="2685"/>
      <c r="EB10" s="2685"/>
      <c r="EC10" s="2685"/>
      <c r="ED10" s="2685"/>
      <c r="EE10" s="2685"/>
      <c r="EF10" s="2685"/>
      <c r="EG10" s="2685"/>
      <c r="EH10" s="2685"/>
      <c r="EI10" s="2685"/>
      <c r="EJ10" s="2685"/>
      <c r="EK10" s="2685"/>
      <c r="EL10" s="2685"/>
      <c r="EM10" s="2685"/>
      <c r="EN10" s="2685"/>
      <c r="EO10" s="2685"/>
      <c r="EP10" s="2685"/>
      <c r="EQ10" s="2685"/>
      <c r="ER10" s="2685"/>
      <c r="ES10" s="2685"/>
      <c r="ET10" s="2685"/>
      <c r="EU10" s="2685"/>
      <c r="EV10" s="2685"/>
      <c r="EW10" s="2685"/>
      <c r="EX10" s="2685"/>
      <c r="EY10" s="2685"/>
      <c r="EZ10" s="2685"/>
      <c r="FA10" s="2685"/>
      <c r="FB10" s="2685"/>
      <c r="FC10" s="2685"/>
      <c r="FD10" s="2685"/>
      <c r="FE10" s="2685"/>
      <c r="FF10" s="2685"/>
      <c r="FG10" s="2685"/>
      <c r="FH10" s="2685"/>
      <c r="FI10" s="2685"/>
      <c r="FJ10" s="2685"/>
      <c r="FK10" s="2685"/>
      <c r="FL10" s="2685"/>
      <c r="FM10" s="2685"/>
      <c r="FN10" s="2685"/>
      <c r="FO10" s="2685"/>
      <c r="FP10" s="2685"/>
      <c r="FQ10" s="2685"/>
      <c r="FR10" s="2685"/>
      <c r="FS10" s="2685"/>
      <c r="FT10" s="2685"/>
      <c r="FU10" s="2685"/>
      <c r="FV10" s="2685"/>
      <c r="FW10" s="2685"/>
      <c r="FX10" s="2685"/>
      <c r="FY10" s="2685"/>
      <c r="FZ10" s="2685"/>
      <c r="GA10" s="2685"/>
      <c r="GB10" s="2685"/>
      <c r="GC10" s="2685"/>
      <c r="GD10" s="2685"/>
      <c r="GE10" s="2685"/>
      <c r="GF10" s="2685"/>
      <c r="GG10" s="2685"/>
      <c r="GH10" s="2685"/>
      <c r="GI10" s="2685"/>
      <c r="GJ10" s="2685"/>
      <c r="GK10" s="2685"/>
      <c r="GL10" s="2685"/>
      <c r="GM10" s="2685"/>
      <c r="GN10" s="2685"/>
      <c r="GO10" s="2685"/>
      <c r="GP10" s="2685"/>
      <c r="GQ10" s="2685"/>
      <c r="GR10" s="2685"/>
      <c r="GS10" s="2685"/>
      <c r="GT10" s="2685"/>
      <c r="GU10" s="2685"/>
      <c r="GV10" s="2685"/>
      <c r="GW10" s="2685"/>
      <c r="GX10" s="2685"/>
      <c r="GY10" s="2685"/>
      <c r="GZ10" s="2685"/>
      <c r="HA10" s="2685"/>
      <c r="HB10" s="2685"/>
      <c r="HC10" s="2685"/>
      <c r="HD10" s="2685"/>
      <c r="HE10" s="2685"/>
      <c r="HF10" s="2685"/>
      <c r="HG10" s="2685"/>
      <c r="HH10" s="2685"/>
      <c r="HI10" s="2685"/>
      <c r="HJ10" s="2685"/>
      <c r="HK10" s="2685"/>
      <c r="HL10" s="2685"/>
      <c r="HM10" s="2685"/>
      <c r="HN10" s="2685"/>
      <c r="HO10" s="2685"/>
      <c r="HP10" s="2685"/>
      <c r="HQ10" s="2685"/>
      <c r="HR10" s="2685"/>
      <c r="HS10" s="2685"/>
      <c r="HT10" s="2685"/>
      <c r="HU10" s="2685"/>
      <c r="HV10" s="2685"/>
      <c r="HW10" s="2685"/>
      <c r="HX10" s="2685"/>
      <c r="HY10" s="2685"/>
      <c r="HZ10" s="2685"/>
      <c r="IA10" s="2685"/>
      <c r="IB10" s="2685"/>
      <c r="IC10" s="2685"/>
      <c r="ID10" s="2685"/>
      <c r="IE10" s="2685"/>
      <c r="IF10" s="2685"/>
      <c r="IG10" s="2685"/>
      <c r="IH10" s="2685"/>
      <c r="II10" s="2685"/>
      <c r="IJ10" s="2685"/>
      <c r="IK10" s="2685"/>
      <c r="IL10" s="2685"/>
      <c r="IM10" s="2685"/>
      <c r="IN10" s="2685"/>
      <c r="IO10" s="2685"/>
      <c r="IP10" s="2685"/>
      <c r="IQ10" s="2685"/>
      <c r="IR10" s="2685"/>
      <c r="IS10" s="2685"/>
      <c r="IT10" s="2685"/>
      <c r="IU10" s="2685"/>
      <c r="IV10" s="2685"/>
    </row>
    <row r="11" spans="1:257">
      <c r="A11" s="2686"/>
      <c r="B11" s="2687" t="s">
        <v>2779</v>
      </c>
      <c r="C11" s="2688" t="s">
        <v>2780</v>
      </c>
      <c r="D11" s="2689" t="s">
        <v>2781</v>
      </c>
      <c r="E11" s="2690"/>
      <c r="F11" s="2689" t="s">
        <v>2782</v>
      </c>
      <c r="G11" s="2691"/>
      <c r="H11" s="2690"/>
      <c r="I11" s="2689" t="s">
        <v>2783</v>
      </c>
      <c r="J11" s="2690"/>
      <c r="K11" s="2686"/>
      <c r="L11" s="2687" t="s">
        <v>2779</v>
      </c>
      <c r="M11" s="2688" t="s">
        <v>2780</v>
      </c>
      <c r="N11" s="2687" t="s">
        <v>2784</v>
      </c>
      <c r="O11" s="2689" t="s">
        <v>2785</v>
      </c>
      <c r="P11" s="2691"/>
      <c r="Q11" s="2691"/>
      <c r="R11" s="2691"/>
      <c r="S11" s="2691"/>
      <c r="T11" s="2690"/>
      <c r="U11" s="2689" t="s">
        <v>2786</v>
      </c>
      <c r="V11" s="2691"/>
      <c r="W11" s="2690"/>
      <c r="X11" s="2687" t="s">
        <v>2787</v>
      </c>
      <c r="Y11" s="2687" t="s">
        <v>2788</v>
      </c>
      <c r="Z11" s="2687" t="s">
        <v>2789</v>
      </c>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2"/>
      <c r="AZ11" s="2692"/>
      <c r="BA11" s="2692"/>
      <c r="BB11" s="2692"/>
      <c r="BC11" s="2692"/>
      <c r="BD11" s="2692"/>
      <c r="BE11" s="2692"/>
      <c r="BF11" s="2692"/>
      <c r="BG11" s="2692"/>
      <c r="BH11" s="2692"/>
      <c r="BI11" s="2692"/>
      <c r="BJ11" s="2692"/>
      <c r="BK11" s="2692"/>
      <c r="BL11" s="2692"/>
      <c r="BM11" s="2692"/>
      <c r="BN11" s="2692"/>
      <c r="BO11" s="2692"/>
      <c r="BP11" s="2692"/>
      <c r="BQ11" s="2692"/>
      <c r="BR11" s="2692"/>
      <c r="BS11" s="2692"/>
      <c r="BT11" s="2692"/>
      <c r="BU11" s="2692"/>
      <c r="BV11" s="2692"/>
      <c r="BW11" s="2692"/>
      <c r="BX11" s="2692"/>
      <c r="BY11" s="2692"/>
      <c r="BZ11" s="2692"/>
      <c r="CA11" s="2692"/>
      <c r="CB11" s="2692"/>
      <c r="CC11" s="2692"/>
      <c r="CD11" s="2692"/>
      <c r="CE11" s="2692"/>
      <c r="CF11" s="2692"/>
      <c r="CG11" s="2692"/>
      <c r="CH11" s="2692"/>
      <c r="CI11" s="2692"/>
      <c r="CJ11" s="2692"/>
      <c r="CK11" s="2692"/>
      <c r="CL11" s="2692"/>
      <c r="CM11" s="2692"/>
      <c r="CN11" s="2692"/>
      <c r="CO11" s="2692"/>
      <c r="CP11" s="2692"/>
      <c r="CQ11" s="2692"/>
      <c r="CR11" s="2692"/>
      <c r="CS11" s="2692"/>
      <c r="CT11" s="2692"/>
      <c r="CU11" s="2692"/>
      <c r="CV11" s="2692"/>
      <c r="CW11" s="2692"/>
      <c r="CX11" s="2692"/>
      <c r="CY11" s="2692"/>
      <c r="CZ11" s="2692"/>
      <c r="DA11" s="2692"/>
      <c r="DB11" s="2692"/>
      <c r="DC11" s="2692"/>
      <c r="DD11" s="2692"/>
      <c r="DE11" s="2692"/>
      <c r="DF11" s="2692"/>
      <c r="DG11" s="2692"/>
      <c r="DH11" s="2692"/>
      <c r="DI11" s="2692"/>
      <c r="DJ11" s="2692"/>
      <c r="DK11" s="2692"/>
      <c r="DL11" s="2692"/>
      <c r="DM11" s="2692"/>
      <c r="DN11" s="2692"/>
      <c r="DO11" s="2692"/>
      <c r="DP11" s="2692"/>
      <c r="DQ11" s="2692"/>
      <c r="DR11" s="2692"/>
      <c r="DS11" s="2692"/>
      <c r="DT11" s="2692"/>
      <c r="DU11" s="2692"/>
      <c r="DV11" s="2692"/>
      <c r="DW11" s="2692"/>
      <c r="DX11" s="2692"/>
      <c r="DY11" s="2692"/>
      <c r="DZ11" s="2692"/>
      <c r="EA11" s="2692"/>
      <c r="EB11" s="2692"/>
      <c r="EC11" s="2692"/>
      <c r="ED11" s="2692"/>
      <c r="EE11" s="2692"/>
      <c r="EF11" s="2692"/>
      <c r="EG11" s="2692"/>
      <c r="EH11" s="2692"/>
      <c r="EI11" s="2692"/>
      <c r="EJ11" s="2692"/>
      <c r="EK11" s="2692"/>
      <c r="EL11" s="2692"/>
      <c r="EM11" s="2692"/>
      <c r="EN11" s="2692"/>
      <c r="EO11" s="2692"/>
      <c r="EP11" s="2692"/>
      <c r="EQ11" s="2692"/>
      <c r="ER11" s="2692"/>
      <c r="ES11" s="2692"/>
      <c r="ET11" s="2692"/>
      <c r="EU11" s="2692"/>
      <c r="EV11" s="2692"/>
      <c r="EW11" s="2692"/>
      <c r="EX11" s="2692"/>
      <c r="EY11" s="2692"/>
      <c r="EZ11" s="2692"/>
      <c r="FA11" s="2692"/>
      <c r="FB11" s="2692"/>
      <c r="FC11" s="2692"/>
      <c r="FD11" s="2692"/>
      <c r="FE11" s="2692"/>
      <c r="FF11" s="2692"/>
      <c r="FG11" s="2692"/>
      <c r="FH11" s="2692"/>
      <c r="FI11" s="2692"/>
      <c r="FJ11" s="2692"/>
      <c r="FK11" s="2692"/>
      <c r="FL11" s="2692"/>
      <c r="FM11" s="2692"/>
      <c r="FN11" s="2692"/>
      <c r="FO11" s="2692"/>
      <c r="FP11" s="2692"/>
      <c r="FQ11" s="2692"/>
      <c r="FR11" s="2692"/>
      <c r="FS11" s="2692"/>
      <c r="FT11" s="2692"/>
      <c r="FU11" s="2692"/>
      <c r="FV11" s="2692"/>
      <c r="FW11" s="2692"/>
      <c r="FX11" s="2692"/>
      <c r="FY11" s="2692"/>
      <c r="FZ11" s="2692"/>
      <c r="GA11" s="2692"/>
      <c r="GB11" s="2692"/>
      <c r="GC11" s="2692"/>
      <c r="GD11" s="2692"/>
      <c r="GE11" s="2692"/>
      <c r="GF11" s="2692"/>
      <c r="GG11" s="2692"/>
      <c r="GH11" s="2692"/>
      <c r="GI11" s="2692"/>
      <c r="GJ11" s="2692"/>
      <c r="GK11" s="2692"/>
      <c r="GL11" s="2692"/>
      <c r="GM11" s="2692"/>
      <c r="GN11" s="2692"/>
      <c r="GO11" s="2692"/>
      <c r="GP11" s="2692"/>
      <c r="GQ11" s="2692"/>
      <c r="GR11" s="2692"/>
      <c r="GS11" s="2692"/>
      <c r="GT11" s="2692"/>
      <c r="GU11" s="2692"/>
      <c r="GV11" s="2692"/>
      <c r="GW11" s="2692"/>
      <c r="GX11" s="2692"/>
      <c r="GY11" s="2692"/>
      <c r="GZ11" s="2692"/>
      <c r="HA11" s="2692"/>
      <c r="HB11" s="2692"/>
      <c r="HC11" s="2692"/>
      <c r="HD11" s="2692"/>
      <c r="HE11" s="2692"/>
      <c r="HF11" s="2692"/>
      <c r="HG11" s="2692"/>
      <c r="HH11" s="2692"/>
      <c r="HI11" s="2692"/>
      <c r="HJ11" s="2692"/>
      <c r="HK11" s="2692"/>
      <c r="HL11" s="2692"/>
      <c r="HM11" s="2692"/>
      <c r="HN11" s="2692"/>
      <c r="HO11" s="2692"/>
      <c r="HP11" s="2692"/>
      <c r="HQ11" s="2692"/>
      <c r="HR11" s="2692"/>
      <c r="HS11" s="2692"/>
      <c r="HT11" s="2692"/>
      <c r="HU11" s="2692"/>
      <c r="HV11" s="2692"/>
      <c r="HW11" s="2692"/>
      <c r="HX11" s="2692"/>
      <c r="HY11" s="2692"/>
      <c r="HZ11" s="2692"/>
      <c r="IA11" s="2692"/>
      <c r="IB11" s="2692"/>
      <c r="IC11" s="2692"/>
      <c r="ID11" s="2692"/>
      <c r="IE11" s="2692"/>
      <c r="IF11" s="2692"/>
      <c r="IG11" s="2692"/>
      <c r="IH11" s="2692"/>
      <c r="II11" s="2692"/>
      <c r="IJ11" s="2692"/>
      <c r="IK11" s="2692"/>
      <c r="IL11" s="2692"/>
      <c r="IM11" s="2692"/>
      <c r="IN11" s="2692"/>
      <c r="IO11" s="2692"/>
      <c r="IP11" s="2692"/>
      <c r="IQ11" s="2692"/>
      <c r="IR11" s="2692"/>
      <c r="IS11" s="2692"/>
      <c r="IT11" s="2692"/>
      <c r="IU11" s="2692"/>
      <c r="IV11" s="2692"/>
    </row>
    <row r="12" spans="1:257">
      <c r="A12" s="2693"/>
      <c r="B12" s="2694"/>
      <c r="C12" s="2695"/>
      <c r="D12" s="2696" t="s">
        <v>2790</v>
      </c>
      <c r="E12" s="2696" t="s">
        <v>2791</v>
      </c>
      <c r="F12" s="2696" t="s">
        <v>2792</v>
      </c>
      <c r="G12" s="2696" t="s">
        <v>2793</v>
      </c>
      <c r="H12" s="2696" t="s">
        <v>2775</v>
      </c>
      <c r="I12" s="2697" t="s">
        <v>2794</v>
      </c>
      <c r="J12" s="2697" t="s">
        <v>2794</v>
      </c>
      <c r="K12" s="2693"/>
      <c r="L12" s="2694"/>
      <c r="M12" s="2695"/>
      <c r="N12" s="2694"/>
      <c r="O12" s="2697" t="s">
        <v>2795</v>
      </c>
      <c r="P12" s="2697">
        <v>0.5</v>
      </c>
      <c r="Q12" s="2697">
        <v>1</v>
      </c>
      <c r="R12" s="2697">
        <v>2</v>
      </c>
      <c r="S12" s="2697">
        <v>3</v>
      </c>
      <c r="T12" s="2697">
        <v>5</v>
      </c>
      <c r="U12" s="2697">
        <v>1</v>
      </c>
      <c r="V12" s="2697">
        <v>3</v>
      </c>
      <c r="W12" s="2697">
        <v>5</v>
      </c>
      <c r="X12" s="2694"/>
      <c r="Y12" s="2694"/>
      <c r="Z12" s="2694"/>
      <c r="AA12" s="2698"/>
      <c r="AB12" s="2698"/>
      <c r="AC12" s="2698"/>
      <c r="AD12" s="2698"/>
      <c r="AE12" s="2698"/>
      <c r="AF12" s="2698"/>
      <c r="AG12" s="2698"/>
      <c r="AH12" s="2698"/>
      <c r="AI12" s="2698"/>
      <c r="AJ12" s="2698"/>
      <c r="AK12" s="2698"/>
      <c r="AL12" s="2698"/>
      <c r="AM12" s="2698"/>
      <c r="AN12" s="2698"/>
      <c r="AO12" s="2698"/>
      <c r="AP12" s="2698"/>
      <c r="AQ12" s="2698"/>
      <c r="AR12" s="2698"/>
      <c r="AS12" s="2698"/>
      <c r="AT12" s="2698"/>
      <c r="AU12" s="2698"/>
      <c r="AV12" s="2698"/>
      <c r="AW12" s="2698"/>
      <c r="AX12" s="2698"/>
      <c r="AY12" s="2698"/>
      <c r="AZ12" s="2698"/>
      <c r="BA12" s="2698"/>
      <c r="BB12" s="2698"/>
      <c r="BC12" s="2698"/>
      <c r="BD12" s="2698"/>
      <c r="BE12" s="2698"/>
      <c r="BF12" s="2698"/>
      <c r="BG12" s="2698"/>
      <c r="BH12" s="2698"/>
      <c r="BI12" s="2698"/>
      <c r="BJ12" s="2698"/>
      <c r="BK12" s="2698"/>
      <c r="BL12" s="2698"/>
      <c r="BM12" s="2698"/>
      <c r="BN12" s="2698"/>
      <c r="BO12" s="2698"/>
      <c r="BP12" s="2698"/>
      <c r="BQ12" s="2698"/>
      <c r="BR12" s="2698"/>
      <c r="BS12" s="2698"/>
      <c r="BT12" s="2698"/>
      <c r="BU12" s="2698"/>
      <c r="BV12" s="2698"/>
      <c r="BW12" s="2698"/>
      <c r="BX12" s="2698"/>
      <c r="BY12" s="2698"/>
      <c r="BZ12" s="2698"/>
      <c r="CA12" s="2698"/>
      <c r="CB12" s="2698"/>
      <c r="CC12" s="2698"/>
      <c r="CD12" s="2698"/>
      <c r="CE12" s="2698"/>
      <c r="CF12" s="2698"/>
      <c r="CG12" s="2698"/>
      <c r="CH12" s="2698"/>
      <c r="CI12" s="2698"/>
      <c r="CJ12" s="2698"/>
      <c r="CK12" s="2698"/>
      <c r="CL12" s="2698"/>
      <c r="CM12" s="2698"/>
      <c r="CN12" s="2698"/>
      <c r="CO12" s="2698"/>
      <c r="CP12" s="2698"/>
      <c r="CQ12" s="2698"/>
      <c r="CR12" s="2698"/>
      <c r="CS12" s="2698"/>
      <c r="CT12" s="2698"/>
      <c r="CU12" s="2698"/>
      <c r="CV12" s="2698"/>
      <c r="CW12" s="2698"/>
      <c r="CX12" s="2698"/>
      <c r="CY12" s="2698"/>
      <c r="CZ12" s="2698"/>
      <c r="DA12" s="2698"/>
      <c r="DB12" s="2698"/>
      <c r="DC12" s="2698"/>
      <c r="DD12" s="2698"/>
      <c r="DE12" s="2698"/>
      <c r="DF12" s="2698"/>
      <c r="DG12" s="2698"/>
      <c r="DH12" s="2698"/>
      <c r="DI12" s="2698"/>
      <c r="DJ12" s="2698"/>
      <c r="DK12" s="2698"/>
      <c r="DL12" s="2698"/>
      <c r="DM12" s="2698"/>
      <c r="DN12" s="2698"/>
      <c r="DO12" s="2698"/>
      <c r="DP12" s="2698"/>
      <c r="DQ12" s="2698"/>
      <c r="DR12" s="2698"/>
      <c r="DS12" s="2698"/>
      <c r="DT12" s="2698"/>
      <c r="DU12" s="2698"/>
      <c r="DV12" s="2698"/>
      <c r="DW12" s="2698"/>
      <c r="DX12" s="2698"/>
      <c r="DY12" s="2698"/>
      <c r="DZ12" s="2698"/>
      <c r="EA12" s="2698"/>
      <c r="EB12" s="2698"/>
      <c r="EC12" s="2698"/>
      <c r="ED12" s="2698"/>
      <c r="EE12" s="2698"/>
      <c r="EF12" s="2698"/>
      <c r="EG12" s="2698"/>
      <c r="EH12" s="2698"/>
      <c r="EI12" s="2698"/>
      <c r="EJ12" s="2698"/>
      <c r="EK12" s="2698"/>
      <c r="EL12" s="2698"/>
      <c r="EM12" s="2698"/>
      <c r="EN12" s="2698"/>
      <c r="EO12" s="2698"/>
      <c r="EP12" s="2698"/>
      <c r="EQ12" s="2698"/>
      <c r="ER12" s="2698"/>
      <c r="ES12" s="2698"/>
      <c r="ET12" s="2698"/>
      <c r="EU12" s="2698"/>
      <c r="EV12" s="2698"/>
      <c r="EW12" s="2698"/>
      <c r="EX12" s="2698"/>
      <c r="EY12" s="2698"/>
      <c r="EZ12" s="2698"/>
      <c r="FA12" s="2698"/>
      <c r="FB12" s="2698"/>
      <c r="FC12" s="2698"/>
      <c r="FD12" s="2698"/>
      <c r="FE12" s="2698"/>
      <c r="FF12" s="2698"/>
      <c r="FG12" s="2698"/>
      <c r="FH12" s="2698"/>
      <c r="FI12" s="2698"/>
      <c r="FJ12" s="2698"/>
      <c r="FK12" s="2698"/>
      <c r="FL12" s="2698"/>
      <c r="FM12" s="2698"/>
      <c r="FN12" s="2698"/>
      <c r="FO12" s="2698"/>
      <c r="FP12" s="2698"/>
      <c r="FQ12" s="2698"/>
      <c r="FR12" s="2698"/>
      <c r="FS12" s="2698"/>
      <c r="FT12" s="2698"/>
      <c r="FU12" s="2698"/>
      <c r="FV12" s="2698"/>
      <c r="FW12" s="2698"/>
      <c r="FX12" s="2698"/>
      <c r="FY12" s="2698"/>
      <c r="FZ12" s="2698"/>
      <c r="GA12" s="2698"/>
      <c r="GB12" s="2698"/>
      <c r="GC12" s="2698"/>
      <c r="GD12" s="2698"/>
      <c r="GE12" s="2698"/>
      <c r="GF12" s="2698"/>
      <c r="GG12" s="2698"/>
      <c r="GH12" s="2698"/>
      <c r="GI12" s="2698"/>
      <c r="GJ12" s="2698"/>
      <c r="GK12" s="2698"/>
      <c r="GL12" s="2698"/>
      <c r="GM12" s="2698"/>
      <c r="GN12" s="2698"/>
      <c r="GO12" s="2698"/>
      <c r="GP12" s="2698"/>
      <c r="GQ12" s="2698"/>
      <c r="GR12" s="2698"/>
      <c r="GS12" s="2698"/>
      <c r="GT12" s="2698"/>
      <c r="GU12" s="2698"/>
      <c r="GV12" s="2698"/>
      <c r="GW12" s="2698"/>
      <c r="GX12" s="2698"/>
      <c r="GY12" s="2698"/>
      <c r="GZ12" s="2698"/>
      <c r="HA12" s="2698"/>
      <c r="HB12" s="2698"/>
      <c r="HC12" s="2698"/>
      <c r="HD12" s="2698"/>
      <c r="HE12" s="2698"/>
      <c r="HF12" s="2698"/>
      <c r="HG12" s="2698"/>
      <c r="HH12" s="2698"/>
      <c r="HI12" s="2698"/>
      <c r="HJ12" s="2698"/>
      <c r="HK12" s="2698"/>
      <c r="HL12" s="2698"/>
      <c r="HM12" s="2698"/>
      <c r="HN12" s="2698"/>
      <c r="HO12" s="2698"/>
      <c r="HP12" s="2698"/>
      <c r="HQ12" s="2698"/>
      <c r="HR12" s="2698"/>
      <c r="HS12" s="2698"/>
      <c r="HT12" s="2698"/>
      <c r="HU12" s="2698"/>
      <c r="HV12" s="2698"/>
      <c r="HW12" s="2698"/>
      <c r="HX12" s="2698"/>
      <c r="HY12" s="2698"/>
      <c r="HZ12" s="2698"/>
      <c r="IA12" s="2698"/>
      <c r="IB12" s="2698"/>
      <c r="IC12" s="2698"/>
      <c r="ID12" s="2698"/>
      <c r="IE12" s="2698"/>
      <c r="IF12" s="2698"/>
      <c r="IG12" s="2698"/>
      <c r="IH12" s="2698"/>
      <c r="II12" s="2698"/>
      <c r="IJ12" s="2698"/>
      <c r="IK12" s="2698"/>
      <c r="IL12" s="2698"/>
      <c r="IM12" s="2698"/>
      <c r="IN12" s="2698"/>
      <c r="IO12" s="2698"/>
      <c r="IP12" s="2698"/>
      <c r="IQ12" s="2698"/>
      <c r="IR12" s="2698"/>
      <c r="IS12" s="2698"/>
      <c r="IT12" s="2698"/>
      <c r="IU12" s="2698"/>
      <c r="IV12" s="2698"/>
    </row>
    <row r="13" spans="1:257" ht="14.25">
      <c r="A13" s="2699"/>
      <c r="B13" s="2700" t="s">
        <v>2796</v>
      </c>
      <c r="C13" s="2701">
        <v>42301</v>
      </c>
      <c r="D13" s="2702">
        <v>4.3499999999999996</v>
      </c>
      <c r="E13" s="2702">
        <v>4.3499999999999996</v>
      </c>
      <c r="F13" s="2702">
        <v>4.75</v>
      </c>
      <c r="G13" s="2702">
        <v>4.75</v>
      </c>
      <c r="H13" s="2702">
        <v>4.9000000000000004</v>
      </c>
      <c r="I13" s="2702">
        <v>2.75</v>
      </c>
      <c r="J13" s="2702">
        <v>3.25</v>
      </c>
      <c r="K13" s="2699"/>
      <c r="L13" s="2700" t="s">
        <v>2796</v>
      </c>
      <c r="M13" s="2703">
        <v>42301</v>
      </c>
      <c r="N13" s="2702">
        <v>0.35</v>
      </c>
      <c r="O13" s="2702">
        <v>1.1000000000000001</v>
      </c>
      <c r="P13" s="2702">
        <v>1.3</v>
      </c>
      <c r="Q13" s="2702">
        <v>1.5</v>
      </c>
      <c r="R13" s="2702">
        <v>2.1</v>
      </c>
      <c r="S13" s="2702">
        <v>2.75</v>
      </c>
      <c r="T13" s="2702"/>
      <c r="U13" s="2702"/>
      <c r="V13" s="2702"/>
      <c r="W13" s="2702"/>
      <c r="X13" s="2702"/>
      <c r="Y13" s="2702"/>
      <c r="Z13" s="2702"/>
      <c r="AA13" s="2704"/>
      <c r="AB13" s="2704"/>
      <c r="AC13" s="2704"/>
      <c r="AD13" s="2704"/>
      <c r="AE13" s="2704"/>
      <c r="AF13" s="2704"/>
      <c r="AG13" s="2704"/>
      <c r="AH13" s="2704"/>
      <c r="AI13" s="2704"/>
      <c r="AJ13" s="2704"/>
      <c r="AK13" s="2704"/>
      <c r="AL13" s="2704"/>
      <c r="AM13" s="2704"/>
      <c r="AN13" s="2704"/>
      <c r="AO13" s="2704"/>
      <c r="AP13" s="2704"/>
      <c r="AQ13" s="2704"/>
      <c r="AR13" s="2704"/>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c r="BP13" s="2704"/>
      <c r="BQ13" s="2704"/>
      <c r="BR13" s="2704"/>
      <c r="BS13" s="2704"/>
      <c r="BT13" s="2704"/>
      <c r="BU13" s="2704"/>
      <c r="BV13" s="2704"/>
      <c r="BW13" s="2704"/>
      <c r="BX13" s="2704"/>
      <c r="BY13" s="2704"/>
      <c r="BZ13" s="2704"/>
      <c r="CA13" s="2704"/>
      <c r="CB13" s="2704"/>
      <c r="CC13" s="2704"/>
      <c r="CD13" s="2704"/>
      <c r="CE13" s="2704"/>
      <c r="CF13" s="2704"/>
      <c r="CG13" s="2704"/>
      <c r="CH13" s="2704"/>
      <c r="CI13" s="2704"/>
      <c r="CJ13" s="2704"/>
      <c r="CK13" s="2704"/>
      <c r="CL13" s="2704"/>
      <c r="CM13" s="2704"/>
      <c r="CN13" s="2704"/>
      <c r="CO13" s="2704"/>
      <c r="CP13" s="2704"/>
      <c r="CQ13" s="2704"/>
      <c r="CR13" s="2704"/>
      <c r="CS13" s="2704"/>
      <c r="CT13" s="2704"/>
      <c r="CU13" s="2704"/>
      <c r="CV13" s="2704"/>
      <c r="CW13" s="2704"/>
      <c r="CX13" s="2704"/>
      <c r="CY13" s="2704"/>
      <c r="CZ13" s="2704"/>
      <c r="DA13" s="2704"/>
      <c r="DB13" s="2704"/>
      <c r="DC13" s="2704"/>
      <c r="DD13" s="2704"/>
      <c r="DE13" s="2704"/>
      <c r="DF13" s="2704"/>
      <c r="DG13" s="2704"/>
      <c r="DH13" s="2704"/>
      <c r="DI13" s="2704"/>
      <c r="DJ13" s="2704"/>
      <c r="DK13" s="2704"/>
      <c r="DL13" s="2704"/>
      <c r="DM13" s="2704"/>
      <c r="DN13" s="2704"/>
      <c r="DO13" s="2704"/>
      <c r="DP13" s="2704"/>
      <c r="DQ13" s="2704"/>
      <c r="DR13" s="2704"/>
      <c r="DS13" s="2704"/>
      <c r="DT13" s="2704"/>
      <c r="DU13" s="2704"/>
      <c r="DV13" s="2704"/>
      <c r="DW13" s="2704"/>
      <c r="DX13" s="2704"/>
      <c r="DY13" s="2704"/>
      <c r="DZ13" s="2704"/>
      <c r="EA13" s="2704"/>
      <c r="EB13" s="2704"/>
      <c r="EC13" s="2704"/>
      <c r="ED13" s="2704"/>
      <c r="EE13" s="2704"/>
      <c r="EF13" s="2704"/>
      <c r="EG13" s="2704"/>
      <c r="EH13" s="2704"/>
      <c r="EI13" s="2704"/>
      <c r="EJ13" s="2704"/>
      <c r="EK13" s="2704"/>
      <c r="EL13" s="2704"/>
      <c r="EM13" s="2704"/>
      <c r="EN13" s="2704"/>
      <c r="EO13" s="2704"/>
      <c r="EP13" s="2704"/>
      <c r="EQ13" s="2704"/>
      <c r="ER13" s="2704"/>
      <c r="ES13" s="2704"/>
      <c r="ET13" s="2704"/>
      <c r="EU13" s="2704"/>
      <c r="EV13" s="2704"/>
      <c r="EW13" s="2704"/>
      <c r="EX13" s="2704"/>
      <c r="EY13" s="2704"/>
      <c r="EZ13" s="2704"/>
      <c r="FA13" s="2704"/>
      <c r="FB13" s="2704"/>
      <c r="FC13" s="2704"/>
      <c r="FD13" s="2704"/>
      <c r="FE13" s="2704"/>
      <c r="FF13" s="2704"/>
      <c r="FG13" s="2704"/>
      <c r="FH13" s="2704"/>
      <c r="FI13" s="2704"/>
      <c r="FJ13" s="2704"/>
      <c r="FK13" s="2704"/>
      <c r="FL13" s="2704"/>
      <c r="FM13" s="2704"/>
      <c r="FN13" s="2704"/>
      <c r="FO13" s="2704"/>
      <c r="FP13" s="2704"/>
      <c r="FQ13" s="2704"/>
      <c r="FR13" s="2704"/>
      <c r="FS13" s="2704"/>
      <c r="FT13" s="2704"/>
      <c r="FU13" s="2704"/>
      <c r="FV13" s="2704"/>
      <c r="FW13" s="2704"/>
      <c r="FX13" s="2704"/>
      <c r="FY13" s="2704"/>
      <c r="FZ13" s="2704"/>
      <c r="GA13" s="2704"/>
      <c r="GB13" s="2704"/>
      <c r="GC13" s="2704"/>
      <c r="GD13" s="2704"/>
      <c r="GE13" s="2704"/>
      <c r="GF13" s="2704"/>
      <c r="GG13" s="2704"/>
      <c r="GH13" s="2704"/>
      <c r="GI13" s="2704"/>
      <c r="GJ13" s="2704"/>
      <c r="GK13" s="2704"/>
      <c r="GL13" s="2704"/>
      <c r="GM13" s="2704"/>
      <c r="GN13" s="2704"/>
      <c r="GO13" s="2704"/>
      <c r="GP13" s="2704"/>
      <c r="GQ13" s="2704"/>
      <c r="GR13" s="2704"/>
      <c r="GS13" s="2704"/>
      <c r="GT13" s="2704"/>
      <c r="GU13" s="2704"/>
      <c r="GV13" s="2704"/>
      <c r="GW13" s="2704"/>
      <c r="GX13" s="2704"/>
      <c r="GY13" s="2704"/>
      <c r="GZ13" s="2704"/>
      <c r="HA13" s="2704"/>
      <c r="HB13" s="2704"/>
      <c r="HC13" s="2704"/>
      <c r="HD13" s="2704"/>
      <c r="HE13" s="2704"/>
      <c r="HF13" s="2704"/>
      <c r="HG13" s="2704"/>
      <c r="HH13" s="2704"/>
      <c r="HI13" s="2704"/>
      <c r="HJ13" s="2704"/>
      <c r="HK13" s="2704"/>
      <c r="HL13" s="2704"/>
      <c r="HM13" s="2704"/>
      <c r="HN13" s="2704"/>
      <c r="HO13" s="2704"/>
      <c r="HP13" s="2704"/>
      <c r="HQ13" s="2704"/>
      <c r="HR13" s="2704"/>
      <c r="HS13" s="2704"/>
      <c r="HT13" s="2704"/>
      <c r="HU13" s="2704"/>
      <c r="HV13" s="2704"/>
      <c r="HW13" s="2704"/>
      <c r="HX13" s="2704"/>
      <c r="HY13" s="2704"/>
      <c r="HZ13" s="2704"/>
      <c r="IA13" s="2704"/>
      <c r="IB13" s="2704"/>
      <c r="IC13" s="2704"/>
      <c r="ID13" s="2704"/>
      <c r="IE13" s="2704"/>
      <c r="IF13" s="2704"/>
      <c r="IG13" s="2704"/>
      <c r="IH13" s="2704"/>
      <c r="II13" s="2704"/>
      <c r="IJ13" s="2704"/>
      <c r="IK13" s="2704"/>
      <c r="IL13" s="2704"/>
      <c r="IM13" s="2704"/>
      <c r="IN13" s="2704"/>
      <c r="IO13" s="2704"/>
      <c r="IP13" s="2704"/>
      <c r="IQ13" s="2704"/>
      <c r="IR13" s="2704"/>
      <c r="IS13" s="2704"/>
      <c r="IT13" s="2704"/>
      <c r="IU13" s="2704"/>
      <c r="IV13" s="2704"/>
      <c r="IW13" s="2705"/>
    </row>
    <row r="14" spans="1:257">
      <c r="B14" s="2706"/>
      <c r="C14" s="2707">
        <v>42242</v>
      </c>
      <c r="D14" s="2706">
        <v>4.5999999999999996</v>
      </c>
      <c r="E14" s="2706">
        <v>4.5999999999999996</v>
      </c>
      <c r="F14" s="2706">
        <v>5</v>
      </c>
      <c r="G14" s="2706">
        <v>5</v>
      </c>
      <c r="H14" s="2706">
        <v>5.15</v>
      </c>
      <c r="I14" s="2706">
        <v>2.75</v>
      </c>
      <c r="J14" s="2706">
        <v>3.25</v>
      </c>
      <c r="L14" s="2706"/>
      <c r="M14" s="2707">
        <v>42242</v>
      </c>
      <c r="N14" s="2706">
        <v>0.35</v>
      </c>
      <c r="O14" s="2706">
        <v>1.35</v>
      </c>
      <c r="P14" s="2706">
        <v>1.55</v>
      </c>
      <c r="Q14" s="2706">
        <v>1.75</v>
      </c>
      <c r="R14" s="2706">
        <v>2.35</v>
      </c>
      <c r="S14" s="2706">
        <v>3</v>
      </c>
      <c r="T14" s="2706"/>
      <c r="U14" s="2706"/>
      <c r="V14" s="2706"/>
      <c r="W14" s="2706"/>
      <c r="X14" s="2706"/>
      <c r="Y14" s="2706"/>
      <c r="Z14" s="2706"/>
    </row>
    <row r="15" spans="1:257">
      <c r="B15" s="2706"/>
      <c r="C15" s="2707">
        <v>42183</v>
      </c>
      <c r="D15" s="2706">
        <v>4.8499999999999996</v>
      </c>
      <c r="E15" s="2706">
        <v>4.8499999999999996</v>
      </c>
      <c r="F15" s="2706">
        <v>5.25</v>
      </c>
      <c r="G15" s="2706">
        <v>5.25</v>
      </c>
      <c r="H15" s="2706">
        <v>5.4</v>
      </c>
      <c r="I15" s="2706">
        <v>3</v>
      </c>
      <c r="J15" s="2706">
        <v>3.5</v>
      </c>
      <c r="L15" s="2706"/>
      <c r="M15" s="2707">
        <v>42183</v>
      </c>
      <c r="N15" s="2706">
        <v>0.35</v>
      </c>
      <c r="O15" s="2706">
        <v>1.6</v>
      </c>
      <c r="P15" s="2706">
        <v>1.8</v>
      </c>
      <c r="Q15" s="2706">
        <v>2</v>
      </c>
      <c r="R15" s="2706">
        <v>2.6</v>
      </c>
      <c r="S15" s="2706">
        <v>3.25</v>
      </c>
      <c r="T15" s="2706"/>
      <c r="U15" s="2706"/>
      <c r="V15" s="2706"/>
      <c r="W15" s="2706"/>
      <c r="X15" s="2706"/>
      <c r="Y15" s="2706"/>
      <c r="Z15" s="2706"/>
    </row>
    <row r="16" spans="1:257">
      <c r="B16" s="2706"/>
      <c r="C16" s="2707">
        <v>42135</v>
      </c>
      <c r="D16" s="2706">
        <v>5.0999999999999996</v>
      </c>
      <c r="E16" s="2706">
        <v>5.0999999999999996</v>
      </c>
      <c r="F16" s="2706">
        <v>5.5</v>
      </c>
      <c r="G16" s="2706">
        <v>5.5</v>
      </c>
      <c r="H16" s="2706">
        <v>5.65</v>
      </c>
      <c r="I16" s="2706">
        <v>3.25</v>
      </c>
      <c r="J16" s="2706">
        <v>3.75</v>
      </c>
      <c r="L16" s="2706"/>
      <c r="M16" s="2707">
        <v>42135</v>
      </c>
      <c r="N16" s="2706">
        <v>0.35</v>
      </c>
      <c r="O16" s="2706">
        <v>1.85</v>
      </c>
      <c r="P16" s="2706">
        <v>2.0499999999999998</v>
      </c>
      <c r="Q16" s="2706">
        <v>2.25</v>
      </c>
      <c r="R16" s="2706">
        <v>2.85</v>
      </c>
      <c r="S16" s="2706">
        <v>3.5</v>
      </c>
      <c r="T16" s="2706"/>
      <c r="U16" s="2706"/>
      <c r="V16" s="2706"/>
      <c r="W16" s="2706"/>
      <c r="X16" s="2706"/>
      <c r="Y16" s="2706"/>
      <c r="Z16" s="2706"/>
    </row>
    <row r="17" spans="2:26">
      <c r="B17" s="2706"/>
      <c r="C17" s="2707">
        <v>42064</v>
      </c>
      <c r="D17" s="2706">
        <v>5.35</v>
      </c>
      <c r="E17" s="2706">
        <v>5.35</v>
      </c>
      <c r="F17" s="2706">
        <v>5.75</v>
      </c>
      <c r="G17" s="2706">
        <v>5.75</v>
      </c>
      <c r="H17" s="2706">
        <v>5.9</v>
      </c>
      <c r="I17" s="2706"/>
      <c r="J17" s="2706"/>
      <c r="L17" s="2706"/>
      <c r="M17" s="2707">
        <v>42064</v>
      </c>
      <c r="N17" s="2706">
        <v>0.35</v>
      </c>
      <c r="O17" s="2706">
        <v>2.1</v>
      </c>
      <c r="P17" s="2706">
        <v>2.2999999999999998</v>
      </c>
      <c r="Q17" s="2706">
        <v>2.5</v>
      </c>
      <c r="R17" s="2706">
        <v>3.1</v>
      </c>
      <c r="S17" s="2706">
        <v>3.75</v>
      </c>
      <c r="T17" s="2706">
        <v>4.5</v>
      </c>
      <c r="U17" s="2706">
        <v>2.35</v>
      </c>
      <c r="V17" s="2706">
        <v>2.5499999999999998</v>
      </c>
      <c r="W17" s="2706">
        <v>2.75</v>
      </c>
      <c r="X17" s="2706"/>
      <c r="Y17" s="2706">
        <v>0.8</v>
      </c>
      <c r="Z17" s="2706">
        <v>1.35</v>
      </c>
    </row>
    <row r="18" spans="2:26" ht="15">
      <c r="B18" s="2706"/>
      <c r="C18" s="2707">
        <v>41965</v>
      </c>
      <c r="D18" s="2706">
        <v>5.6</v>
      </c>
      <c r="E18" s="2706">
        <v>5.6</v>
      </c>
      <c r="F18" s="2706">
        <v>6</v>
      </c>
      <c r="G18" s="2706">
        <v>6</v>
      </c>
      <c r="H18" s="2706">
        <v>6.15</v>
      </c>
      <c r="I18" s="2706"/>
      <c r="J18" s="2706"/>
      <c r="L18" s="2706"/>
      <c r="M18" s="2707">
        <v>41965</v>
      </c>
      <c r="N18" s="2706">
        <v>0.35</v>
      </c>
      <c r="O18" s="2706">
        <v>2.35</v>
      </c>
      <c r="P18" s="2706">
        <v>2.5499999999999998</v>
      </c>
      <c r="Q18" s="2706">
        <v>2.75</v>
      </c>
      <c r="R18" s="2706">
        <v>3.35</v>
      </c>
      <c r="S18" s="2706">
        <v>4</v>
      </c>
      <c r="T18" s="2706">
        <v>4.75</v>
      </c>
      <c r="U18" s="2708">
        <v>2.35</v>
      </c>
      <c r="V18" s="2708">
        <v>2.5499999999999998</v>
      </c>
      <c r="W18" s="2708">
        <v>2.75</v>
      </c>
      <c r="X18" s="2706"/>
      <c r="Y18" s="2708">
        <v>0.8</v>
      </c>
      <c r="Z18" s="2708">
        <v>1.35</v>
      </c>
    </row>
    <row r="19" spans="2:26">
      <c r="B19" s="2706"/>
      <c r="C19" s="2707">
        <v>41096</v>
      </c>
      <c r="D19" s="2706">
        <v>5.6</v>
      </c>
      <c r="E19" s="2706">
        <v>6</v>
      </c>
      <c r="F19" s="2706">
        <v>6.15</v>
      </c>
      <c r="G19" s="2706">
        <v>6.4</v>
      </c>
      <c r="H19" s="2706">
        <v>6.55</v>
      </c>
      <c r="I19" s="2706">
        <v>4</v>
      </c>
      <c r="J19" s="2706">
        <v>4.5</v>
      </c>
      <c r="L19" s="2706"/>
      <c r="M19" s="2707">
        <v>41096</v>
      </c>
      <c r="N19" s="2706">
        <v>0.35</v>
      </c>
      <c r="O19" s="2706">
        <v>2.6</v>
      </c>
      <c r="P19" s="2706">
        <v>2.8</v>
      </c>
      <c r="Q19" s="2706">
        <v>3</v>
      </c>
      <c r="R19" s="2706">
        <v>3.75</v>
      </c>
      <c r="S19" s="2706">
        <v>4.25</v>
      </c>
      <c r="T19" s="2706">
        <v>4.75</v>
      </c>
      <c r="U19" s="2706">
        <v>2.85</v>
      </c>
      <c r="V19" s="2706">
        <v>2.9</v>
      </c>
      <c r="W19" s="2706">
        <v>3</v>
      </c>
      <c r="X19" s="2706">
        <v>1.1499999999999999</v>
      </c>
      <c r="Y19" s="2706">
        <v>0.8</v>
      </c>
      <c r="Z19" s="2706">
        <v>1.35</v>
      </c>
    </row>
    <row r="20" spans="2:26">
      <c r="B20" s="2706"/>
      <c r="C20" s="2707">
        <v>41068</v>
      </c>
      <c r="D20" s="2706">
        <v>5.85</v>
      </c>
      <c r="E20" s="2706">
        <v>6.31</v>
      </c>
      <c r="F20" s="2706">
        <v>6.4</v>
      </c>
      <c r="G20" s="2706">
        <v>6.65</v>
      </c>
      <c r="H20" s="2706">
        <v>6.8</v>
      </c>
      <c r="I20" s="2706">
        <v>4.2</v>
      </c>
      <c r="J20" s="2706">
        <v>4.7</v>
      </c>
      <c r="L20" s="2706"/>
      <c r="M20" s="2707">
        <v>41068</v>
      </c>
      <c r="N20" s="2706">
        <v>0.4</v>
      </c>
      <c r="O20" s="2706">
        <v>2.85</v>
      </c>
      <c r="P20" s="2706">
        <v>3.05</v>
      </c>
      <c r="Q20" s="2706">
        <v>3.25</v>
      </c>
      <c r="R20" s="2706">
        <v>4.0999999999999996</v>
      </c>
      <c r="S20" s="2706">
        <v>4.6500000000000004</v>
      </c>
      <c r="T20" s="2706">
        <v>5.0999999999999996</v>
      </c>
      <c r="U20" s="2706">
        <v>3.1</v>
      </c>
      <c r="V20" s="2706">
        <v>3.15</v>
      </c>
      <c r="W20" s="2706">
        <v>3.25</v>
      </c>
      <c r="X20" s="2706">
        <v>1.31</v>
      </c>
      <c r="Y20" s="2706">
        <v>0.94</v>
      </c>
      <c r="Z20" s="2706">
        <v>1.49</v>
      </c>
    </row>
    <row r="21" spans="2:26">
      <c r="B21" s="2706"/>
      <c r="C21" s="2707">
        <v>40731</v>
      </c>
      <c r="D21" s="2706">
        <v>6.1</v>
      </c>
      <c r="E21" s="2706">
        <v>6.56</v>
      </c>
      <c r="F21" s="2706">
        <v>6.65</v>
      </c>
      <c r="G21" s="2706">
        <v>6.9</v>
      </c>
      <c r="H21" s="2706">
        <v>7.05</v>
      </c>
      <c r="I21" s="2706">
        <v>4.45</v>
      </c>
      <c r="J21" s="2706">
        <v>4.9000000000000004</v>
      </c>
      <c r="L21" s="2706"/>
      <c r="M21" s="2707">
        <v>40731</v>
      </c>
      <c r="N21" s="2706">
        <v>0.5</v>
      </c>
      <c r="O21" s="2706">
        <v>3.1</v>
      </c>
      <c r="P21" s="2706">
        <v>3.3</v>
      </c>
      <c r="Q21" s="2706">
        <v>3.5</v>
      </c>
      <c r="R21" s="2706">
        <v>4.4000000000000004</v>
      </c>
      <c r="S21" s="2706">
        <v>5</v>
      </c>
      <c r="T21" s="2706">
        <v>5.5</v>
      </c>
      <c r="U21" s="2706">
        <v>3.1</v>
      </c>
      <c r="V21" s="2706">
        <v>3.3</v>
      </c>
      <c r="W21" s="2706">
        <v>3.5</v>
      </c>
      <c r="X21" s="2706">
        <v>1.31</v>
      </c>
      <c r="Y21" s="2706">
        <v>0.95</v>
      </c>
      <c r="Z21" s="2706">
        <v>1.49</v>
      </c>
    </row>
    <row r="22" spans="2:26">
      <c r="B22" s="2706"/>
      <c r="C22" s="2707">
        <v>40639</v>
      </c>
      <c r="D22" s="2706">
        <v>5.85</v>
      </c>
      <c r="E22" s="2706">
        <v>6.31</v>
      </c>
      <c r="F22" s="2706">
        <v>6.4</v>
      </c>
      <c r="G22" s="2706">
        <v>6.65</v>
      </c>
      <c r="H22" s="2706">
        <v>6.8</v>
      </c>
      <c r="I22" s="2706">
        <v>4.2</v>
      </c>
      <c r="J22" s="2706">
        <v>4.7</v>
      </c>
      <c r="L22" s="2706"/>
      <c r="M22" s="2707">
        <v>40639</v>
      </c>
      <c r="N22" s="2706">
        <v>0.5</v>
      </c>
      <c r="O22" s="2706">
        <v>2.85</v>
      </c>
      <c r="P22" s="2706">
        <v>3.05</v>
      </c>
      <c r="Q22" s="2706">
        <v>3.25</v>
      </c>
      <c r="R22" s="2706">
        <v>4.1500000000000004</v>
      </c>
      <c r="S22" s="2706">
        <v>4.75</v>
      </c>
      <c r="T22" s="2706">
        <v>5.25</v>
      </c>
      <c r="U22" s="2706">
        <v>2.85</v>
      </c>
      <c r="V22" s="2706">
        <v>3.05</v>
      </c>
      <c r="W22" s="2706">
        <v>3.25</v>
      </c>
      <c r="X22" s="2706">
        <v>1.31</v>
      </c>
      <c r="Y22" s="2706">
        <v>0.95</v>
      </c>
      <c r="Z22" s="2706">
        <v>1.49</v>
      </c>
    </row>
    <row r="23" spans="2:26">
      <c r="B23" s="2706"/>
      <c r="C23" s="2707">
        <v>40583</v>
      </c>
      <c r="D23" s="2706">
        <v>5.6</v>
      </c>
      <c r="E23" s="2706">
        <v>6.06</v>
      </c>
      <c r="F23" s="2706">
        <v>6.1</v>
      </c>
      <c r="G23" s="2706">
        <v>6.45</v>
      </c>
      <c r="H23" s="2706">
        <v>6.6</v>
      </c>
      <c r="I23" s="2706">
        <v>4</v>
      </c>
      <c r="J23" s="2706">
        <v>4.5</v>
      </c>
      <c r="L23" s="2706"/>
      <c r="M23" s="2707">
        <v>40583</v>
      </c>
      <c r="N23" s="2706">
        <v>0.4</v>
      </c>
      <c r="O23" s="2706">
        <v>2.6</v>
      </c>
      <c r="P23" s="2706">
        <v>2.8</v>
      </c>
      <c r="Q23" s="2706">
        <v>3</v>
      </c>
      <c r="R23" s="2706">
        <v>3.9</v>
      </c>
      <c r="S23" s="2706">
        <v>4.5</v>
      </c>
      <c r="T23" s="2706">
        <v>5</v>
      </c>
      <c r="U23" s="2706">
        <v>2.6</v>
      </c>
      <c r="V23" s="2706">
        <v>2.8</v>
      </c>
      <c r="W23" s="2706">
        <v>3</v>
      </c>
      <c r="X23" s="2706">
        <v>1.21</v>
      </c>
      <c r="Y23" s="2706">
        <v>0.85</v>
      </c>
      <c r="Z23" s="2706">
        <v>1.39</v>
      </c>
    </row>
    <row r="24" spans="2:26">
      <c r="B24" s="2706"/>
      <c r="C24" s="2707">
        <v>40538</v>
      </c>
      <c r="D24" s="2706">
        <v>5.35</v>
      </c>
      <c r="E24" s="2706">
        <v>5.81</v>
      </c>
      <c r="F24" s="2706">
        <v>5.85</v>
      </c>
      <c r="G24" s="2706">
        <v>6.22</v>
      </c>
      <c r="H24" s="2706">
        <v>6.4</v>
      </c>
      <c r="I24" s="2706">
        <v>3.75</v>
      </c>
      <c r="J24" s="2706">
        <v>4.3</v>
      </c>
      <c r="L24" s="2706"/>
      <c r="M24" s="2707">
        <v>40538</v>
      </c>
      <c r="N24" s="2706">
        <v>0.36</v>
      </c>
      <c r="O24" s="2706">
        <v>2.25</v>
      </c>
      <c r="P24" s="2706">
        <v>2.5</v>
      </c>
      <c r="Q24" s="2706">
        <v>2.75</v>
      </c>
      <c r="R24" s="2706">
        <v>3.55</v>
      </c>
      <c r="S24" s="2706">
        <v>4.1500000000000004</v>
      </c>
      <c r="T24" s="2706">
        <v>4.55</v>
      </c>
      <c r="U24" s="2706">
        <v>2.16</v>
      </c>
      <c r="V24" s="2706">
        <v>2.5</v>
      </c>
      <c r="W24" s="2706">
        <v>2.85</v>
      </c>
      <c r="X24" s="2706">
        <v>1.17</v>
      </c>
      <c r="Y24" s="2706">
        <v>0.81</v>
      </c>
      <c r="Z24" s="2706">
        <v>1.35</v>
      </c>
    </row>
    <row r="25" spans="2:26">
      <c r="B25" s="2706"/>
      <c r="C25" s="2707">
        <v>40471</v>
      </c>
      <c r="D25" s="2706">
        <v>5.0999999999999996</v>
      </c>
      <c r="E25" s="2706">
        <v>5.56</v>
      </c>
      <c r="F25" s="2706">
        <v>5.6</v>
      </c>
      <c r="G25" s="2706">
        <v>5.96</v>
      </c>
      <c r="H25" s="2706">
        <v>6.14</v>
      </c>
      <c r="I25" s="2706">
        <v>3.5</v>
      </c>
      <c r="J25" s="2706">
        <v>4.05</v>
      </c>
      <c r="L25" s="2706"/>
      <c r="M25" s="2707">
        <v>40471</v>
      </c>
      <c r="N25" s="2706">
        <v>0.36</v>
      </c>
      <c r="O25" s="2706">
        <v>1.91</v>
      </c>
      <c r="P25" s="2706">
        <v>2.2000000000000002</v>
      </c>
      <c r="Q25" s="2706">
        <v>2.5</v>
      </c>
      <c r="R25" s="2706">
        <v>3.25</v>
      </c>
      <c r="S25" s="2706">
        <v>3.85</v>
      </c>
      <c r="T25" s="2706">
        <v>4.2</v>
      </c>
      <c r="U25" s="2706">
        <v>1.91</v>
      </c>
      <c r="V25" s="2706">
        <v>2.2000000000000002</v>
      </c>
      <c r="W25" s="2706">
        <v>2.5</v>
      </c>
      <c r="X25" s="2706">
        <v>1.17</v>
      </c>
      <c r="Y25" s="2706">
        <v>0.81</v>
      </c>
      <c r="Z25" s="2706">
        <v>1.35</v>
      </c>
    </row>
    <row r="26" spans="2:26">
      <c r="B26" s="2706"/>
      <c r="C26" s="2707">
        <v>39805</v>
      </c>
      <c r="D26" s="2706">
        <v>4.8600000000000003</v>
      </c>
      <c r="E26" s="2706">
        <v>5.31</v>
      </c>
      <c r="F26" s="2706">
        <v>5.4</v>
      </c>
      <c r="G26" s="2706">
        <v>5.76</v>
      </c>
      <c r="H26" s="2706">
        <v>5.94</v>
      </c>
      <c r="I26" s="2706">
        <v>3.33</v>
      </c>
      <c r="J26" s="2706">
        <v>3.87</v>
      </c>
      <c r="L26" s="2706"/>
      <c r="M26" s="2707">
        <v>39805</v>
      </c>
      <c r="N26" s="2706">
        <v>0.36</v>
      </c>
      <c r="O26" s="2706">
        <v>1.71</v>
      </c>
      <c r="P26" s="2706">
        <v>1.98</v>
      </c>
      <c r="Q26" s="2706">
        <v>2.25</v>
      </c>
      <c r="R26" s="2706">
        <v>2.79</v>
      </c>
      <c r="S26" s="2706">
        <v>3.33</v>
      </c>
      <c r="T26" s="2706">
        <v>3.6</v>
      </c>
      <c r="U26" s="2706">
        <v>1.71</v>
      </c>
      <c r="V26" s="2706">
        <v>1.98</v>
      </c>
      <c r="W26" s="2706">
        <v>2.25</v>
      </c>
      <c r="X26" s="2706">
        <v>1.17</v>
      </c>
      <c r="Y26" s="2706">
        <v>0.81</v>
      </c>
      <c r="Z26" s="2706">
        <v>1.35</v>
      </c>
    </row>
    <row r="27" spans="2:26">
      <c r="B27" s="2706"/>
      <c r="C27" s="2707">
        <v>39779</v>
      </c>
      <c r="D27" s="2706">
        <v>5.04</v>
      </c>
      <c r="E27" s="2706">
        <v>5.58</v>
      </c>
      <c r="F27" s="2706">
        <v>5.67</v>
      </c>
      <c r="G27" s="2706">
        <v>5.94</v>
      </c>
      <c r="H27" s="2706">
        <v>6.12</v>
      </c>
      <c r="I27" s="2706">
        <v>3.51</v>
      </c>
      <c r="J27" s="2706">
        <v>4.05</v>
      </c>
      <c r="L27" s="2706"/>
      <c r="M27" s="2707">
        <v>39779</v>
      </c>
      <c r="N27" s="2706">
        <v>0.36</v>
      </c>
      <c r="O27" s="2706">
        <v>1.98</v>
      </c>
      <c r="P27" s="2706">
        <v>2.25</v>
      </c>
      <c r="Q27" s="2706">
        <v>2.52</v>
      </c>
      <c r="R27" s="2706">
        <v>3.06</v>
      </c>
      <c r="S27" s="2706">
        <v>3.6</v>
      </c>
      <c r="T27" s="2706">
        <v>3.87</v>
      </c>
      <c r="U27" s="2706">
        <v>1.98</v>
      </c>
      <c r="V27" s="2706">
        <v>2.25</v>
      </c>
      <c r="W27" s="2706">
        <v>2.52</v>
      </c>
      <c r="X27" s="2706">
        <v>1.17</v>
      </c>
      <c r="Y27" s="2706">
        <v>0.81</v>
      </c>
      <c r="Z27" s="2706">
        <v>1.35</v>
      </c>
    </row>
    <row r="28" spans="2:26">
      <c r="B28" s="2706"/>
      <c r="C28" s="2707">
        <v>39751</v>
      </c>
      <c r="D28" s="2706">
        <v>6.03</v>
      </c>
      <c r="E28" s="2706">
        <v>6.66</v>
      </c>
      <c r="F28" s="2706">
        <v>6.75</v>
      </c>
      <c r="G28" s="2706">
        <v>7.02</v>
      </c>
      <c r="H28" s="2706">
        <v>7.2</v>
      </c>
      <c r="I28" s="2706">
        <v>4.05</v>
      </c>
      <c r="J28" s="2706">
        <v>4.59</v>
      </c>
      <c r="L28" s="2706"/>
      <c r="M28" s="2707">
        <v>39751</v>
      </c>
      <c r="N28" s="2706">
        <v>0.72</v>
      </c>
      <c r="O28" s="2706">
        <v>2.88</v>
      </c>
      <c r="P28" s="2706">
        <v>3.24</v>
      </c>
      <c r="Q28" s="2706">
        <v>3.6</v>
      </c>
      <c r="R28" s="2706">
        <v>4.1399999999999997</v>
      </c>
      <c r="S28" s="2706">
        <v>4.7699999999999996</v>
      </c>
      <c r="T28" s="2706">
        <v>5.13</v>
      </c>
      <c r="U28" s="2706">
        <v>2.88</v>
      </c>
      <c r="V28" s="2706">
        <v>3.24</v>
      </c>
      <c r="W28" s="2706">
        <v>3.6</v>
      </c>
      <c r="X28" s="2706">
        <v>1.53</v>
      </c>
      <c r="Y28" s="2706">
        <v>1.17</v>
      </c>
      <c r="Z28" s="2706">
        <v>1.71</v>
      </c>
    </row>
    <row r="29" spans="2:26">
      <c r="B29" s="2706"/>
      <c r="C29" s="2709">
        <v>39748</v>
      </c>
      <c r="D29" s="2706">
        <v>6.12</v>
      </c>
      <c r="E29" s="2706">
        <v>6.93</v>
      </c>
      <c r="F29" s="2706">
        <v>7.02</v>
      </c>
      <c r="G29" s="2706">
        <v>7.29</v>
      </c>
      <c r="H29" s="2706">
        <v>7.47</v>
      </c>
      <c r="I29" s="2706">
        <v>4.05</v>
      </c>
      <c r="J29" s="2706">
        <v>4.59</v>
      </c>
      <c r="L29" s="2706"/>
      <c r="M29" s="2709">
        <v>39736</v>
      </c>
      <c r="N29" s="2706">
        <v>0.72</v>
      </c>
      <c r="O29" s="2706">
        <v>3.15</v>
      </c>
      <c r="P29" s="2706">
        <v>3.51</v>
      </c>
      <c r="Q29" s="2706">
        <v>3.87</v>
      </c>
      <c r="R29" s="2706">
        <v>4.41</v>
      </c>
      <c r="S29" s="2706">
        <v>5.13</v>
      </c>
      <c r="T29" s="2706">
        <v>5.58</v>
      </c>
      <c r="U29" s="2706">
        <v>3.15</v>
      </c>
      <c r="V29" s="2706">
        <v>3.51</v>
      </c>
      <c r="W29" s="2706">
        <v>3.87</v>
      </c>
      <c r="X29" s="2706">
        <v>1.53</v>
      </c>
      <c r="Y29" s="2706">
        <v>1.17</v>
      </c>
      <c r="Z29" s="2706">
        <v>1.71</v>
      </c>
    </row>
    <row r="30" spans="2:26">
      <c r="B30" s="2706"/>
      <c r="C30" s="2707">
        <v>39730</v>
      </c>
      <c r="D30" s="2706">
        <v>6.12</v>
      </c>
      <c r="E30" s="2706">
        <v>6.93</v>
      </c>
      <c r="F30" s="2706">
        <v>7.02</v>
      </c>
      <c r="G30" s="2706">
        <v>7.29</v>
      </c>
      <c r="H30" s="2706">
        <v>7.47</v>
      </c>
      <c r="I30" s="2706">
        <v>4.32</v>
      </c>
      <c r="J30" s="2706">
        <v>4.8600000000000003</v>
      </c>
      <c r="L30" s="2706"/>
      <c r="M30" s="2707">
        <v>39730</v>
      </c>
      <c r="N30" s="2706">
        <v>0.72</v>
      </c>
      <c r="O30" s="2706">
        <v>3.15</v>
      </c>
      <c r="P30" s="2706">
        <v>3.51</v>
      </c>
      <c r="Q30" s="2706">
        <v>3.87</v>
      </c>
      <c r="R30" s="2706">
        <v>4.41</v>
      </c>
      <c r="S30" s="2706">
        <v>5.13</v>
      </c>
      <c r="T30" s="2706">
        <v>5.58</v>
      </c>
      <c r="U30" s="2706">
        <v>3.15</v>
      </c>
      <c r="V30" s="2706">
        <v>3.51</v>
      </c>
      <c r="W30" s="2706">
        <v>3.87</v>
      </c>
      <c r="X30" s="2706">
        <v>1.53</v>
      </c>
      <c r="Y30" s="2706">
        <v>1.17</v>
      </c>
      <c r="Z30" s="2706">
        <v>1.71</v>
      </c>
    </row>
    <row r="31" spans="2:26">
      <c r="B31" s="2706"/>
      <c r="C31" s="2707">
        <v>39707</v>
      </c>
      <c r="D31" s="2706">
        <v>6.21</v>
      </c>
      <c r="E31" s="2706">
        <v>7.2</v>
      </c>
      <c r="F31" s="2706">
        <v>7.29</v>
      </c>
      <c r="G31" s="2706">
        <v>7.56</v>
      </c>
      <c r="H31" s="2706">
        <v>7.74</v>
      </c>
      <c r="I31" s="2706">
        <v>4.59</v>
      </c>
      <c r="J31" s="2706">
        <v>5.13</v>
      </c>
      <c r="L31" s="2706"/>
      <c r="M31" s="2707">
        <v>39437</v>
      </c>
      <c r="N31" s="2706">
        <v>0.72</v>
      </c>
      <c r="O31" s="2706">
        <v>3.33</v>
      </c>
      <c r="P31" s="2706">
        <v>3.78</v>
      </c>
      <c r="Q31" s="2706">
        <v>4.1399999999999997</v>
      </c>
      <c r="R31" s="2706">
        <v>4.68</v>
      </c>
      <c r="S31" s="2706">
        <v>5.4</v>
      </c>
      <c r="T31" s="2706">
        <v>5.85</v>
      </c>
      <c r="U31" s="2706">
        <v>3.33</v>
      </c>
      <c r="V31" s="2706">
        <v>3.78</v>
      </c>
      <c r="W31" s="2706">
        <v>4.1399999999999997</v>
      </c>
      <c r="X31" s="2706">
        <v>1.53</v>
      </c>
      <c r="Y31" s="2706">
        <v>1.17</v>
      </c>
      <c r="Z31" s="2706">
        <v>1.71</v>
      </c>
    </row>
    <row r="32" spans="2:26">
      <c r="B32" s="2706"/>
      <c r="C32" s="2707">
        <v>39437</v>
      </c>
      <c r="D32" s="2706">
        <v>6.57</v>
      </c>
      <c r="E32" s="2706">
        <v>7.47</v>
      </c>
      <c r="F32" s="2706">
        <v>7.56</v>
      </c>
      <c r="G32" s="2706">
        <v>7.74</v>
      </c>
      <c r="H32" s="2706">
        <v>7.83</v>
      </c>
      <c r="I32" s="2706">
        <v>4.7699999999999996</v>
      </c>
      <c r="J32" s="2706">
        <v>5.22</v>
      </c>
      <c r="L32" s="2706"/>
      <c r="M32" s="2707">
        <v>39340</v>
      </c>
      <c r="N32" s="2706">
        <v>0.81</v>
      </c>
      <c r="O32" s="2706">
        <v>2.88</v>
      </c>
      <c r="P32" s="2706">
        <v>3.42</v>
      </c>
      <c r="Q32" s="2706">
        <v>3.87</v>
      </c>
      <c r="R32" s="2706">
        <v>4.5</v>
      </c>
      <c r="S32" s="2706">
        <v>5.22</v>
      </c>
      <c r="T32" s="2706">
        <v>5.76</v>
      </c>
      <c r="U32" s="2706">
        <v>2.88</v>
      </c>
      <c r="V32" s="2706">
        <v>3.42</v>
      </c>
      <c r="W32" s="2706">
        <v>3.87</v>
      </c>
      <c r="X32" s="2706">
        <v>1.53</v>
      </c>
      <c r="Y32" s="2706">
        <v>1.17</v>
      </c>
      <c r="Z32" s="2706">
        <v>1.71</v>
      </c>
    </row>
    <row r="33" spans="2:26">
      <c r="B33" s="2706"/>
      <c r="C33" s="2707">
        <v>39340</v>
      </c>
      <c r="D33" s="2706">
        <v>6.48</v>
      </c>
      <c r="E33" s="2706">
        <v>7.29</v>
      </c>
      <c r="F33" s="2706">
        <v>7.47</v>
      </c>
      <c r="G33" s="2706">
        <v>7.65</v>
      </c>
      <c r="H33" s="2706">
        <v>7.83</v>
      </c>
      <c r="I33" s="2706">
        <v>4.7699999999999996</v>
      </c>
      <c r="J33" s="2706">
        <v>5.22</v>
      </c>
      <c r="L33" s="2706"/>
      <c r="M33" s="2707">
        <v>39316</v>
      </c>
      <c r="N33" s="2706">
        <v>0.81</v>
      </c>
      <c r="O33" s="2706">
        <v>2.61</v>
      </c>
      <c r="P33" s="2706">
        <v>3.15</v>
      </c>
      <c r="Q33" s="2706">
        <v>3.6</v>
      </c>
      <c r="R33" s="2706">
        <v>4.2300000000000004</v>
      </c>
      <c r="S33" s="2706">
        <v>4.95</v>
      </c>
      <c r="T33" s="2706">
        <v>5.49</v>
      </c>
      <c r="U33" s="2706">
        <v>2.61</v>
      </c>
      <c r="V33" s="2706">
        <v>3.15</v>
      </c>
      <c r="W33" s="2706">
        <v>3.6</v>
      </c>
      <c r="X33" s="2706">
        <v>1.53</v>
      </c>
      <c r="Y33" s="2706">
        <v>1.17</v>
      </c>
      <c r="Z33" s="2706">
        <v>1.71</v>
      </c>
    </row>
    <row r="34" spans="2:26">
      <c r="B34" s="2706"/>
      <c r="C34" s="2707">
        <v>39316</v>
      </c>
      <c r="D34" s="2706">
        <v>6.21</v>
      </c>
      <c r="E34" s="2706">
        <v>7.02</v>
      </c>
      <c r="F34" s="2706">
        <v>7.2</v>
      </c>
      <c r="G34" s="2706">
        <v>7.38</v>
      </c>
      <c r="H34" s="2706">
        <v>7.56</v>
      </c>
      <c r="I34" s="2706">
        <v>4.59</v>
      </c>
      <c r="J34" s="2706">
        <v>5.04</v>
      </c>
      <c r="L34" s="2706"/>
      <c r="M34" s="2707">
        <v>39284</v>
      </c>
      <c r="N34" s="2706">
        <v>0.81</v>
      </c>
      <c r="O34" s="2706">
        <v>2.34</v>
      </c>
      <c r="P34" s="2706">
        <v>2.88</v>
      </c>
      <c r="Q34" s="2706">
        <v>3.33</v>
      </c>
      <c r="R34" s="2706">
        <v>3.96</v>
      </c>
      <c r="S34" s="2706">
        <v>4.68</v>
      </c>
      <c r="T34" s="2706">
        <v>5.22</v>
      </c>
      <c r="U34" s="2706">
        <v>2.34</v>
      </c>
      <c r="V34" s="2706">
        <v>2.88</v>
      </c>
      <c r="W34" s="2706">
        <v>3.33</v>
      </c>
      <c r="X34" s="2706">
        <v>1.53</v>
      </c>
      <c r="Y34" s="2706">
        <v>1.17</v>
      </c>
      <c r="Z34" s="2706">
        <v>1.71</v>
      </c>
    </row>
    <row r="35" spans="2:26">
      <c r="B35" s="2706"/>
      <c r="C35" s="2707">
        <v>39284</v>
      </c>
      <c r="D35" s="2706">
        <v>6.03</v>
      </c>
      <c r="E35" s="2706">
        <v>6.84</v>
      </c>
      <c r="F35" s="2706">
        <v>7.02</v>
      </c>
      <c r="G35" s="2706">
        <v>7.2</v>
      </c>
      <c r="H35" s="2706">
        <v>7.38</v>
      </c>
      <c r="I35" s="2706">
        <v>4.5</v>
      </c>
      <c r="J35" s="2706">
        <v>4.95</v>
      </c>
      <c r="L35" s="2706"/>
      <c r="M35" s="2707">
        <v>39221</v>
      </c>
      <c r="N35" s="2706">
        <v>0.72</v>
      </c>
      <c r="O35" s="2706">
        <v>2.0699999999999998</v>
      </c>
      <c r="P35" s="2706">
        <v>2.61</v>
      </c>
      <c r="Q35" s="2706">
        <v>3.06</v>
      </c>
      <c r="R35" s="2706">
        <v>3.69</v>
      </c>
      <c r="S35" s="2706">
        <v>4.41</v>
      </c>
      <c r="T35" s="2706">
        <v>4.95</v>
      </c>
      <c r="U35" s="2706">
        <v>2.0699999999999998</v>
      </c>
      <c r="V35" s="2706">
        <v>2.61</v>
      </c>
      <c r="W35" s="2706">
        <v>3.06</v>
      </c>
      <c r="X35" s="2706">
        <v>1.44</v>
      </c>
      <c r="Y35" s="2706">
        <v>1.08</v>
      </c>
      <c r="Z35" s="2706">
        <v>1.62</v>
      </c>
    </row>
    <row r="36" spans="2:26">
      <c r="B36" s="2706"/>
      <c r="C36" s="2707">
        <v>39221</v>
      </c>
      <c r="D36" s="2706">
        <v>5.85</v>
      </c>
      <c r="E36" s="2706">
        <v>6.57</v>
      </c>
      <c r="F36" s="2706">
        <v>6.75</v>
      </c>
      <c r="G36" s="2706">
        <v>6.93</v>
      </c>
      <c r="H36" s="2706">
        <v>7.2</v>
      </c>
      <c r="I36" s="2706">
        <v>4.41</v>
      </c>
      <c r="J36" s="2706">
        <v>4.8600000000000003</v>
      </c>
      <c r="L36" s="2706"/>
      <c r="M36" s="2707">
        <v>39159</v>
      </c>
      <c r="N36" s="2706">
        <v>0.72</v>
      </c>
      <c r="O36" s="2706">
        <v>1.98</v>
      </c>
      <c r="P36" s="2706">
        <v>2.4300000000000002</v>
      </c>
      <c r="Q36" s="2706">
        <v>2.79</v>
      </c>
      <c r="R36" s="2706">
        <v>3.33</v>
      </c>
      <c r="S36" s="2706">
        <v>3.96</v>
      </c>
      <c r="T36" s="2706">
        <v>4.41</v>
      </c>
      <c r="U36" s="2706">
        <v>1.98</v>
      </c>
      <c r="V36" s="2706">
        <v>2.4300000000000002</v>
      </c>
      <c r="W36" s="2706">
        <v>2.79</v>
      </c>
      <c r="X36" s="2706">
        <v>1.44</v>
      </c>
      <c r="Y36" s="2706">
        <v>1.08</v>
      </c>
      <c r="Z36" s="2706">
        <v>1.62</v>
      </c>
    </row>
    <row r="37" spans="2:26">
      <c r="B37" s="2706"/>
      <c r="C37" s="2707">
        <v>39159</v>
      </c>
      <c r="D37" s="2706">
        <v>5.67</v>
      </c>
      <c r="E37" s="2706">
        <v>6.39</v>
      </c>
      <c r="F37" s="2706">
        <v>6.57</v>
      </c>
      <c r="G37" s="2706">
        <v>6.75</v>
      </c>
      <c r="H37" s="2706">
        <v>7.11</v>
      </c>
      <c r="I37" s="2706">
        <v>4.32</v>
      </c>
      <c r="J37" s="2706">
        <v>4.7699999999999996</v>
      </c>
      <c r="L37" s="2706"/>
      <c r="M37" s="2707">
        <v>38948</v>
      </c>
      <c r="N37" s="2706">
        <v>0.72</v>
      </c>
      <c r="O37" s="2706">
        <v>1.8</v>
      </c>
      <c r="P37" s="2706">
        <v>2.25</v>
      </c>
      <c r="Q37" s="2706">
        <v>2.52</v>
      </c>
      <c r="R37" s="2706">
        <v>3.06</v>
      </c>
      <c r="S37" s="2706">
        <v>3.69</v>
      </c>
      <c r="T37" s="2706">
        <v>4.1399999999999997</v>
      </c>
      <c r="U37" s="2706">
        <v>1.8</v>
      </c>
      <c r="V37" s="2706">
        <v>2.25</v>
      </c>
      <c r="W37" s="2706">
        <v>2.52</v>
      </c>
      <c r="X37" s="2706">
        <v>1.44</v>
      </c>
      <c r="Y37" s="2706">
        <v>1.08</v>
      </c>
      <c r="Z37" s="2706">
        <v>1.62</v>
      </c>
    </row>
    <row r="38" spans="2:26">
      <c r="B38" s="2706"/>
      <c r="C38" s="2707">
        <v>38948</v>
      </c>
      <c r="D38" s="2706">
        <v>5.58</v>
      </c>
      <c r="E38" s="2706">
        <v>6.12</v>
      </c>
      <c r="F38" s="2706">
        <v>6.3</v>
      </c>
      <c r="G38" s="2706">
        <v>6.48</v>
      </c>
      <c r="H38" s="2706">
        <v>6.84</v>
      </c>
      <c r="I38" s="2706">
        <v>4.1399999999999997</v>
      </c>
      <c r="J38" s="2706">
        <v>4.59</v>
      </c>
      <c r="L38" s="2706"/>
      <c r="M38" s="2707">
        <v>38289</v>
      </c>
      <c r="N38" s="2706">
        <v>0.72</v>
      </c>
      <c r="O38" s="2706">
        <v>1.71</v>
      </c>
      <c r="P38" s="2706">
        <v>2.0699999999999998</v>
      </c>
      <c r="Q38" s="2706">
        <v>2.25</v>
      </c>
      <c r="R38" s="2706">
        <v>2.7</v>
      </c>
      <c r="S38" s="2706">
        <v>3.24</v>
      </c>
      <c r="T38" s="2706">
        <v>3.6</v>
      </c>
      <c r="U38" s="2706">
        <v>1.71</v>
      </c>
      <c r="V38" s="2706">
        <v>2.0699999999999998</v>
      </c>
      <c r="W38" s="2706">
        <v>2.25</v>
      </c>
      <c r="X38" s="2706">
        <v>1.44</v>
      </c>
      <c r="Y38" s="2706">
        <v>1.08</v>
      </c>
      <c r="Z38" s="2706">
        <v>1.62</v>
      </c>
    </row>
    <row r="39" spans="2:26">
      <c r="B39" s="2706"/>
      <c r="C39" s="2707">
        <v>38835</v>
      </c>
      <c r="D39" s="2706">
        <v>5.4</v>
      </c>
      <c r="E39" s="2706">
        <v>5.85</v>
      </c>
      <c r="F39" s="2706">
        <v>6.03</v>
      </c>
      <c r="G39" s="2706">
        <v>6.12</v>
      </c>
      <c r="H39" s="2706">
        <v>6.39</v>
      </c>
      <c r="I39" s="2706">
        <v>4.1399999999999997</v>
      </c>
      <c r="J39" s="2706">
        <v>4.59</v>
      </c>
      <c r="L39" s="2706"/>
      <c r="M39" s="2707">
        <v>37308</v>
      </c>
      <c r="N39" s="2706">
        <v>0.72</v>
      </c>
      <c r="O39" s="2706">
        <v>1.71</v>
      </c>
      <c r="P39" s="2706">
        <v>1.89</v>
      </c>
      <c r="Q39" s="2706">
        <v>1.98</v>
      </c>
      <c r="R39" s="2706">
        <v>2.25</v>
      </c>
      <c r="S39" s="2706">
        <v>2.52</v>
      </c>
      <c r="T39" s="2706">
        <v>2.79</v>
      </c>
      <c r="U39" s="2706">
        <v>1.71</v>
      </c>
      <c r="V39" s="2706">
        <v>1.89</v>
      </c>
      <c r="W39" s="2706">
        <v>1.98</v>
      </c>
      <c r="X39" s="2706">
        <v>1.44</v>
      </c>
      <c r="Y39" s="2706">
        <v>1.08</v>
      </c>
      <c r="Z39" s="2706">
        <v>1.62</v>
      </c>
    </row>
    <row r="40" spans="2:26">
      <c r="B40" s="2706"/>
      <c r="C40" s="2707">
        <v>38428</v>
      </c>
      <c r="D40" s="2706">
        <v>5.22</v>
      </c>
      <c r="E40" s="2706">
        <v>5.58</v>
      </c>
      <c r="F40" s="2706">
        <v>5.76</v>
      </c>
      <c r="G40" s="2706">
        <v>5.85</v>
      </c>
      <c r="H40" s="2706">
        <v>6.12</v>
      </c>
      <c r="I40" s="2706">
        <v>3.96</v>
      </c>
      <c r="J40" s="2706">
        <v>4.41</v>
      </c>
      <c r="L40" s="2706"/>
      <c r="M40" s="2707">
        <v>36321</v>
      </c>
      <c r="N40" s="2706">
        <v>0.99</v>
      </c>
      <c r="O40" s="2706">
        <v>1.98</v>
      </c>
      <c r="P40" s="2706">
        <v>2.16</v>
      </c>
      <c r="Q40" s="2706">
        <v>2.25</v>
      </c>
      <c r="R40" s="2706">
        <v>2.4300000000000002</v>
      </c>
      <c r="S40" s="2706">
        <v>2.7</v>
      </c>
      <c r="T40" s="2706">
        <v>2.88</v>
      </c>
      <c r="U40" s="2706">
        <v>1.98</v>
      </c>
      <c r="V40" s="2706">
        <v>2.16</v>
      </c>
      <c r="W40" s="2706">
        <v>2.25</v>
      </c>
      <c r="X40" s="2706">
        <v>1.71</v>
      </c>
      <c r="Y40" s="2706">
        <v>1.35</v>
      </c>
      <c r="Z40" s="2706">
        <v>1.89</v>
      </c>
    </row>
    <row r="41" spans="2:26">
      <c r="B41" s="2706"/>
      <c r="C41" s="2707">
        <v>38289</v>
      </c>
      <c r="D41" s="2706">
        <v>5.22</v>
      </c>
      <c r="E41" s="2706">
        <v>5.58</v>
      </c>
      <c r="F41" s="2706">
        <v>5.76</v>
      </c>
      <c r="G41" s="2706">
        <v>5.85</v>
      </c>
      <c r="H41" s="2706">
        <v>6.12</v>
      </c>
      <c r="I41" s="2706">
        <v>3.78</v>
      </c>
      <c r="J41" s="2706">
        <v>4.2300000000000004</v>
      </c>
      <c r="L41" s="2706"/>
      <c r="M41" s="2707">
        <v>36136</v>
      </c>
      <c r="N41" s="2706">
        <v>1.44</v>
      </c>
      <c r="O41" s="2706">
        <v>2.79</v>
      </c>
      <c r="P41" s="2706">
        <v>3.33</v>
      </c>
      <c r="Q41" s="2706">
        <v>3.78</v>
      </c>
      <c r="R41" s="2706">
        <v>3.96</v>
      </c>
      <c r="S41" s="2706">
        <v>4.1399999999999997</v>
      </c>
      <c r="T41" s="2706">
        <v>4.5</v>
      </c>
      <c r="U41" s="2706">
        <v>3.33</v>
      </c>
      <c r="V41" s="2706">
        <v>3.78</v>
      </c>
      <c r="W41" s="2706">
        <v>4.1399999999999997</v>
      </c>
      <c r="X41" s="2706">
        <v>2.16</v>
      </c>
      <c r="Y41" s="2706">
        <v>1.8</v>
      </c>
      <c r="Z41" s="2706">
        <v>2.34</v>
      </c>
    </row>
    <row r="42" spans="2:26">
      <c r="B42" s="2706"/>
      <c r="C42" s="2707">
        <v>37308</v>
      </c>
      <c r="D42" s="2706">
        <v>5.04</v>
      </c>
      <c r="E42" s="2706">
        <v>5.31</v>
      </c>
      <c r="F42" s="2706">
        <v>5.49</v>
      </c>
      <c r="G42" s="2706">
        <v>5.58</v>
      </c>
      <c r="H42" s="2706">
        <v>5.76</v>
      </c>
      <c r="I42" s="2706">
        <v>3.6</v>
      </c>
      <c r="J42" s="2706">
        <v>4.05</v>
      </c>
      <c r="L42" s="2706"/>
      <c r="M42" s="2707">
        <v>35977</v>
      </c>
      <c r="N42" s="2706">
        <v>1.44</v>
      </c>
      <c r="O42" s="2706">
        <v>2.79</v>
      </c>
      <c r="P42" s="2706">
        <v>3.96</v>
      </c>
      <c r="Q42" s="2706">
        <v>4.7699999999999996</v>
      </c>
      <c r="R42" s="2706">
        <v>4.8600000000000003</v>
      </c>
      <c r="S42" s="2706">
        <v>4.95</v>
      </c>
      <c r="T42" s="2706">
        <v>5.22</v>
      </c>
      <c r="U42" s="2706">
        <v>3.96</v>
      </c>
      <c r="V42" s="2706">
        <v>4.7699999999999996</v>
      </c>
      <c r="W42" s="2706">
        <v>4.95</v>
      </c>
      <c r="X42" s="2706" t="s">
        <v>2797</v>
      </c>
      <c r="Y42" s="2706" t="s">
        <v>2797</v>
      </c>
      <c r="Z42" s="2706" t="s">
        <v>2797</v>
      </c>
    </row>
    <row r="43" spans="2:26">
      <c r="B43" s="2706"/>
      <c r="C43" s="2707">
        <v>36321</v>
      </c>
      <c r="D43" s="2706">
        <v>5.58</v>
      </c>
      <c r="E43" s="2706">
        <v>5.85</v>
      </c>
      <c r="F43" s="2706">
        <v>5.94</v>
      </c>
      <c r="G43" s="2706">
        <v>6.03</v>
      </c>
      <c r="H43" s="2706">
        <v>6.21</v>
      </c>
      <c r="I43" s="2706">
        <v>4.1399999999999997</v>
      </c>
      <c r="J43" s="2706">
        <v>4.59</v>
      </c>
      <c r="L43" s="2706"/>
      <c r="M43" s="2707">
        <v>35879</v>
      </c>
      <c r="N43" s="2706">
        <v>1.71</v>
      </c>
      <c r="O43" s="2706">
        <v>2.88</v>
      </c>
      <c r="P43" s="2706">
        <v>4.1399999999999997</v>
      </c>
      <c r="Q43" s="2706">
        <v>5.22</v>
      </c>
      <c r="R43" s="2706">
        <v>5.58</v>
      </c>
      <c r="S43" s="2706">
        <v>6.21</v>
      </c>
      <c r="T43" s="2706">
        <v>6.66</v>
      </c>
      <c r="U43" s="2706">
        <v>4.1399999999999997</v>
      </c>
      <c r="V43" s="2706">
        <v>5.22</v>
      </c>
      <c r="W43" s="2706">
        <v>6.21</v>
      </c>
      <c r="X43" s="2706" t="s">
        <v>2797</v>
      </c>
      <c r="Y43" s="2706" t="s">
        <v>2797</v>
      </c>
      <c r="Z43" s="2706" t="s">
        <v>2797</v>
      </c>
    </row>
    <row r="44" spans="2:26">
      <c r="B44" s="2706"/>
      <c r="C44" s="2707">
        <v>36136</v>
      </c>
      <c r="D44" s="2706">
        <v>6.12</v>
      </c>
      <c r="E44" s="2706">
        <v>6.39</v>
      </c>
      <c r="F44" s="2706">
        <v>6.66</v>
      </c>
      <c r="G44" s="2706">
        <v>7.2</v>
      </c>
      <c r="H44" s="2706">
        <v>7.56</v>
      </c>
      <c r="I44" s="2706">
        <v>0</v>
      </c>
      <c r="J44" s="2706">
        <v>0</v>
      </c>
      <c r="L44" s="2706"/>
      <c r="M44" s="2707">
        <v>35726</v>
      </c>
      <c r="N44" s="2706">
        <v>1.71</v>
      </c>
      <c r="O44" s="2706">
        <v>2.88</v>
      </c>
      <c r="P44" s="2706">
        <v>4.1399999999999997</v>
      </c>
      <c r="Q44" s="2706">
        <v>5.67</v>
      </c>
      <c r="R44" s="2706">
        <v>5.94</v>
      </c>
      <c r="S44" s="2706">
        <v>6.21</v>
      </c>
      <c r="T44" s="2706">
        <v>6.66</v>
      </c>
      <c r="U44" s="2706">
        <v>4.1399999999999997</v>
      </c>
      <c r="V44" s="2706">
        <v>5.67</v>
      </c>
      <c r="W44" s="2706">
        <v>6.21</v>
      </c>
      <c r="X44" s="2706" t="s">
        <v>2797</v>
      </c>
      <c r="Y44" s="2706" t="s">
        <v>2797</v>
      </c>
      <c r="Z44" s="2706" t="s">
        <v>2797</v>
      </c>
    </row>
    <row r="45" spans="2:26">
      <c r="B45" s="2706"/>
      <c r="C45" s="2707">
        <v>35977</v>
      </c>
      <c r="D45" s="2706">
        <v>6.57</v>
      </c>
      <c r="E45" s="2706">
        <v>6.93</v>
      </c>
      <c r="F45" s="2706">
        <v>7.11</v>
      </c>
      <c r="G45" s="2706">
        <v>7.65</v>
      </c>
      <c r="H45" s="2706">
        <v>8.01</v>
      </c>
      <c r="I45" s="2706">
        <v>0</v>
      </c>
      <c r="J45" s="2706">
        <v>0</v>
      </c>
      <c r="L45" s="2706"/>
      <c r="M45" s="2707">
        <v>35300</v>
      </c>
      <c r="N45" s="2706">
        <v>1.98</v>
      </c>
      <c r="O45" s="2706">
        <v>3.33</v>
      </c>
      <c r="P45" s="2706">
        <v>5.4</v>
      </c>
      <c r="Q45" s="2706">
        <v>7.47</v>
      </c>
      <c r="R45" s="2706">
        <v>7.92</v>
      </c>
      <c r="S45" s="2706">
        <v>8.2799999999999994</v>
      </c>
      <c r="T45" s="2706">
        <v>9</v>
      </c>
      <c r="U45" s="2706">
        <v>5.4</v>
      </c>
      <c r="V45" s="2706">
        <v>7.47</v>
      </c>
      <c r="W45" s="2706">
        <v>8.2799999999999994</v>
      </c>
      <c r="X45" s="2706" t="s">
        <v>2797</v>
      </c>
      <c r="Y45" s="2706" t="s">
        <v>2797</v>
      </c>
      <c r="Z45" s="2706" t="s">
        <v>2797</v>
      </c>
    </row>
    <row r="46" spans="2:26">
      <c r="B46" s="2706"/>
      <c r="C46" s="2707">
        <v>35879</v>
      </c>
      <c r="D46" s="2706">
        <v>7.02</v>
      </c>
      <c r="E46" s="2706">
        <v>7.92</v>
      </c>
      <c r="F46" s="2706">
        <v>9</v>
      </c>
      <c r="G46" s="2706">
        <v>9.7200000000000006</v>
      </c>
      <c r="H46" s="2706">
        <v>10.35</v>
      </c>
      <c r="I46" s="2706">
        <v>0</v>
      </c>
      <c r="J46" s="2706">
        <v>0</v>
      </c>
      <c r="L46" s="2706"/>
      <c r="M46" s="2707">
        <v>35186</v>
      </c>
      <c r="N46" s="2706">
        <v>2.97</v>
      </c>
      <c r="O46" s="2706">
        <v>4.8600000000000003</v>
      </c>
      <c r="P46" s="2706">
        <v>7.2</v>
      </c>
      <c r="Q46" s="2706">
        <v>9.18</v>
      </c>
      <c r="R46" s="2706">
        <v>9.9</v>
      </c>
      <c r="S46" s="2706">
        <v>10.8</v>
      </c>
      <c r="T46" s="2706">
        <v>12.06</v>
      </c>
      <c r="U46" s="2706">
        <v>7.2</v>
      </c>
      <c r="V46" s="2706">
        <v>9.18</v>
      </c>
      <c r="W46" s="2706">
        <v>10.8</v>
      </c>
      <c r="X46" s="2706" t="s">
        <v>2797</v>
      </c>
      <c r="Y46" s="2706" t="s">
        <v>2797</v>
      </c>
      <c r="Z46" s="2706" t="s">
        <v>2797</v>
      </c>
    </row>
    <row r="47" spans="2:26">
      <c r="B47" s="2706"/>
      <c r="C47" s="2707">
        <v>35726</v>
      </c>
      <c r="D47" s="2706">
        <v>7.65</v>
      </c>
      <c r="E47" s="2706">
        <v>8.64</v>
      </c>
      <c r="F47" s="2706">
        <v>9.36</v>
      </c>
      <c r="G47" s="2706">
        <v>9.9</v>
      </c>
      <c r="H47" s="2706">
        <v>10.53</v>
      </c>
      <c r="I47" s="2706">
        <v>0</v>
      </c>
      <c r="J47" s="2706">
        <v>0</v>
      </c>
      <c r="L47" s="2706"/>
      <c r="M47" s="2707">
        <v>34161</v>
      </c>
      <c r="N47" s="2706">
        <v>3.15</v>
      </c>
      <c r="O47" s="2706">
        <v>6.66</v>
      </c>
      <c r="P47" s="2706">
        <v>9</v>
      </c>
      <c r="Q47" s="2706">
        <v>10.98</v>
      </c>
      <c r="R47" s="2706">
        <v>11.7</v>
      </c>
      <c r="S47" s="2706">
        <v>12.24</v>
      </c>
      <c r="T47" s="2706">
        <v>13.86</v>
      </c>
      <c r="U47" s="2706">
        <v>9</v>
      </c>
      <c r="V47" s="2706">
        <v>10.98</v>
      </c>
      <c r="W47" s="2706">
        <v>12.24</v>
      </c>
      <c r="X47" s="2706" t="s">
        <v>2797</v>
      </c>
      <c r="Y47" s="2706" t="s">
        <v>2797</v>
      </c>
      <c r="Z47" s="2706" t="s">
        <v>2797</v>
      </c>
    </row>
    <row r="48" spans="2:26">
      <c r="B48" s="2706"/>
      <c r="C48" s="2707">
        <v>35300</v>
      </c>
      <c r="D48" s="2706">
        <v>9.18</v>
      </c>
      <c r="E48" s="2706">
        <v>10.08</v>
      </c>
      <c r="F48" s="2706">
        <v>10.98</v>
      </c>
      <c r="G48" s="2706">
        <v>11.7</v>
      </c>
      <c r="H48" s="2706">
        <v>12.42</v>
      </c>
      <c r="I48" s="2706">
        <v>0</v>
      </c>
      <c r="J48" s="2706">
        <v>0</v>
      </c>
      <c r="L48" s="2706"/>
      <c r="M48" s="2707">
        <v>34104</v>
      </c>
      <c r="N48" s="2706">
        <v>2.16</v>
      </c>
      <c r="O48" s="2706">
        <v>4.8600000000000003</v>
      </c>
      <c r="P48" s="2706">
        <v>7.2</v>
      </c>
      <c r="Q48" s="2706">
        <v>9.18</v>
      </c>
      <c r="R48" s="2706">
        <v>9.9</v>
      </c>
      <c r="S48" s="2706">
        <v>10.8</v>
      </c>
      <c r="T48" s="2706">
        <v>12.06</v>
      </c>
      <c r="U48" s="2706">
        <v>7.2</v>
      </c>
      <c r="V48" s="2706">
        <v>9.18</v>
      </c>
      <c r="W48" s="2706">
        <v>10.8</v>
      </c>
      <c r="X48" s="2706" t="s">
        <v>2797</v>
      </c>
      <c r="Y48" s="2706" t="s">
        <v>2797</v>
      </c>
      <c r="Z48" s="2706" t="s">
        <v>2797</v>
      </c>
    </row>
    <row r="49" spans="2:26">
      <c r="B49" s="2706"/>
      <c r="C49" s="2707">
        <v>35186</v>
      </c>
      <c r="D49" s="2706">
        <v>9.7200000000000006</v>
      </c>
      <c r="E49" s="2706">
        <v>10.98</v>
      </c>
      <c r="F49" s="2706">
        <v>13.14</v>
      </c>
      <c r="G49" s="2706">
        <v>14.94</v>
      </c>
      <c r="H49" s="2706">
        <v>15.12</v>
      </c>
      <c r="I49" s="2706">
        <v>0</v>
      </c>
      <c r="J49" s="2706">
        <v>0</v>
      </c>
      <c r="L49" s="2706"/>
      <c r="M49" s="2707">
        <v>33349</v>
      </c>
      <c r="N49" s="2706">
        <v>1.8</v>
      </c>
      <c r="O49" s="2706">
        <v>3.24</v>
      </c>
      <c r="P49" s="2706">
        <v>5.4</v>
      </c>
      <c r="Q49" s="2706">
        <v>7.56</v>
      </c>
      <c r="R49" s="2706">
        <v>7.92</v>
      </c>
      <c r="S49" s="2706">
        <v>8.2799999999999994</v>
      </c>
      <c r="T49" s="2706">
        <v>9</v>
      </c>
      <c r="U49" s="2706">
        <v>6.12</v>
      </c>
      <c r="V49" s="2706">
        <v>6.84</v>
      </c>
      <c r="W49" s="2706">
        <v>7.56</v>
      </c>
      <c r="X49" s="2706" t="s">
        <v>2797</v>
      </c>
      <c r="Y49" s="2706" t="s">
        <v>2797</v>
      </c>
      <c r="Z49" s="2706" t="s">
        <v>2797</v>
      </c>
    </row>
    <row r="50" spans="2:26">
      <c r="B50" s="2706"/>
      <c r="C50" s="2707">
        <v>34881</v>
      </c>
      <c r="D50" s="2706">
        <v>10.08</v>
      </c>
      <c r="E50" s="2706">
        <v>12.06</v>
      </c>
      <c r="F50" s="2706">
        <v>13.5</v>
      </c>
      <c r="G50" s="2706">
        <v>15.12</v>
      </c>
      <c r="H50" s="2706">
        <v>15.3</v>
      </c>
      <c r="I50" s="2706">
        <v>0</v>
      </c>
      <c r="J50" s="2706">
        <v>0</v>
      </c>
      <c r="L50" s="2706"/>
      <c r="M50" s="2707">
        <v>33106</v>
      </c>
      <c r="N50" s="2706">
        <v>2.16</v>
      </c>
      <c r="O50" s="2706">
        <v>4.32</v>
      </c>
      <c r="P50" s="2706">
        <v>6.48</v>
      </c>
      <c r="Q50" s="2706">
        <v>8.64</v>
      </c>
      <c r="R50" s="2706">
        <v>9.36</v>
      </c>
      <c r="S50" s="2706">
        <v>10.08</v>
      </c>
      <c r="T50" s="2706">
        <v>11.52</v>
      </c>
      <c r="U50" s="2706">
        <v>7.2</v>
      </c>
      <c r="V50" s="2706">
        <v>8.64</v>
      </c>
      <c r="W50" s="2706">
        <v>10.08</v>
      </c>
      <c r="X50" s="2706" t="s">
        <v>2797</v>
      </c>
      <c r="Y50" s="2706" t="s">
        <v>2797</v>
      </c>
      <c r="Z50" s="2706" t="s">
        <v>2797</v>
      </c>
    </row>
    <row r="51" spans="2:26">
      <c r="B51" s="2706"/>
      <c r="C51" s="2707">
        <v>34700</v>
      </c>
      <c r="D51" s="2706">
        <v>9</v>
      </c>
      <c r="E51" s="2706">
        <v>10.98</v>
      </c>
      <c r="F51" s="2706">
        <v>12.96</v>
      </c>
      <c r="G51" s="2706">
        <v>14.58</v>
      </c>
      <c r="H51" s="2706">
        <v>14.76</v>
      </c>
      <c r="I51" s="2706">
        <v>0</v>
      </c>
      <c r="J51" s="2706">
        <v>0</v>
      </c>
      <c r="L51" s="2706"/>
      <c r="M51" s="2707">
        <v>32978</v>
      </c>
      <c r="N51" s="2706">
        <v>2.88</v>
      </c>
      <c r="O51" s="2706">
        <v>6.3</v>
      </c>
      <c r="P51" s="2706">
        <v>7.74</v>
      </c>
      <c r="Q51" s="2706">
        <v>10.08</v>
      </c>
      <c r="R51" s="2706">
        <v>10.98</v>
      </c>
      <c r="S51" s="2706">
        <v>11.88</v>
      </c>
      <c r="T51" s="2706">
        <v>13.68</v>
      </c>
      <c r="U51" s="2706" t="s">
        <v>2797</v>
      </c>
      <c r="V51" s="2706" t="s">
        <v>2797</v>
      </c>
      <c r="W51" s="2706" t="s">
        <v>2797</v>
      </c>
      <c r="X51" s="2706" t="s">
        <v>2797</v>
      </c>
      <c r="Y51" s="2706" t="s">
        <v>2797</v>
      </c>
      <c r="Z51" s="2706" t="s">
        <v>2797</v>
      </c>
    </row>
    <row r="52" spans="2:26">
      <c r="B52" s="2706"/>
      <c r="C52" s="2707">
        <v>34161</v>
      </c>
      <c r="D52" s="2706">
        <v>9</v>
      </c>
      <c r="E52" s="2706">
        <v>10.98</v>
      </c>
      <c r="F52" s="2706">
        <v>12.24</v>
      </c>
      <c r="G52" s="2706">
        <v>13.86</v>
      </c>
      <c r="H52" s="2706">
        <v>14.04</v>
      </c>
      <c r="I52" s="2706">
        <v>0</v>
      </c>
      <c r="J52" s="2706">
        <v>0</v>
      </c>
      <c r="L52" s="2706"/>
      <c r="M52" s="2707"/>
      <c r="N52" s="2706"/>
      <c r="O52" s="2706"/>
      <c r="P52" s="2706"/>
      <c r="Q52" s="2706"/>
      <c r="R52" s="2706"/>
      <c r="S52" s="2706"/>
      <c r="T52" s="2706"/>
      <c r="U52" s="2706"/>
      <c r="V52" s="2706"/>
      <c r="W52" s="2706"/>
      <c r="X52" s="2706"/>
      <c r="Y52" s="2706"/>
      <c r="Z52" s="2706"/>
    </row>
    <row r="53" spans="2:26">
      <c r="B53" s="2706"/>
      <c r="C53" s="2707">
        <v>34104</v>
      </c>
      <c r="D53" s="2706">
        <v>8.82</v>
      </c>
      <c r="E53" s="2706">
        <v>9.36</v>
      </c>
      <c r="F53" s="2706">
        <v>10.8</v>
      </c>
      <c r="G53" s="2706">
        <v>12.06</v>
      </c>
      <c r="H53" s="2706">
        <v>12.24</v>
      </c>
      <c r="I53" s="2706">
        <v>0</v>
      </c>
      <c r="J53" s="2706">
        <v>0</v>
      </c>
      <c r="L53" s="2706"/>
      <c r="M53" s="2707"/>
      <c r="N53" s="2706"/>
      <c r="O53" s="2706"/>
      <c r="P53" s="2706"/>
      <c r="Q53" s="2706"/>
      <c r="R53" s="2706"/>
      <c r="S53" s="2706"/>
      <c r="T53" s="2706"/>
      <c r="U53" s="2706"/>
      <c r="V53" s="2706"/>
      <c r="W53" s="2706"/>
      <c r="X53" s="2706"/>
      <c r="Y53" s="2706"/>
      <c r="Z53" s="2706"/>
    </row>
    <row r="54" spans="2:26">
      <c r="B54" s="2706"/>
      <c r="C54" s="2707">
        <v>33349</v>
      </c>
      <c r="D54" s="2706">
        <v>8.1</v>
      </c>
      <c r="E54" s="2706">
        <v>8.64</v>
      </c>
      <c r="F54" s="2706">
        <v>9</v>
      </c>
      <c r="G54" s="2706">
        <v>9.5399999999999991</v>
      </c>
      <c r="H54" s="2706">
        <v>9.7200000000000006</v>
      </c>
      <c r="I54" s="2706">
        <v>0</v>
      </c>
      <c r="J54" s="2706">
        <v>0</v>
      </c>
      <c r="L54" s="2706"/>
      <c r="M54" s="2707"/>
      <c r="N54" s="2706"/>
      <c r="O54" s="2706"/>
      <c r="P54" s="2706"/>
      <c r="Q54" s="2706"/>
      <c r="R54" s="2706"/>
      <c r="S54" s="2706"/>
      <c r="T54" s="2706"/>
      <c r="U54" s="2706"/>
      <c r="V54" s="2706"/>
      <c r="W54" s="2706"/>
      <c r="X54" s="2706"/>
      <c r="Y54" s="2706"/>
      <c r="Z54" s="2706"/>
    </row>
    <row r="55" spans="2:26">
      <c r="B55" s="2706"/>
      <c r="C55" s="2707">
        <v>33318</v>
      </c>
      <c r="D55" s="2706">
        <v>9</v>
      </c>
      <c r="E55" s="2706">
        <v>10.08</v>
      </c>
      <c r="F55" s="2706">
        <v>10.8</v>
      </c>
      <c r="G55" s="2706">
        <v>11.52</v>
      </c>
      <c r="H55" s="2706">
        <v>11.88</v>
      </c>
      <c r="I55" s="2706" t="s">
        <v>2797</v>
      </c>
      <c r="J55" s="2706" t="s">
        <v>2797</v>
      </c>
      <c r="L55" s="2706"/>
      <c r="M55" s="2707"/>
      <c r="N55" s="2706"/>
      <c r="O55" s="2706"/>
      <c r="P55" s="2706"/>
      <c r="Q55" s="2706"/>
      <c r="R55" s="2706"/>
      <c r="S55" s="2706"/>
      <c r="T55" s="2706"/>
      <c r="U55" s="2706"/>
      <c r="V55" s="2706"/>
      <c r="W55" s="2706"/>
      <c r="X55" s="2706"/>
      <c r="Y55" s="2706"/>
      <c r="Z55" s="2706"/>
    </row>
    <row r="56" spans="2:26">
      <c r="B56" s="2706"/>
      <c r="C56" s="2707">
        <v>33106</v>
      </c>
      <c r="D56" s="2706">
        <v>8.64</v>
      </c>
      <c r="E56" s="2706">
        <v>9.36</v>
      </c>
      <c r="F56" s="2706">
        <v>10.08</v>
      </c>
      <c r="G56" s="2706">
        <v>10.8</v>
      </c>
      <c r="H56" s="2706">
        <v>11.16</v>
      </c>
      <c r="I56" s="2706">
        <v>0</v>
      </c>
      <c r="J56" s="2706">
        <v>0</v>
      </c>
      <c r="L56" s="2706"/>
      <c r="M56" s="2707"/>
      <c r="N56" s="2706"/>
      <c r="O56" s="2706"/>
      <c r="P56" s="2706"/>
      <c r="Q56" s="2706"/>
      <c r="R56" s="2706"/>
      <c r="S56" s="2706"/>
      <c r="T56" s="2706"/>
      <c r="U56" s="2706"/>
      <c r="V56" s="2706"/>
      <c r="W56" s="2706"/>
      <c r="X56" s="2706"/>
      <c r="Y56" s="2706"/>
      <c r="Z56" s="2706"/>
    </row>
    <row r="57" spans="2:26">
      <c r="B57" s="2706"/>
      <c r="C57" s="2707">
        <v>32540</v>
      </c>
      <c r="D57" s="2706">
        <v>11.34</v>
      </c>
      <c r="E57" s="2706">
        <v>11.34</v>
      </c>
      <c r="F57" s="2706">
        <v>12.78</v>
      </c>
      <c r="G57" s="2706">
        <v>14.4</v>
      </c>
      <c r="H57" s="2706">
        <v>19.260000000000002</v>
      </c>
      <c r="I57" s="2706">
        <v>0</v>
      </c>
      <c r="J57" s="2706">
        <v>0</v>
      </c>
      <c r="L57" s="2706"/>
      <c r="M57" s="2707"/>
      <c r="N57" s="2706"/>
      <c r="O57" s="2706"/>
      <c r="P57" s="2706"/>
      <c r="Q57" s="2706"/>
      <c r="R57" s="2706"/>
      <c r="S57" s="2706"/>
      <c r="T57" s="2706"/>
      <c r="U57" s="2706"/>
      <c r="V57" s="2706"/>
      <c r="W57" s="2706"/>
      <c r="X57" s="2706"/>
      <c r="Y57" s="2706"/>
      <c r="Z57" s="2706"/>
    </row>
    <row r="58" spans="2:26">
      <c r="B58" s="2706"/>
      <c r="C58" s="2707"/>
      <c r="D58" s="2706"/>
      <c r="E58" s="2706"/>
      <c r="F58" s="2706"/>
      <c r="G58" s="2706"/>
      <c r="H58" s="2706"/>
      <c r="I58" s="2706"/>
      <c r="J58" s="2706"/>
    </row>
    <row r="59" spans="2:26">
      <c r="B59" s="2710"/>
      <c r="C59" s="2711"/>
      <c r="D59" s="2710"/>
      <c r="E59" s="2710"/>
      <c r="F59" s="2710"/>
      <c r="G59" s="2710"/>
      <c r="H59" s="2710"/>
      <c r="I59" s="2710"/>
      <c r="J59" s="2710"/>
    </row>
    <row r="60" spans="2:26">
      <c r="B60" s="2710"/>
      <c r="C60" s="2711"/>
      <c r="D60" s="2710"/>
      <c r="E60" s="2710"/>
      <c r="F60" s="2710"/>
      <c r="G60" s="2710"/>
      <c r="H60" s="2710"/>
      <c r="I60" s="2710"/>
      <c r="J60" s="2710"/>
    </row>
    <row r="61" spans="2:26">
      <c r="B61" s="2710"/>
      <c r="C61" s="2711"/>
      <c r="D61" s="2710"/>
      <c r="E61" s="2710"/>
      <c r="F61" s="2710"/>
      <c r="G61" s="2710"/>
      <c r="H61" s="2710"/>
      <c r="I61" s="2710"/>
      <c r="J61" s="2710"/>
    </row>
    <row r="62" spans="2:26">
      <c r="B62" s="2657"/>
      <c r="C62" s="2657"/>
      <c r="D62" s="2657"/>
      <c r="E62" s="2657"/>
      <c r="F62" s="2657"/>
      <c r="G62" s="2657"/>
      <c r="H62" s="2657"/>
      <c r="I62" s="2657"/>
      <c r="J62" s="2657"/>
    </row>
    <row r="63" spans="2:26">
      <c r="B63" s="2657"/>
      <c r="C63" s="2657"/>
      <c r="D63" s="2657"/>
      <c r="E63" s="2657"/>
      <c r="F63" s="2657"/>
      <c r="G63" s="2657"/>
      <c r="H63" s="2657"/>
      <c r="I63" s="2657"/>
      <c r="J63" s="2657"/>
    </row>
  </sheetData>
  <sheetProtection sheet="1" objects="1" scenarios="1"/>
  <phoneticPr fontId="22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BA18"/>
  <sheetViews>
    <sheetView workbookViewId="0">
      <selection activeCell="D3" sqref="D3"/>
    </sheetView>
  </sheetViews>
  <sheetFormatPr defaultColWidth="8.875" defaultRowHeight="12.75"/>
  <cols>
    <col min="1" max="1" width="10.125" style="3313" customWidth="1"/>
    <col min="2" max="2" width="5.125" style="3313" customWidth="1"/>
    <col min="3" max="5" width="7.625" style="3313" customWidth="1"/>
    <col min="6" max="53" width="6.5" style="3313" customWidth="1"/>
    <col min="54" max="256" width="9" style="3313"/>
    <col min="257" max="257" width="10.125" style="3313" customWidth="1"/>
    <col min="258" max="258" width="5.125" style="3313" customWidth="1"/>
    <col min="259" max="261" width="7.625" style="3313" customWidth="1"/>
    <col min="262" max="309" width="6.5" style="3313" customWidth="1"/>
    <col min="310" max="512" width="9" style="3313"/>
    <col min="513" max="513" width="10.125" style="3313" customWidth="1"/>
    <col min="514" max="514" width="5.125" style="3313" customWidth="1"/>
    <col min="515" max="517" width="7.625" style="3313" customWidth="1"/>
    <col min="518" max="565" width="6.5" style="3313" customWidth="1"/>
    <col min="566" max="768" width="9" style="3313"/>
    <col min="769" max="769" width="10.125" style="3313" customWidth="1"/>
    <col min="770" max="770" width="5.125" style="3313" customWidth="1"/>
    <col min="771" max="773" width="7.625" style="3313" customWidth="1"/>
    <col min="774" max="821" width="6.5" style="3313" customWidth="1"/>
    <col min="822" max="1024" width="9" style="3313"/>
    <col min="1025" max="1025" width="10.125" style="3313" customWidth="1"/>
    <col min="1026" max="1026" width="5.125" style="3313" customWidth="1"/>
    <col min="1027" max="1029" width="7.625" style="3313" customWidth="1"/>
    <col min="1030" max="1077" width="6.5" style="3313" customWidth="1"/>
    <col min="1078" max="1280" width="9" style="3313"/>
    <col min="1281" max="1281" width="10.125" style="3313" customWidth="1"/>
    <col min="1282" max="1282" width="5.125" style="3313" customWidth="1"/>
    <col min="1283" max="1285" width="7.625" style="3313" customWidth="1"/>
    <col min="1286" max="1333" width="6.5" style="3313" customWidth="1"/>
    <col min="1334" max="1536" width="9" style="3313"/>
    <col min="1537" max="1537" width="10.125" style="3313" customWidth="1"/>
    <col min="1538" max="1538" width="5.125" style="3313" customWidth="1"/>
    <col min="1539" max="1541" width="7.625" style="3313" customWidth="1"/>
    <col min="1542" max="1589" width="6.5" style="3313" customWidth="1"/>
    <col min="1590" max="1792" width="9" style="3313"/>
    <col min="1793" max="1793" width="10.125" style="3313" customWidth="1"/>
    <col min="1794" max="1794" width="5.125" style="3313" customWidth="1"/>
    <col min="1795" max="1797" width="7.625" style="3313" customWidth="1"/>
    <col min="1798" max="1845" width="6.5" style="3313" customWidth="1"/>
    <col min="1846" max="2048" width="9" style="3313"/>
    <col min="2049" max="2049" width="10.125" style="3313" customWidth="1"/>
    <col min="2050" max="2050" width="5.125" style="3313" customWidth="1"/>
    <col min="2051" max="2053" width="7.625" style="3313" customWidth="1"/>
    <col min="2054" max="2101" width="6.5" style="3313" customWidth="1"/>
    <col min="2102" max="2304" width="9" style="3313"/>
    <col min="2305" max="2305" width="10.125" style="3313" customWidth="1"/>
    <col min="2306" max="2306" width="5.125" style="3313" customWidth="1"/>
    <col min="2307" max="2309" width="7.625" style="3313" customWidth="1"/>
    <col min="2310" max="2357" width="6.5" style="3313" customWidth="1"/>
    <col min="2358" max="2560" width="9" style="3313"/>
    <col min="2561" max="2561" width="10.125" style="3313" customWidth="1"/>
    <col min="2562" max="2562" width="5.125" style="3313" customWidth="1"/>
    <col min="2563" max="2565" width="7.625" style="3313" customWidth="1"/>
    <col min="2566" max="2613" width="6.5" style="3313" customWidth="1"/>
    <col min="2614" max="2816" width="9" style="3313"/>
    <col min="2817" max="2817" width="10.125" style="3313" customWidth="1"/>
    <col min="2818" max="2818" width="5.125" style="3313" customWidth="1"/>
    <col min="2819" max="2821" width="7.625" style="3313" customWidth="1"/>
    <col min="2822" max="2869" width="6.5" style="3313" customWidth="1"/>
    <col min="2870" max="3072" width="9" style="3313"/>
    <col min="3073" max="3073" width="10.125" style="3313" customWidth="1"/>
    <col min="3074" max="3074" width="5.125" style="3313" customWidth="1"/>
    <col min="3075" max="3077" width="7.625" style="3313" customWidth="1"/>
    <col min="3078" max="3125" width="6.5" style="3313" customWidth="1"/>
    <col min="3126" max="3328" width="9" style="3313"/>
    <col min="3329" max="3329" width="10.125" style="3313" customWidth="1"/>
    <col min="3330" max="3330" width="5.125" style="3313" customWidth="1"/>
    <col min="3331" max="3333" width="7.625" style="3313" customWidth="1"/>
    <col min="3334" max="3381" width="6.5" style="3313" customWidth="1"/>
    <col min="3382" max="3584" width="9" style="3313"/>
    <col min="3585" max="3585" width="10.125" style="3313" customWidth="1"/>
    <col min="3586" max="3586" width="5.125" style="3313" customWidth="1"/>
    <col min="3587" max="3589" width="7.625" style="3313" customWidth="1"/>
    <col min="3590" max="3637" width="6.5" style="3313" customWidth="1"/>
    <col min="3638" max="3840" width="9" style="3313"/>
    <col min="3841" max="3841" width="10.125" style="3313" customWidth="1"/>
    <col min="3842" max="3842" width="5.125" style="3313" customWidth="1"/>
    <col min="3843" max="3845" width="7.625" style="3313" customWidth="1"/>
    <col min="3846" max="3893" width="6.5" style="3313" customWidth="1"/>
    <col min="3894" max="4096" width="9" style="3313"/>
    <col min="4097" max="4097" width="10.125" style="3313" customWidth="1"/>
    <col min="4098" max="4098" width="5.125" style="3313" customWidth="1"/>
    <col min="4099" max="4101" width="7.625" style="3313" customWidth="1"/>
    <col min="4102" max="4149" width="6.5" style="3313" customWidth="1"/>
    <col min="4150" max="4352" width="9" style="3313"/>
    <col min="4353" max="4353" width="10.125" style="3313" customWidth="1"/>
    <col min="4354" max="4354" width="5.125" style="3313" customWidth="1"/>
    <col min="4355" max="4357" width="7.625" style="3313" customWidth="1"/>
    <col min="4358" max="4405" width="6.5" style="3313" customWidth="1"/>
    <col min="4406" max="4608" width="9" style="3313"/>
    <col min="4609" max="4609" width="10.125" style="3313" customWidth="1"/>
    <col min="4610" max="4610" width="5.125" style="3313" customWidth="1"/>
    <col min="4611" max="4613" width="7.625" style="3313" customWidth="1"/>
    <col min="4614" max="4661" width="6.5" style="3313" customWidth="1"/>
    <col min="4662" max="4864" width="9" style="3313"/>
    <col min="4865" max="4865" width="10.125" style="3313" customWidth="1"/>
    <col min="4866" max="4866" width="5.125" style="3313" customWidth="1"/>
    <col min="4867" max="4869" width="7.625" style="3313" customWidth="1"/>
    <col min="4870" max="4917" width="6.5" style="3313" customWidth="1"/>
    <col min="4918" max="5120" width="9" style="3313"/>
    <col min="5121" max="5121" width="10.125" style="3313" customWidth="1"/>
    <col min="5122" max="5122" width="5.125" style="3313" customWidth="1"/>
    <col min="5123" max="5125" width="7.625" style="3313" customWidth="1"/>
    <col min="5126" max="5173" width="6.5" style="3313" customWidth="1"/>
    <col min="5174" max="5376" width="9" style="3313"/>
    <col min="5377" max="5377" width="10.125" style="3313" customWidth="1"/>
    <col min="5378" max="5378" width="5.125" style="3313" customWidth="1"/>
    <col min="5379" max="5381" width="7.625" style="3313" customWidth="1"/>
    <col min="5382" max="5429" width="6.5" style="3313" customWidth="1"/>
    <col min="5430" max="5632" width="9" style="3313"/>
    <col min="5633" max="5633" width="10.125" style="3313" customWidth="1"/>
    <col min="5634" max="5634" width="5.125" style="3313" customWidth="1"/>
    <col min="5635" max="5637" width="7.625" style="3313" customWidth="1"/>
    <col min="5638" max="5685" width="6.5" style="3313" customWidth="1"/>
    <col min="5686" max="5888" width="9" style="3313"/>
    <col min="5889" max="5889" width="10.125" style="3313" customWidth="1"/>
    <col min="5890" max="5890" width="5.125" style="3313" customWidth="1"/>
    <col min="5891" max="5893" width="7.625" style="3313" customWidth="1"/>
    <col min="5894" max="5941" width="6.5" style="3313" customWidth="1"/>
    <col min="5942" max="6144" width="9" style="3313"/>
    <col min="6145" max="6145" width="10.125" style="3313" customWidth="1"/>
    <col min="6146" max="6146" width="5.125" style="3313" customWidth="1"/>
    <col min="6147" max="6149" width="7.625" style="3313" customWidth="1"/>
    <col min="6150" max="6197" width="6.5" style="3313" customWidth="1"/>
    <col min="6198" max="6400" width="9" style="3313"/>
    <col min="6401" max="6401" width="10.125" style="3313" customWidth="1"/>
    <col min="6402" max="6402" width="5.125" style="3313" customWidth="1"/>
    <col min="6403" max="6405" width="7.625" style="3313" customWidth="1"/>
    <col min="6406" max="6453" width="6.5" style="3313" customWidth="1"/>
    <col min="6454" max="6656" width="9" style="3313"/>
    <col min="6657" max="6657" width="10.125" style="3313" customWidth="1"/>
    <col min="6658" max="6658" width="5.125" style="3313" customWidth="1"/>
    <col min="6659" max="6661" width="7.625" style="3313" customWidth="1"/>
    <col min="6662" max="6709" width="6.5" style="3313" customWidth="1"/>
    <col min="6710" max="6912" width="9" style="3313"/>
    <col min="6913" max="6913" width="10.125" style="3313" customWidth="1"/>
    <col min="6914" max="6914" width="5.125" style="3313" customWidth="1"/>
    <col min="6915" max="6917" width="7.625" style="3313" customWidth="1"/>
    <col min="6918" max="6965" width="6.5" style="3313" customWidth="1"/>
    <col min="6966" max="7168" width="9" style="3313"/>
    <col min="7169" max="7169" width="10.125" style="3313" customWidth="1"/>
    <col min="7170" max="7170" width="5.125" style="3313" customWidth="1"/>
    <col min="7171" max="7173" width="7.625" style="3313" customWidth="1"/>
    <col min="7174" max="7221" width="6.5" style="3313" customWidth="1"/>
    <col min="7222" max="7424" width="9" style="3313"/>
    <col min="7425" max="7425" width="10.125" style="3313" customWidth="1"/>
    <col min="7426" max="7426" width="5.125" style="3313" customWidth="1"/>
    <col min="7427" max="7429" width="7.625" style="3313" customWidth="1"/>
    <col min="7430" max="7477" width="6.5" style="3313" customWidth="1"/>
    <col min="7478" max="7680" width="9" style="3313"/>
    <col min="7681" max="7681" width="10.125" style="3313" customWidth="1"/>
    <col min="7682" max="7682" width="5.125" style="3313" customWidth="1"/>
    <col min="7683" max="7685" width="7.625" style="3313" customWidth="1"/>
    <col min="7686" max="7733" width="6.5" style="3313" customWidth="1"/>
    <col min="7734" max="7936" width="9" style="3313"/>
    <col min="7937" max="7937" width="10.125" style="3313" customWidth="1"/>
    <col min="7938" max="7938" width="5.125" style="3313" customWidth="1"/>
    <col min="7939" max="7941" width="7.625" style="3313" customWidth="1"/>
    <col min="7942" max="7989" width="6.5" style="3313" customWidth="1"/>
    <col min="7990" max="8192" width="9" style="3313"/>
    <col min="8193" max="8193" width="10.125" style="3313" customWidth="1"/>
    <col min="8194" max="8194" width="5.125" style="3313" customWidth="1"/>
    <col min="8195" max="8197" width="7.625" style="3313" customWidth="1"/>
    <col min="8198" max="8245" width="6.5" style="3313" customWidth="1"/>
    <col min="8246" max="8448" width="9" style="3313"/>
    <col min="8449" max="8449" width="10.125" style="3313" customWidth="1"/>
    <col min="8450" max="8450" width="5.125" style="3313" customWidth="1"/>
    <col min="8451" max="8453" width="7.625" style="3313" customWidth="1"/>
    <col min="8454" max="8501" width="6.5" style="3313" customWidth="1"/>
    <col min="8502" max="8704" width="9" style="3313"/>
    <col min="8705" max="8705" width="10.125" style="3313" customWidth="1"/>
    <col min="8706" max="8706" width="5.125" style="3313" customWidth="1"/>
    <col min="8707" max="8709" width="7.625" style="3313" customWidth="1"/>
    <col min="8710" max="8757" width="6.5" style="3313" customWidth="1"/>
    <col min="8758" max="8960" width="9" style="3313"/>
    <col min="8961" max="8961" width="10.125" style="3313" customWidth="1"/>
    <col min="8962" max="8962" width="5.125" style="3313" customWidth="1"/>
    <col min="8963" max="8965" width="7.625" style="3313" customWidth="1"/>
    <col min="8966" max="9013" width="6.5" style="3313" customWidth="1"/>
    <col min="9014" max="9216" width="9" style="3313"/>
    <col min="9217" max="9217" width="10.125" style="3313" customWidth="1"/>
    <col min="9218" max="9218" width="5.125" style="3313" customWidth="1"/>
    <col min="9219" max="9221" width="7.625" style="3313" customWidth="1"/>
    <col min="9222" max="9269" width="6.5" style="3313" customWidth="1"/>
    <col min="9270" max="9472" width="9" style="3313"/>
    <col min="9473" max="9473" width="10.125" style="3313" customWidth="1"/>
    <col min="9474" max="9474" width="5.125" style="3313" customWidth="1"/>
    <col min="9475" max="9477" width="7.625" style="3313" customWidth="1"/>
    <col min="9478" max="9525" width="6.5" style="3313" customWidth="1"/>
    <col min="9526" max="9728" width="9" style="3313"/>
    <col min="9729" max="9729" width="10.125" style="3313" customWidth="1"/>
    <col min="9730" max="9730" width="5.125" style="3313" customWidth="1"/>
    <col min="9731" max="9733" width="7.625" style="3313" customWidth="1"/>
    <col min="9734" max="9781" width="6.5" style="3313" customWidth="1"/>
    <col min="9782" max="9984" width="9" style="3313"/>
    <col min="9985" max="9985" width="10.125" style="3313" customWidth="1"/>
    <col min="9986" max="9986" width="5.125" style="3313" customWidth="1"/>
    <col min="9987" max="9989" width="7.625" style="3313" customWidth="1"/>
    <col min="9990" max="10037" width="6.5" style="3313" customWidth="1"/>
    <col min="10038" max="10240" width="9" style="3313"/>
    <col min="10241" max="10241" width="10.125" style="3313" customWidth="1"/>
    <col min="10242" max="10242" width="5.125" style="3313" customWidth="1"/>
    <col min="10243" max="10245" width="7.625" style="3313" customWidth="1"/>
    <col min="10246" max="10293" width="6.5" style="3313" customWidth="1"/>
    <col min="10294" max="10496" width="9" style="3313"/>
    <col min="10497" max="10497" width="10.125" style="3313" customWidth="1"/>
    <col min="10498" max="10498" width="5.125" style="3313" customWidth="1"/>
    <col min="10499" max="10501" width="7.625" style="3313" customWidth="1"/>
    <col min="10502" max="10549" width="6.5" style="3313" customWidth="1"/>
    <col min="10550" max="10752" width="9" style="3313"/>
    <col min="10753" max="10753" width="10.125" style="3313" customWidth="1"/>
    <col min="10754" max="10754" width="5.125" style="3313" customWidth="1"/>
    <col min="10755" max="10757" width="7.625" style="3313" customWidth="1"/>
    <col min="10758" max="10805" width="6.5" style="3313" customWidth="1"/>
    <col min="10806" max="11008" width="9" style="3313"/>
    <col min="11009" max="11009" width="10.125" style="3313" customWidth="1"/>
    <col min="11010" max="11010" width="5.125" style="3313" customWidth="1"/>
    <col min="11011" max="11013" width="7.625" style="3313" customWidth="1"/>
    <col min="11014" max="11061" width="6.5" style="3313" customWidth="1"/>
    <col min="11062" max="11264" width="9" style="3313"/>
    <col min="11265" max="11265" width="10.125" style="3313" customWidth="1"/>
    <col min="11266" max="11266" width="5.125" style="3313" customWidth="1"/>
    <col min="11267" max="11269" width="7.625" style="3313" customWidth="1"/>
    <col min="11270" max="11317" width="6.5" style="3313" customWidth="1"/>
    <col min="11318" max="11520" width="9" style="3313"/>
    <col min="11521" max="11521" width="10.125" style="3313" customWidth="1"/>
    <col min="11522" max="11522" width="5.125" style="3313" customWidth="1"/>
    <col min="11523" max="11525" width="7.625" style="3313" customWidth="1"/>
    <col min="11526" max="11573" width="6.5" style="3313" customWidth="1"/>
    <col min="11574" max="11776" width="9" style="3313"/>
    <col min="11777" max="11777" width="10.125" style="3313" customWidth="1"/>
    <col min="11778" max="11778" width="5.125" style="3313" customWidth="1"/>
    <col min="11779" max="11781" width="7.625" style="3313" customWidth="1"/>
    <col min="11782" max="11829" width="6.5" style="3313" customWidth="1"/>
    <col min="11830" max="12032" width="9" style="3313"/>
    <col min="12033" max="12033" width="10.125" style="3313" customWidth="1"/>
    <col min="12034" max="12034" width="5.125" style="3313" customWidth="1"/>
    <col min="12035" max="12037" width="7.625" style="3313" customWidth="1"/>
    <col min="12038" max="12085" width="6.5" style="3313" customWidth="1"/>
    <col min="12086" max="12288" width="9" style="3313"/>
    <col min="12289" max="12289" width="10.125" style="3313" customWidth="1"/>
    <col min="12290" max="12290" width="5.125" style="3313" customWidth="1"/>
    <col min="12291" max="12293" width="7.625" style="3313" customWidth="1"/>
    <col min="12294" max="12341" width="6.5" style="3313" customWidth="1"/>
    <col min="12342" max="12544" width="9" style="3313"/>
    <col min="12545" max="12545" width="10.125" style="3313" customWidth="1"/>
    <col min="12546" max="12546" width="5.125" style="3313" customWidth="1"/>
    <col min="12547" max="12549" width="7.625" style="3313" customWidth="1"/>
    <col min="12550" max="12597" width="6.5" style="3313" customWidth="1"/>
    <col min="12598" max="12800" width="9" style="3313"/>
    <col min="12801" max="12801" width="10.125" style="3313" customWidth="1"/>
    <col min="12802" max="12802" width="5.125" style="3313" customWidth="1"/>
    <col min="12803" max="12805" width="7.625" style="3313" customWidth="1"/>
    <col min="12806" max="12853" width="6.5" style="3313" customWidth="1"/>
    <col min="12854" max="13056" width="9" style="3313"/>
    <col min="13057" max="13057" width="10.125" style="3313" customWidth="1"/>
    <col min="13058" max="13058" width="5.125" style="3313" customWidth="1"/>
    <col min="13059" max="13061" width="7.625" style="3313" customWidth="1"/>
    <col min="13062" max="13109" width="6.5" style="3313" customWidth="1"/>
    <col min="13110" max="13312" width="9" style="3313"/>
    <col min="13313" max="13313" width="10.125" style="3313" customWidth="1"/>
    <col min="13314" max="13314" width="5.125" style="3313" customWidth="1"/>
    <col min="13315" max="13317" width="7.625" style="3313" customWidth="1"/>
    <col min="13318" max="13365" width="6.5" style="3313" customWidth="1"/>
    <col min="13366" max="13568" width="9" style="3313"/>
    <col min="13569" max="13569" width="10.125" style="3313" customWidth="1"/>
    <col min="13570" max="13570" width="5.125" style="3313" customWidth="1"/>
    <col min="13571" max="13573" width="7.625" style="3313" customWidth="1"/>
    <col min="13574" max="13621" width="6.5" style="3313" customWidth="1"/>
    <col min="13622" max="13824" width="9" style="3313"/>
    <col min="13825" max="13825" width="10.125" style="3313" customWidth="1"/>
    <col min="13826" max="13826" width="5.125" style="3313" customWidth="1"/>
    <col min="13827" max="13829" width="7.625" style="3313" customWidth="1"/>
    <col min="13830" max="13877" width="6.5" style="3313" customWidth="1"/>
    <col min="13878" max="14080" width="9" style="3313"/>
    <col min="14081" max="14081" width="10.125" style="3313" customWidth="1"/>
    <col min="14082" max="14082" width="5.125" style="3313" customWidth="1"/>
    <col min="14083" max="14085" width="7.625" style="3313" customWidth="1"/>
    <col min="14086" max="14133" width="6.5" style="3313" customWidth="1"/>
    <col min="14134" max="14336" width="9" style="3313"/>
    <col min="14337" max="14337" width="10.125" style="3313" customWidth="1"/>
    <col min="14338" max="14338" width="5.125" style="3313" customWidth="1"/>
    <col min="14339" max="14341" width="7.625" style="3313" customWidth="1"/>
    <col min="14342" max="14389" width="6.5" style="3313" customWidth="1"/>
    <col min="14390" max="14592" width="9" style="3313"/>
    <col min="14593" max="14593" width="10.125" style="3313" customWidth="1"/>
    <col min="14594" max="14594" width="5.125" style="3313" customWidth="1"/>
    <col min="14595" max="14597" width="7.625" style="3313" customWidth="1"/>
    <col min="14598" max="14645" width="6.5" style="3313" customWidth="1"/>
    <col min="14646" max="14848" width="9" style="3313"/>
    <col min="14849" max="14849" width="10.125" style="3313" customWidth="1"/>
    <col min="14850" max="14850" width="5.125" style="3313" customWidth="1"/>
    <col min="14851" max="14853" width="7.625" style="3313" customWidth="1"/>
    <col min="14854" max="14901" width="6.5" style="3313" customWidth="1"/>
    <col min="14902" max="15104" width="9" style="3313"/>
    <col min="15105" max="15105" width="10.125" style="3313" customWidth="1"/>
    <col min="15106" max="15106" width="5.125" style="3313" customWidth="1"/>
    <col min="15107" max="15109" width="7.625" style="3313" customWidth="1"/>
    <col min="15110" max="15157" width="6.5" style="3313" customWidth="1"/>
    <col min="15158" max="15360" width="9" style="3313"/>
    <col min="15361" max="15361" width="10.125" style="3313" customWidth="1"/>
    <col min="15362" max="15362" width="5.125" style="3313" customWidth="1"/>
    <col min="15363" max="15365" width="7.625" style="3313" customWidth="1"/>
    <col min="15366" max="15413" width="6.5" style="3313" customWidth="1"/>
    <col min="15414" max="15616" width="9" style="3313"/>
    <col min="15617" max="15617" width="10.125" style="3313" customWidth="1"/>
    <col min="15618" max="15618" width="5.125" style="3313" customWidth="1"/>
    <col min="15619" max="15621" width="7.625" style="3313" customWidth="1"/>
    <col min="15622" max="15669" width="6.5" style="3313" customWidth="1"/>
    <col min="15670" max="15872" width="9" style="3313"/>
    <col min="15873" max="15873" width="10.125" style="3313" customWidth="1"/>
    <col min="15874" max="15874" width="5.125" style="3313" customWidth="1"/>
    <col min="15875" max="15877" width="7.625" style="3313" customWidth="1"/>
    <col min="15878" max="15925" width="6.5" style="3313" customWidth="1"/>
    <col min="15926" max="16128" width="9" style="3313"/>
    <col min="16129" max="16129" width="10.125" style="3313" customWidth="1"/>
    <col min="16130" max="16130" width="5.125" style="3313" customWidth="1"/>
    <col min="16131" max="16133" width="7.625" style="3313" customWidth="1"/>
    <col min="16134" max="16181" width="6.5" style="3313" customWidth="1"/>
    <col min="16182" max="16384" width="9" style="3313"/>
  </cols>
  <sheetData>
    <row r="1" spans="1:53">
      <c r="A1" s="3313" t="s">
        <v>3081</v>
      </c>
      <c r="B1" s="3313" t="s">
        <v>3082</v>
      </c>
      <c r="C1" s="3313" t="s">
        <v>3082</v>
      </c>
      <c r="F1" s="3593" t="s">
        <v>3083</v>
      </c>
      <c r="G1" s="3593"/>
      <c r="H1" s="3593"/>
      <c r="I1" s="3593"/>
      <c r="J1" s="3593" t="s">
        <v>3084</v>
      </c>
      <c r="K1" s="3593"/>
      <c r="L1" s="3593"/>
      <c r="M1" s="3593"/>
      <c r="N1" s="3593" t="s">
        <v>3085</v>
      </c>
      <c r="O1" s="3593"/>
      <c r="P1" s="3593"/>
      <c r="Q1" s="3593"/>
      <c r="R1" s="3593" t="s">
        <v>3086</v>
      </c>
      <c r="S1" s="3593"/>
      <c r="T1" s="3593"/>
      <c r="U1" s="3593"/>
      <c r="V1" s="3593" t="s">
        <v>3087</v>
      </c>
      <c r="W1" s="3593"/>
      <c r="X1" s="3593"/>
      <c r="Y1" s="3593"/>
      <c r="Z1" s="3593" t="s">
        <v>3088</v>
      </c>
      <c r="AA1" s="3593"/>
      <c r="AB1" s="3593"/>
      <c r="AC1" s="3593"/>
      <c r="AD1" s="3593" t="s">
        <v>3089</v>
      </c>
      <c r="AE1" s="3593"/>
      <c r="AF1" s="3593"/>
      <c r="AG1" s="3593"/>
      <c r="AH1" s="3593" t="s">
        <v>3090</v>
      </c>
      <c r="AI1" s="3593"/>
      <c r="AJ1" s="3593"/>
      <c r="AK1" s="3593"/>
      <c r="AL1" s="3593" t="s">
        <v>3091</v>
      </c>
      <c r="AM1" s="3593"/>
      <c r="AN1" s="3593"/>
      <c r="AO1" s="3593"/>
      <c r="AP1" s="3593" t="s">
        <v>3092</v>
      </c>
      <c r="AQ1" s="3593"/>
      <c r="AR1" s="3593"/>
      <c r="AS1" s="3593"/>
      <c r="AT1" s="3593" t="s">
        <v>3093</v>
      </c>
      <c r="AU1" s="3593"/>
      <c r="AV1" s="3593"/>
      <c r="AW1" s="3593"/>
      <c r="AX1" s="3593" t="s">
        <v>3094</v>
      </c>
      <c r="AY1" s="3593"/>
      <c r="AZ1" s="3593"/>
      <c r="BA1" s="3593"/>
    </row>
    <row r="2" spans="1:53" s="3314" customFormat="1" ht="53.25">
      <c r="A2" s="3314" t="s">
        <v>3095</v>
      </c>
      <c r="B2" s="3314" t="s">
        <v>2359</v>
      </c>
      <c r="C2" s="3314" t="s">
        <v>3096</v>
      </c>
      <c r="D2" s="3315" t="s">
        <v>3097</v>
      </c>
      <c r="E2" s="3315" t="s">
        <v>3098</v>
      </c>
      <c r="F2" s="3316" t="s">
        <v>3099</v>
      </c>
      <c r="G2" s="3316" t="s">
        <v>3100</v>
      </c>
      <c r="H2" s="3316" t="s">
        <v>3101</v>
      </c>
      <c r="I2" s="3316" t="s">
        <v>3102</v>
      </c>
      <c r="J2" s="3316" t="s">
        <v>3099</v>
      </c>
      <c r="K2" s="3316" t="s">
        <v>3100</v>
      </c>
      <c r="L2" s="3316" t="s">
        <v>3101</v>
      </c>
      <c r="M2" s="3316" t="s">
        <v>3102</v>
      </c>
      <c r="N2" s="3316" t="s">
        <v>3099</v>
      </c>
      <c r="O2" s="3316" t="s">
        <v>3100</v>
      </c>
      <c r="P2" s="3316" t="s">
        <v>3101</v>
      </c>
      <c r="Q2" s="3316" t="s">
        <v>3102</v>
      </c>
      <c r="R2" s="3316" t="s">
        <v>3099</v>
      </c>
      <c r="S2" s="3316" t="s">
        <v>3100</v>
      </c>
      <c r="T2" s="3316" t="s">
        <v>3101</v>
      </c>
      <c r="U2" s="3316" t="s">
        <v>3102</v>
      </c>
      <c r="V2" s="3316" t="s">
        <v>3099</v>
      </c>
      <c r="W2" s="3316" t="s">
        <v>3100</v>
      </c>
      <c r="X2" s="3316" t="s">
        <v>3101</v>
      </c>
      <c r="Y2" s="3316" t="s">
        <v>3102</v>
      </c>
      <c r="Z2" s="3316" t="s">
        <v>3099</v>
      </c>
      <c r="AA2" s="3316" t="s">
        <v>3100</v>
      </c>
      <c r="AB2" s="3316" t="s">
        <v>3101</v>
      </c>
      <c r="AC2" s="3316" t="s">
        <v>3102</v>
      </c>
      <c r="AD2" s="3316" t="s">
        <v>3099</v>
      </c>
      <c r="AE2" s="3316" t="s">
        <v>3100</v>
      </c>
      <c r="AF2" s="3316" t="s">
        <v>3101</v>
      </c>
      <c r="AG2" s="3316" t="s">
        <v>3102</v>
      </c>
      <c r="AH2" s="3316" t="s">
        <v>3099</v>
      </c>
      <c r="AI2" s="3316" t="s">
        <v>3100</v>
      </c>
      <c r="AJ2" s="3316" t="s">
        <v>3101</v>
      </c>
      <c r="AK2" s="3316" t="s">
        <v>3102</v>
      </c>
      <c r="AL2" s="3316" t="s">
        <v>3099</v>
      </c>
      <c r="AM2" s="3316" t="s">
        <v>3100</v>
      </c>
      <c r="AN2" s="3316" t="s">
        <v>3101</v>
      </c>
      <c r="AO2" s="3316" t="s">
        <v>3102</v>
      </c>
      <c r="AP2" s="3316" t="s">
        <v>3099</v>
      </c>
      <c r="AQ2" s="3316" t="s">
        <v>3100</v>
      </c>
      <c r="AR2" s="3316" t="s">
        <v>3101</v>
      </c>
      <c r="AS2" s="3316" t="s">
        <v>3102</v>
      </c>
      <c r="AT2" s="3316" t="s">
        <v>3099</v>
      </c>
      <c r="AU2" s="3316" t="s">
        <v>3100</v>
      </c>
      <c r="AV2" s="3316" t="s">
        <v>3101</v>
      </c>
      <c r="AW2" s="3316" t="s">
        <v>3102</v>
      </c>
      <c r="AX2" s="3316" t="s">
        <v>3099</v>
      </c>
      <c r="AY2" s="3316" t="s">
        <v>3100</v>
      </c>
      <c r="AZ2" s="3316" t="s">
        <v>3101</v>
      </c>
      <c r="BA2" s="3316" t="s">
        <v>3102</v>
      </c>
    </row>
    <row r="3" spans="1:53">
      <c r="A3" s="3313" t="s">
        <v>3081</v>
      </c>
      <c r="B3" s="3313">
        <v>1</v>
      </c>
      <c r="C3" s="3313" t="s">
        <v>3103</v>
      </c>
      <c r="D3" s="3313">
        <f>ROUND(E3*12/365,1)</f>
        <v>2.2000000000000002</v>
      </c>
      <c r="E3" s="3313">
        <f>(F3+J3+N3+R3+V3+Z3+AD3+AH3+AL3+AP3+AT3+AX3)/12</f>
        <v>66.731666666666669</v>
      </c>
      <c r="F3" s="3313">
        <v>67.59</v>
      </c>
      <c r="G3" s="3313">
        <v>4069</v>
      </c>
      <c r="H3" s="3313">
        <v>54797</v>
      </c>
      <c r="I3" s="3313" t="s">
        <v>3104</v>
      </c>
      <c r="J3" s="3313">
        <v>67.19</v>
      </c>
      <c r="K3" s="3313">
        <v>4216</v>
      </c>
      <c r="L3" s="3313">
        <v>56125</v>
      </c>
      <c r="M3" s="3313" t="s">
        <v>3105</v>
      </c>
      <c r="N3" s="3313">
        <v>66.72</v>
      </c>
      <c r="O3" s="3313">
        <v>4365</v>
      </c>
      <c r="P3" s="3313">
        <v>56114</v>
      </c>
      <c r="Q3" s="3313" t="s">
        <v>3106</v>
      </c>
      <c r="R3" s="3313">
        <v>66.59</v>
      </c>
      <c r="S3" s="3313">
        <v>4397</v>
      </c>
      <c r="T3" s="3313">
        <v>55412</v>
      </c>
      <c r="U3" s="3313" t="s">
        <v>3107</v>
      </c>
      <c r="V3" s="3313">
        <v>65.650000000000006</v>
      </c>
      <c r="W3" s="3313">
        <v>4381</v>
      </c>
      <c r="X3" s="3313">
        <v>53485</v>
      </c>
      <c r="Y3" s="3313" t="s">
        <v>3108</v>
      </c>
      <c r="Z3" s="3313">
        <v>64.7</v>
      </c>
      <c r="AA3" s="3313">
        <v>4160</v>
      </c>
      <c r="AB3" s="3313">
        <v>53094</v>
      </c>
      <c r="AC3" s="3313" t="s">
        <v>3109</v>
      </c>
      <c r="AD3" s="3313">
        <v>66.59</v>
      </c>
      <c r="AE3" s="3313">
        <v>4305</v>
      </c>
      <c r="AF3" s="3313">
        <v>53321</v>
      </c>
      <c r="AG3" s="3313" t="s">
        <v>3110</v>
      </c>
      <c r="AH3" s="3313">
        <v>66.290000000000006</v>
      </c>
      <c r="AI3" s="3313">
        <v>4321</v>
      </c>
      <c r="AJ3" s="3313">
        <v>52652</v>
      </c>
      <c r="AK3" s="3313" t="s">
        <v>3111</v>
      </c>
      <c r="AL3" s="3313">
        <v>66.319999999999993</v>
      </c>
      <c r="AM3" s="3313">
        <v>4199</v>
      </c>
      <c r="AN3" s="3313">
        <v>52407</v>
      </c>
      <c r="AO3" s="3313" t="s">
        <v>3112</v>
      </c>
      <c r="AP3" s="3313">
        <v>66.33</v>
      </c>
      <c r="AQ3" s="3313">
        <v>3708</v>
      </c>
      <c r="AR3" s="3313">
        <v>51583</v>
      </c>
      <c r="AS3" s="3313" t="s">
        <v>3113</v>
      </c>
      <c r="AT3" s="3313">
        <v>67.849999999999994</v>
      </c>
      <c r="AU3" s="3313">
        <v>4053</v>
      </c>
      <c r="AV3" s="3313">
        <v>52696</v>
      </c>
      <c r="AW3" s="3313" t="s">
        <v>3114</v>
      </c>
      <c r="AX3" s="3313">
        <v>68.959999999999994</v>
      </c>
      <c r="AY3" s="3313">
        <v>3708</v>
      </c>
      <c r="AZ3" s="3313">
        <v>52961</v>
      </c>
      <c r="BA3" s="3313" t="s">
        <v>3115</v>
      </c>
    </row>
    <row r="4" spans="1:53">
      <c r="A4" s="3313" t="s">
        <v>3081</v>
      </c>
      <c r="B4" s="3313">
        <v>2</v>
      </c>
      <c r="C4" s="3313" t="s">
        <v>3116</v>
      </c>
      <c r="D4" s="3313">
        <f t="shared" ref="D4:D18" si="0">ROUND(E4*12/365,1)</f>
        <v>1.8</v>
      </c>
      <c r="E4" s="3313">
        <f t="shared" ref="E4:E18" si="1">(F4+J4+N4+R4+V4+Z4+AD4+AH4+AL4+AP4+AT4+AX4)/12</f>
        <v>55.425000000000004</v>
      </c>
      <c r="F4" s="3313">
        <v>55.8</v>
      </c>
      <c r="G4" s="3313">
        <v>3398</v>
      </c>
      <c r="H4" s="3313">
        <v>33467</v>
      </c>
      <c r="I4" s="3313" t="s">
        <v>3117</v>
      </c>
      <c r="J4" s="3313">
        <v>55.31</v>
      </c>
      <c r="K4" s="3313">
        <v>3164</v>
      </c>
      <c r="L4" s="3313">
        <v>33644</v>
      </c>
      <c r="M4" s="3313" t="s">
        <v>3118</v>
      </c>
      <c r="N4" s="3313">
        <v>55.01</v>
      </c>
      <c r="O4" s="3313">
        <v>3193</v>
      </c>
      <c r="P4" s="3313">
        <v>34008</v>
      </c>
      <c r="Q4" s="3313" t="s">
        <v>3119</v>
      </c>
      <c r="R4" s="3313">
        <v>54.41</v>
      </c>
      <c r="S4" s="3313">
        <v>3211</v>
      </c>
      <c r="T4" s="3313">
        <v>33537</v>
      </c>
      <c r="U4" s="3313" t="s">
        <v>3120</v>
      </c>
      <c r="V4" s="3313">
        <v>54.83</v>
      </c>
      <c r="W4" s="3313">
        <v>3141</v>
      </c>
      <c r="X4" s="3313">
        <v>33060</v>
      </c>
      <c r="Y4" s="3313" t="s">
        <v>3121</v>
      </c>
      <c r="Z4" s="3313">
        <v>54.7</v>
      </c>
      <c r="AA4" s="3313">
        <v>3135</v>
      </c>
      <c r="AB4" s="3313">
        <v>32493</v>
      </c>
      <c r="AC4" s="3313" t="s">
        <v>3122</v>
      </c>
      <c r="AD4" s="3313">
        <v>54.09</v>
      </c>
      <c r="AE4" s="3313">
        <v>3581</v>
      </c>
      <c r="AF4" s="3313">
        <v>34062</v>
      </c>
      <c r="AG4" s="3313" t="s">
        <v>3123</v>
      </c>
      <c r="AH4" s="3313">
        <v>55.24</v>
      </c>
      <c r="AI4" s="3313">
        <v>4025</v>
      </c>
      <c r="AJ4" s="3313">
        <v>34599</v>
      </c>
      <c r="AK4" s="3313" t="s">
        <v>3124</v>
      </c>
      <c r="AL4" s="3313">
        <v>55.15</v>
      </c>
      <c r="AM4" s="3313">
        <v>3782</v>
      </c>
      <c r="AN4" s="3313">
        <v>34051</v>
      </c>
      <c r="AO4" s="3313" t="s">
        <v>3125</v>
      </c>
      <c r="AP4" s="3313">
        <v>56.25</v>
      </c>
      <c r="AQ4" s="3313">
        <v>2961</v>
      </c>
      <c r="AR4" s="3313">
        <v>32410</v>
      </c>
      <c r="AS4" s="3313" t="s">
        <v>3126</v>
      </c>
      <c r="AT4" s="3313">
        <v>56.49</v>
      </c>
      <c r="AU4" s="3313">
        <v>3496</v>
      </c>
      <c r="AV4" s="3313">
        <v>32952</v>
      </c>
      <c r="AW4" s="3313" t="s">
        <v>3127</v>
      </c>
      <c r="AX4" s="3313">
        <v>57.82</v>
      </c>
      <c r="AY4" s="3313">
        <v>2980</v>
      </c>
      <c r="AZ4" s="3313">
        <v>32538</v>
      </c>
      <c r="BA4" s="3313" t="s">
        <v>3128</v>
      </c>
    </row>
    <row r="5" spans="1:53">
      <c r="A5" s="3313" t="s">
        <v>3081</v>
      </c>
      <c r="B5" s="3313">
        <v>3</v>
      </c>
      <c r="C5" s="3313" t="s">
        <v>3129</v>
      </c>
      <c r="D5" s="3313">
        <f t="shared" si="0"/>
        <v>1.7</v>
      </c>
      <c r="E5" s="3313">
        <f t="shared" si="1"/>
        <v>50.84</v>
      </c>
      <c r="F5" s="3313">
        <v>50.97</v>
      </c>
      <c r="G5" s="3313">
        <v>3185</v>
      </c>
      <c r="H5" s="3313">
        <v>34128</v>
      </c>
      <c r="I5" s="3313" t="s">
        <v>3130</v>
      </c>
      <c r="J5" s="3313">
        <v>50.61</v>
      </c>
      <c r="K5" s="3313">
        <v>3175</v>
      </c>
      <c r="L5" s="3313">
        <v>34175</v>
      </c>
      <c r="M5" s="3313" t="s">
        <v>3131</v>
      </c>
      <c r="N5" s="3313">
        <v>50.25</v>
      </c>
      <c r="O5" s="3313">
        <v>3223</v>
      </c>
      <c r="P5" s="3313">
        <v>34342</v>
      </c>
      <c r="Q5" s="3313" t="s">
        <v>3132</v>
      </c>
      <c r="R5" s="3313">
        <v>50.21</v>
      </c>
      <c r="S5" s="3313">
        <v>3079</v>
      </c>
      <c r="T5" s="3313">
        <v>33429</v>
      </c>
      <c r="U5" s="3313" t="s">
        <v>3133</v>
      </c>
      <c r="V5" s="3313">
        <v>50.21</v>
      </c>
      <c r="W5" s="3313">
        <v>2977</v>
      </c>
      <c r="X5" s="3313">
        <v>33138</v>
      </c>
      <c r="Y5" s="3313" t="s">
        <v>3134</v>
      </c>
      <c r="Z5" s="3313">
        <v>50.68</v>
      </c>
      <c r="AA5" s="3313">
        <v>2928</v>
      </c>
      <c r="AB5" s="3313">
        <v>33121</v>
      </c>
      <c r="AC5" s="3313" t="s">
        <v>3135</v>
      </c>
      <c r="AD5" s="3313">
        <v>50.87</v>
      </c>
      <c r="AE5" s="3313">
        <v>3324</v>
      </c>
      <c r="AF5" s="3313">
        <v>33483</v>
      </c>
      <c r="AG5" s="3313" t="s">
        <v>3136</v>
      </c>
      <c r="AH5" s="3313">
        <v>49.98</v>
      </c>
      <c r="AI5" s="3313">
        <v>3437</v>
      </c>
      <c r="AJ5" s="3313">
        <v>33457</v>
      </c>
      <c r="AK5" s="3313" t="s">
        <v>3130</v>
      </c>
      <c r="AL5" s="3313">
        <v>49.85</v>
      </c>
      <c r="AM5" s="3313">
        <v>3331</v>
      </c>
      <c r="AN5" s="3313">
        <v>32765</v>
      </c>
      <c r="AO5" s="3313" t="s">
        <v>3137</v>
      </c>
      <c r="AP5" s="3313">
        <v>51.86</v>
      </c>
      <c r="AQ5" s="3313">
        <v>2959</v>
      </c>
      <c r="AR5" s="3313">
        <v>32400</v>
      </c>
      <c r="AS5" s="3313" t="s">
        <v>3138</v>
      </c>
      <c r="AT5" s="3313">
        <v>51.04</v>
      </c>
      <c r="AU5" s="3313">
        <v>3346</v>
      </c>
      <c r="AV5" s="3313">
        <v>32525</v>
      </c>
      <c r="AW5" s="3313" t="s">
        <v>3139</v>
      </c>
      <c r="AX5" s="3313">
        <v>53.55</v>
      </c>
      <c r="AY5" s="3313">
        <v>2877</v>
      </c>
      <c r="AZ5" s="3313">
        <v>33319</v>
      </c>
      <c r="BA5" s="3313" t="s">
        <v>3140</v>
      </c>
    </row>
    <row r="6" spans="1:53">
      <c r="A6" s="3313" t="s">
        <v>3081</v>
      </c>
      <c r="B6" s="3313">
        <v>4</v>
      </c>
      <c r="C6" s="3313" t="s">
        <v>3141</v>
      </c>
      <c r="D6" s="3313">
        <f t="shared" si="0"/>
        <v>1.5</v>
      </c>
      <c r="E6" s="3313">
        <f t="shared" si="1"/>
        <v>47.135833333333345</v>
      </c>
      <c r="F6" s="3313">
        <v>48.11</v>
      </c>
      <c r="G6" s="3313">
        <v>2784</v>
      </c>
      <c r="H6" s="3313">
        <v>26087</v>
      </c>
      <c r="I6" s="3313" t="s">
        <v>3142</v>
      </c>
      <c r="J6" s="3313">
        <v>46.56</v>
      </c>
      <c r="K6" s="3313">
        <v>2721</v>
      </c>
      <c r="L6" s="3313">
        <v>26133</v>
      </c>
      <c r="M6" s="3313" t="s">
        <v>3143</v>
      </c>
      <c r="N6" s="3313">
        <v>45.81</v>
      </c>
      <c r="O6" s="3313">
        <v>2599</v>
      </c>
      <c r="P6" s="3313">
        <v>25718</v>
      </c>
      <c r="Q6" s="3313" t="s">
        <v>3143</v>
      </c>
      <c r="R6" s="3313">
        <v>45.66</v>
      </c>
      <c r="S6" s="3313">
        <v>2440</v>
      </c>
      <c r="T6" s="3313">
        <v>25917</v>
      </c>
      <c r="U6" s="3313" t="s">
        <v>3144</v>
      </c>
      <c r="V6" s="3313">
        <v>46.83</v>
      </c>
      <c r="W6" s="3313">
        <v>2528</v>
      </c>
      <c r="X6" s="3313">
        <v>25686</v>
      </c>
      <c r="Y6" s="3313" t="s">
        <v>3145</v>
      </c>
      <c r="Z6" s="3313">
        <v>47.01</v>
      </c>
      <c r="AA6" s="3313">
        <v>2591</v>
      </c>
      <c r="AB6" s="3313">
        <v>25405</v>
      </c>
      <c r="AC6" s="3313" t="s">
        <v>3146</v>
      </c>
      <c r="AD6" s="3313">
        <v>46.2</v>
      </c>
      <c r="AE6" s="3313">
        <v>3002</v>
      </c>
      <c r="AF6" s="3313">
        <v>26795</v>
      </c>
      <c r="AG6" s="3313" t="s">
        <v>3147</v>
      </c>
      <c r="AH6" s="3313">
        <v>46.6</v>
      </c>
      <c r="AI6" s="3313">
        <v>3104</v>
      </c>
      <c r="AJ6" s="3313">
        <v>26680</v>
      </c>
      <c r="AK6" s="3313" t="s">
        <v>3148</v>
      </c>
      <c r="AL6" s="3313">
        <v>46.78</v>
      </c>
      <c r="AM6" s="3313">
        <v>2951</v>
      </c>
      <c r="AN6" s="3313">
        <v>25935</v>
      </c>
      <c r="AO6" s="3313" t="s">
        <v>3149</v>
      </c>
      <c r="AP6" s="3313">
        <v>47.84</v>
      </c>
      <c r="AQ6" s="3313">
        <v>2506</v>
      </c>
      <c r="AR6" s="3313">
        <v>25940</v>
      </c>
      <c r="AS6" s="3313" t="s">
        <v>3142</v>
      </c>
      <c r="AT6" s="3313">
        <v>48.1</v>
      </c>
      <c r="AU6" s="3313">
        <v>2908</v>
      </c>
      <c r="AV6" s="3313">
        <v>26347</v>
      </c>
      <c r="AW6" s="3313" t="s">
        <v>3150</v>
      </c>
      <c r="AX6" s="3313">
        <v>50.13</v>
      </c>
      <c r="AY6" s="3313">
        <v>2433</v>
      </c>
      <c r="AZ6" s="3313">
        <v>25715</v>
      </c>
      <c r="BA6" s="3313" t="s">
        <v>3151</v>
      </c>
    </row>
    <row r="7" spans="1:53">
      <c r="A7" s="3313" t="s">
        <v>3081</v>
      </c>
      <c r="B7" s="3313">
        <v>5</v>
      </c>
      <c r="C7" s="3313" t="s">
        <v>3152</v>
      </c>
      <c r="D7" s="3313">
        <f t="shared" si="0"/>
        <v>1.4</v>
      </c>
      <c r="E7" s="3313">
        <f t="shared" si="1"/>
        <v>43.457500000000003</v>
      </c>
      <c r="F7" s="3313">
        <v>43.98</v>
      </c>
      <c r="G7" s="3313">
        <v>2352</v>
      </c>
      <c r="H7" s="3313">
        <v>25174</v>
      </c>
      <c r="I7" s="3313" t="s">
        <v>3148</v>
      </c>
      <c r="J7" s="3313">
        <v>43.71</v>
      </c>
      <c r="K7" s="3313">
        <v>2365</v>
      </c>
      <c r="L7" s="3313">
        <v>26127</v>
      </c>
      <c r="M7" s="3313" t="s">
        <v>3153</v>
      </c>
      <c r="N7" s="3313">
        <v>43.15</v>
      </c>
      <c r="O7" s="3313">
        <v>2267</v>
      </c>
      <c r="P7" s="3313">
        <v>26052</v>
      </c>
      <c r="Q7" s="3313" t="s">
        <v>3154</v>
      </c>
      <c r="R7" s="3313">
        <v>42.3</v>
      </c>
      <c r="S7" s="3313">
        <v>2024</v>
      </c>
      <c r="T7" s="3313">
        <v>25316</v>
      </c>
      <c r="U7" s="3313" t="s">
        <v>3155</v>
      </c>
      <c r="V7" s="3313">
        <v>43.21</v>
      </c>
      <c r="W7" s="3313">
        <v>2136</v>
      </c>
      <c r="X7" s="3313">
        <v>24834</v>
      </c>
      <c r="Y7" s="3313" t="s">
        <v>3156</v>
      </c>
      <c r="Z7" s="3313">
        <v>44.14</v>
      </c>
      <c r="AA7" s="3313">
        <v>2284</v>
      </c>
      <c r="AB7" s="3313">
        <v>25023</v>
      </c>
      <c r="AC7" s="3313" t="s">
        <v>3157</v>
      </c>
      <c r="AD7" s="3313">
        <v>42.12</v>
      </c>
      <c r="AE7" s="3313">
        <v>2534</v>
      </c>
      <c r="AF7" s="3313">
        <v>26231</v>
      </c>
      <c r="AG7" s="3313" t="s">
        <v>3140</v>
      </c>
      <c r="AH7" s="3313">
        <v>41.97</v>
      </c>
      <c r="AI7" s="3313">
        <v>2613</v>
      </c>
      <c r="AJ7" s="3313">
        <v>26341</v>
      </c>
      <c r="AK7" s="3313" t="s">
        <v>3158</v>
      </c>
      <c r="AL7" s="3313">
        <v>42.28</v>
      </c>
      <c r="AM7" s="3313">
        <v>2388</v>
      </c>
      <c r="AN7" s="3313">
        <v>25008</v>
      </c>
      <c r="AO7" s="3313" t="s">
        <v>3159</v>
      </c>
      <c r="AP7" s="3313">
        <v>44.66</v>
      </c>
      <c r="AQ7" s="3313">
        <v>1983</v>
      </c>
      <c r="AR7" s="3313">
        <v>25256</v>
      </c>
      <c r="AS7" s="3313" t="s">
        <v>3160</v>
      </c>
      <c r="AT7" s="3313">
        <v>43.7</v>
      </c>
      <c r="AU7" s="3313">
        <v>2455</v>
      </c>
      <c r="AV7" s="3313">
        <v>25332</v>
      </c>
      <c r="AW7" s="3313" t="s">
        <v>3147</v>
      </c>
      <c r="AX7" s="3313">
        <v>46.27</v>
      </c>
      <c r="AY7" s="3313">
        <v>2254</v>
      </c>
      <c r="AZ7" s="3313">
        <v>24938</v>
      </c>
      <c r="BA7" s="3313" t="s">
        <v>3161</v>
      </c>
    </row>
    <row r="8" spans="1:53">
      <c r="A8" s="3313" t="s">
        <v>3081</v>
      </c>
      <c r="B8" s="3313">
        <v>6</v>
      </c>
      <c r="C8" s="3313" t="s">
        <v>3162</v>
      </c>
      <c r="D8" s="3313">
        <f t="shared" si="0"/>
        <v>1.4</v>
      </c>
      <c r="E8" s="3313">
        <f t="shared" si="1"/>
        <v>42.408333333333331</v>
      </c>
      <c r="F8" s="3313">
        <v>42.8</v>
      </c>
      <c r="G8" s="3313">
        <v>2240</v>
      </c>
      <c r="H8" s="3313">
        <v>24597</v>
      </c>
      <c r="I8" s="3313" t="s">
        <v>3156</v>
      </c>
      <c r="J8" s="3313">
        <v>42.32</v>
      </c>
      <c r="K8" s="3313">
        <v>2180</v>
      </c>
      <c r="L8" s="3313">
        <v>24847</v>
      </c>
      <c r="M8" s="3313" t="s">
        <v>3163</v>
      </c>
      <c r="N8" s="3313">
        <v>41.59</v>
      </c>
      <c r="O8" s="3313">
        <v>2147</v>
      </c>
      <c r="P8" s="3313">
        <v>24787</v>
      </c>
      <c r="Q8" s="3313" t="s">
        <v>3164</v>
      </c>
      <c r="R8" s="3313">
        <v>41.71</v>
      </c>
      <c r="S8" s="3313">
        <v>2055</v>
      </c>
      <c r="T8" s="3313">
        <v>24780</v>
      </c>
      <c r="U8" s="3313" t="s">
        <v>3122</v>
      </c>
      <c r="V8" s="3313">
        <v>42.68</v>
      </c>
      <c r="W8" s="3313">
        <v>2163</v>
      </c>
      <c r="X8" s="3313">
        <v>25159</v>
      </c>
      <c r="Y8" s="3313" t="s">
        <v>3165</v>
      </c>
      <c r="Z8" s="3313">
        <v>42.7</v>
      </c>
      <c r="AA8" s="3313">
        <v>2184</v>
      </c>
      <c r="AB8" s="3313">
        <v>24623</v>
      </c>
      <c r="AC8" s="3313" t="s">
        <v>3126</v>
      </c>
      <c r="AD8" s="3313">
        <v>41.22</v>
      </c>
      <c r="AE8" s="3313">
        <v>2412</v>
      </c>
      <c r="AF8" s="3313">
        <v>25227</v>
      </c>
      <c r="AG8" s="3313" t="s">
        <v>3166</v>
      </c>
      <c r="AH8" s="3313">
        <v>41.63</v>
      </c>
      <c r="AI8" s="3313">
        <v>2320</v>
      </c>
      <c r="AJ8" s="3313">
        <v>24956</v>
      </c>
      <c r="AK8" s="3313" t="s">
        <v>3117</v>
      </c>
      <c r="AL8" s="3313">
        <v>42.01</v>
      </c>
      <c r="AM8" s="3313">
        <v>2309</v>
      </c>
      <c r="AN8" s="3313">
        <v>25001</v>
      </c>
      <c r="AO8" s="3313" t="s">
        <v>3164</v>
      </c>
      <c r="AP8" s="3313">
        <v>42.37</v>
      </c>
      <c r="AQ8" s="3313">
        <v>2185</v>
      </c>
      <c r="AR8" s="3313">
        <v>25139</v>
      </c>
      <c r="AS8" s="3313" t="s">
        <v>3167</v>
      </c>
      <c r="AT8" s="3313">
        <v>42.28</v>
      </c>
      <c r="AU8" s="3313">
        <v>2398</v>
      </c>
      <c r="AV8" s="3313">
        <v>25457</v>
      </c>
      <c r="AW8" s="3313" t="s">
        <v>3121</v>
      </c>
      <c r="AX8" s="3313">
        <v>45.59</v>
      </c>
      <c r="AY8" s="3313">
        <v>2211</v>
      </c>
      <c r="AZ8" s="3313">
        <v>26370</v>
      </c>
      <c r="BA8" s="3313" t="s">
        <v>3168</v>
      </c>
    </row>
    <row r="9" spans="1:53">
      <c r="A9" s="3313" t="s">
        <v>3081</v>
      </c>
      <c r="B9" s="3313">
        <v>7</v>
      </c>
      <c r="C9" s="3313" t="s">
        <v>3169</v>
      </c>
      <c r="D9" s="3313">
        <f t="shared" si="0"/>
        <v>1.2</v>
      </c>
      <c r="E9" s="3313">
        <f t="shared" si="1"/>
        <v>36.037500000000001</v>
      </c>
      <c r="F9" s="3313">
        <v>41.39</v>
      </c>
      <c r="G9" s="3313">
        <v>3967</v>
      </c>
      <c r="H9" s="3313">
        <v>11232</v>
      </c>
      <c r="I9" s="3313" t="s">
        <v>3170</v>
      </c>
      <c r="J9" s="3313">
        <v>39.26</v>
      </c>
      <c r="K9" s="3313">
        <v>3719</v>
      </c>
      <c r="L9" s="3313">
        <v>11187</v>
      </c>
      <c r="M9" s="3313" t="s">
        <v>3171</v>
      </c>
      <c r="N9" s="3313">
        <v>52</v>
      </c>
      <c r="O9" s="3313">
        <v>5545</v>
      </c>
      <c r="P9" s="3313">
        <v>11585</v>
      </c>
      <c r="Q9" s="3313" t="s">
        <v>3172</v>
      </c>
      <c r="R9" s="3313">
        <v>48.23</v>
      </c>
      <c r="S9" s="3313">
        <v>4650</v>
      </c>
      <c r="T9" s="3313">
        <v>11694</v>
      </c>
      <c r="U9" s="3313" t="s">
        <v>3173</v>
      </c>
      <c r="V9" s="3313">
        <v>32.9</v>
      </c>
      <c r="W9" s="3313">
        <v>2811</v>
      </c>
      <c r="X9" s="3313">
        <v>11342</v>
      </c>
      <c r="Y9" s="3313" t="s">
        <v>3174</v>
      </c>
      <c r="Z9" s="3313">
        <v>31.19</v>
      </c>
      <c r="AA9" s="3313">
        <v>2485</v>
      </c>
      <c r="AB9" s="3313">
        <v>11618</v>
      </c>
      <c r="AC9" s="3313" t="s">
        <v>3175</v>
      </c>
      <c r="AD9" s="3313">
        <v>28.97</v>
      </c>
      <c r="AE9" s="3313">
        <v>2338</v>
      </c>
      <c r="AF9" s="3313">
        <v>11239</v>
      </c>
      <c r="AG9" s="3313" t="s">
        <v>3176</v>
      </c>
      <c r="AH9" s="3313">
        <v>28.97</v>
      </c>
      <c r="AI9" s="3313">
        <v>2380</v>
      </c>
      <c r="AJ9" s="3313">
        <v>11219</v>
      </c>
      <c r="AK9" s="3313" t="s">
        <v>3176</v>
      </c>
      <c r="AL9" s="3313">
        <v>27.79</v>
      </c>
      <c r="AM9" s="3313">
        <v>2094</v>
      </c>
      <c r="AN9" s="3313">
        <v>11398</v>
      </c>
      <c r="AO9" s="3313" t="s">
        <v>3177</v>
      </c>
      <c r="AP9" s="3313">
        <v>33.94</v>
      </c>
      <c r="AQ9" s="3313">
        <v>2320</v>
      </c>
      <c r="AR9" s="3313">
        <v>11320</v>
      </c>
      <c r="AS9" s="3313" t="s">
        <v>3178</v>
      </c>
      <c r="AT9" s="3313">
        <v>31.31</v>
      </c>
      <c r="AU9" s="3313">
        <v>2544</v>
      </c>
      <c r="AV9" s="3313">
        <v>12189</v>
      </c>
      <c r="AW9" s="3313" t="s">
        <v>3179</v>
      </c>
      <c r="AX9" s="3313">
        <v>36.5</v>
      </c>
      <c r="AY9" s="3313">
        <v>3109</v>
      </c>
      <c r="AZ9" s="3313">
        <v>12410</v>
      </c>
      <c r="BA9" s="3313" t="s">
        <v>3180</v>
      </c>
    </row>
    <row r="10" spans="1:53">
      <c r="A10" s="3313" t="s">
        <v>3081</v>
      </c>
      <c r="B10" s="3313">
        <v>8</v>
      </c>
      <c r="C10" s="3313" t="s">
        <v>3181</v>
      </c>
      <c r="D10" s="3313">
        <f t="shared" si="0"/>
        <v>1.2</v>
      </c>
      <c r="E10" s="3313">
        <f t="shared" si="1"/>
        <v>36.479166666666664</v>
      </c>
      <c r="F10" s="3313">
        <v>36.79</v>
      </c>
      <c r="G10" s="3313">
        <v>3172</v>
      </c>
      <c r="H10" s="3313">
        <v>22065</v>
      </c>
      <c r="I10" s="3313" t="s">
        <v>3117</v>
      </c>
      <c r="J10" s="3313">
        <v>35.53</v>
      </c>
      <c r="K10" s="3313">
        <v>3196</v>
      </c>
      <c r="L10" s="3313">
        <v>22205</v>
      </c>
      <c r="M10" s="3313" t="s">
        <v>3138</v>
      </c>
      <c r="N10" s="3313">
        <v>35.380000000000003</v>
      </c>
      <c r="O10" s="3313">
        <v>3024</v>
      </c>
      <c r="P10" s="3313">
        <v>22533</v>
      </c>
      <c r="Q10" s="3313" t="s">
        <v>3182</v>
      </c>
      <c r="R10" s="3313">
        <v>35.6</v>
      </c>
      <c r="S10" s="3313">
        <v>2989</v>
      </c>
      <c r="T10" s="3313">
        <v>22120</v>
      </c>
      <c r="U10" s="3313" t="s">
        <v>3183</v>
      </c>
      <c r="V10" s="3313">
        <v>36.380000000000003</v>
      </c>
      <c r="W10" s="3313">
        <v>2812</v>
      </c>
      <c r="X10" s="3313">
        <v>22344</v>
      </c>
      <c r="Y10" s="3313" t="s">
        <v>3184</v>
      </c>
      <c r="Z10" s="3313">
        <v>37.06</v>
      </c>
      <c r="AA10" s="3313">
        <v>2922</v>
      </c>
      <c r="AB10" s="3313">
        <v>21511</v>
      </c>
      <c r="AC10" s="3313" t="s">
        <v>3185</v>
      </c>
      <c r="AD10" s="3313">
        <v>35.340000000000003</v>
      </c>
      <c r="AE10" s="3313">
        <v>2838</v>
      </c>
      <c r="AF10" s="3313">
        <v>21625</v>
      </c>
      <c r="AG10" s="3313" t="s">
        <v>3186</v>
      </c>
      <c r="AH10" s="3313">
        <v>35.97</v>
      </c>
      <c r="AI10" s="3313">
        <v>2866</v>
      </c>
      <c r="AJ10" s="3313">
        <v>21400</v>
      </c>
      <c r="AK10" s="3313" t="s">
        <v>3122</v>
      </c>
      <c r="AL10" s="3313">
        <v>36.14</v>
      </c>
      <c r="AM10" s="3313">
        <v>2826</v>
      </c>
      <c r="AN10" s="3313">
        <v>21640</v>
      </c>
      <c r="AO10" s="3313" t="s">
        <v>3155</v>
      </c>
      <c r="AP10" s="3313">
        <v>35.799999999999997</v>
      </c>
      <c r="AQ10" s="3313">
        <v>2749</v>
      </c>
      <c r="AR10" s="3313">
        <v>21875</v>
      </c>
      <c r="AS10" s="3313" t="s">
        <v>3186</v>
      </c>
      <c r="AT10" s="3313">
        <v>37.1</v>
      </c>
      <c r="AU10" s="3313">
        <v>3099</v>
      </c>
      <c r="AV10" s="3313">
        <v>21358</v>
      </c>
      <c r="AW10" s="3313" t="s">
        <v>3187</v>
      </c>
      <c r="AX10" s="3313">
        <v>40.659999999999997</v>
      </c>
      <c r="AY10" s="3313">
        <v>3141</v>
      </c>
      <c r="AZ10" s="3313">
        <v>21344</v>
      </c>
      <c r="BA10" s="3313" t="s">
        <v>3188</v>
      </c>
    </row>
    <row r="11" spans="1:53">
      <c r="A11" s="3313" t="s">
        <v>3081</v>
      </c>
      <c r="B11" s="3313">
        <v>9</v>
      </c>
      <c r="C11" s="3313" t="s">
        <v>3189</v>
      </c>
      <c r="D11" s="3313">
        <f t="shared" si="0"/>
        <v>1.1000000000000001</v>
      </c>
      <c r="E11" s="3313">
        <f t="shared" si="1"/>
        <v>34.363333333333337</v>
      </c>
      <c r="F11" s="3313">
        <v>34.4</v>
      </c>
      <c r="G11" s="3313">
        <v>2366</v>
      </c>
      <c r="H11" s="3313">
        <v>18029</v>
      </c>
      <c r="I11" s="3313" t="s">
        <v>3188</v>
      </c>
      <c r="J11" s="3313">
        <v>33.1</v>
      </c>
      <c r="K11" s="3313">
        <v>2317</v>
      </c>
      <c r="L11" s="3313">
        <v>18649</v>
      </c>
      <c r="M11" s="3313" t="s">
        <v>3190</v>
      </c>
      <c r="N11" s="3313">
        <v>33.89</v>
      </c>
      <c r="O11" s="3313">
        <v>2316</v>
      </c>
      <c r="P11" s="3313">
        <v>18899</v>
      </c>
      <c r="Q11" s="3313" t="s">
        <v>3191</v>
      </c>
      <c r="R11" s="3313">
        <v>34.64</v>
      </c>
      <c r="S11" s="3313">
        <v>2218</v>
      </c>
      <c r="T11" s="3313">
        <v>18700</v>
      </c>
      <c r="U11" s="3313" t="s">
        <v>3192</v>
      </c>
      <c r="V11" s="3313">
        <v>34.93</v>
      </c>
      <c r="W11" s="3313">
        <v>2185</v>
      </c>
      <c r="X11" s="3313">
        <v>18521</v>
      </c>
      <c r="Y11" s="3313" t="s">
        <v>3193</v>
      </c>
      <c r="Z11" s="3313">
        <v>34.15</v>
      </c>
      <c r="AA11" s="3313">
        <v>2154</v>
      </c>
      <c r="AB11" s="3313">
        <v>18044</v>
      </c>
      <c r="AC11" s="3313" t="s">
        <v>3194</v>
      </c>
      <c r="AD11" s="3313">
        <v>33.520000000000003</v>
      </c>
      <c r="AE11" s="3313">
        <v>2099</v>
      </c>
      <c r="AF11" s="3313">
        <v>18000</v>
      </c>
      <c r="AG11" s="3313" t="s">
        <v>3195</v>
      </c>
      <c r="AH11" s="3313">
        <v>34.299999999999997</v>
      </c>
      <c r="AI11" s="3313">
        <v>2149</v>
      </c>
      <c r="AJ11" s="3313">
        <v>17890</v>
      </c>
      <c r="AK11" s="3313" t="s">
        <v>3196</v>
      </c>
      <c r="AL11" s="3313">
        <v>33.049999999999997</v>
      </c>
      <c r="AM11" s="3313">
        <v>2042</v>
      </c>
      <c r="AN11" s="3313">
        <v>17756</v>
      </c>
      <c r="AO11" s="3313" t="s">
        <v>3195</v>
      </c>
      <c r="AP11" s="3313">
        <v>34.840000000000003</v>
      </c>
      <c r="AQ11" s="3313">
        <v>2044</v>
      </c>
      <c r="AR11" s="3313">
        <v>17956</v>
      </c>
      <c r="AS11" s="3313" t="s">
        <v>3197</v>
      </c>
      <c r="AT11" s="3313">
        <v>34.24</v>
      </c>
      <c r="AU11" s="3313">
        <v>2326</v>
      </c>
      <c r="AV11" s="3313">
        <v>17835</v>
      </c>
      <c r="AW11" s="3313" t="s">
        <v>3198</v>
      </c>
      <c r="AX11" s="3313">
        <v>37.299999999999997</v>
      </c>
      <c r="AY11" s="3313">
        <v>2442</v>
      </c>
      <c r="AZ11" s="3313">
        <v>19291</v>
      </c>
      <c r="BA11" s="3313" t="s">
        <v>3199</v>
      </c>
    </row>
    <row r="12" spans="1:53">
      <c r="A12" s="3313" t="s">
        <v>3081</v>
      </c>
      <c r="B12" s="3313">
        <v>10</v>
      </c>
      <c r="C12" s="3313" t="s">
        <v>3200</v>
      </c>
      <c r="D12" s="3313">
        <f t="shared" si="0"/>
        <v>1</v>
      </c>
      <c r="E12" s="3313">
        <f t="shared" si="1"/>
        <v>31.92583333333333</v>
      </c>
      <c r="F12" s="3313">
        <v>31.39</v>
      </c>
      <c r="G12" s="3313">
        <v>2340</v>
      </c>
      <c r="H12" s="3313">
        <v>18715</v>
      </c>
      <c r="I12" s="3313" t="s">
        <v>3201</v>
      </c>
      <c r="J12" s="3313">
        <v>30.32</v>
      </c>
      <c r="K12" s="3313">
        <v>2167</v>
      </c>
      <c r="L12" s="3313">
        <v>18675</v>
      </c>
      <c r="M12" s="3313" t="s">
        <v>3202</v>
      </c>
      <c r="N12" s="3313">
        <v>30.46</v>
      </c>
      <c r="O12" s="3313">
        <v>2205</v>
      </c>
      <c r="P12" s="3313">
        <v>18744</v>
      </c>
      <c r="Q12" s="3313" t="s">
        <v>3202</v>
      </c>
      <c r="R12" s="3313">
        <v>31.46</v>
      </c>
      <c r="S12" s="3313">
        <v>2215</v>
      </c>
      <c r="T12" s="3313">
        <v>18381</v>
      </c>
      <c r="U12" s="3313" t="s">
        <v>3203</v>
      </c>
      <c r="V12" s="3313">
        <v>30.7</v>
      </c>
      <c r="W12" s="3313">
        <v>2212</v>
      </c>
      <c r="X12" s="3313">
        <v>18956</v>
      </c>
      <c r="Y12" s="3313" t="s">
        <v>3125</v>
      </c>
      <c r="Z12" s="3313">
        <v>31.76</v>
      </c>
      <c r="AA12" s="3313">
        <v>2206</v>
      </c>
      <c r="AB12" s="3313">
        <v>18969</v>
      </c>
      <c r="AC12" s="3313" t="s">
        <v>3153</v>
      </c>
      <c r="AD12" s="3313">
        <v>31.06</v>
      </c>
      <c r="AE12" s="3313">
        <v>2117</v>
      </c>
      <c r="AF12" s="3313">
        <v>19170</v>
      </c>
      <c r="AG12" s="3313" t="s">
        <v>3125</v>
      </c>
      <c r="AH12" s="3313">
        <v>31.35</v>
      </c>
      <c r="AI12" s="3313">
        <v>2183</v>
      </c>
      <c r="AJ12" s="3313">
        <v>18996</v>
      </c>
      <c r="AK12" s="3313" t="s">
        <v>3204</v>
      </c>
      <c r="AL12" s="3313">
        <v>32.299999999999997</v>
      </c>
      <c r="AM12" s="3313">
        <v>2180</v>
      </c>
      <c r="AN12" s="3313">
        <v>18675</v>
      </c>
      <c r="AO12" s="3313" t="s">
        <v>3168</v>
      </c>
      <c r="AP12" s="3313">
        <v>33.93</v>
      </c>
      <c r="AQ12" s="3313">
        <v>2033</v>
      </c>
      <c r="AR12" s="3313">
        <v>18983</v>
      </c>
      <c r="AS12" s="3313" t="s">
        <v>3205</v>
      </c>
      <c r="AT12" s="3313">
        <v>33.31</v>
      </c>
      <c r="AU12" s="3313">
        <v>2289</v>
      </c>
      <c r="AV12" s="3313">
        <v>18928</v>
      </c>
      <c r="AW12" s="3313" t="s">
        <v>3206</v>
      </c>
      <c r="AX12" s="3313">
        <v>35.07</v>
      </c>
      <c r="AY12" s="3313">
        <v>2232</v>
      </c>
      <c r="AZ12" s="3313">
        <v>19243</v>
      </c>
      <c r="BA12" s="3313" t="s">
        <v>3145</v>
      </c>
    </row>
    <row r="13" spans="1:53">
      <c r="A13" s="3313" t="s">
        <v>3081</v>
      </c>
      <c r="B13" s="3313">
        <v>11</v>
      </c>
      <c r="C13" s="3313" t="s">
        <v>3207</v>
      </c>
      <c r="D13" s="3313">
        <f t="shared" si="0"/>
        <v>1</v>
      </c>
      <c r="E13" s="3313">
        <f>(F13+J13+N13+R13+V13+Z13+AD13+AL13+AP13+AT13+AX13)/11</f>
        <v>29.49909090909091</v>
      </c>
      <c r="F13" s="3313">
        <v>29.5</v>
      </c>
      <c r="G13" s="3313">
        <v>1613</v>
      </c>
      <c r="H13" s="3313">
        <v>12548</v>
      </c>
      <c r="I13" s="3313" t="s">
        <v>3208</v>
      </c>
      <c r="J13" s="3313">
        <v>40.01</v>
      </c>
      <c r="K13" s="3313">
        <v>2632</v>
      </c>
      <c r="L13" s="3313">
        <v>12071</v>
      </c>
      <c r="M13" s="3313" t="s">
        <v>3209</v>
      </c>
      <c r="N13" s="3313">
        <v>27.31</v>
      </c>
      <c r="O13" s="3313">
        <v>1783</v>
      </c>
      <c r="P13" s="3313">
        <v>13150</v>
      </c>
      <c r="Q13" s="3313" t="s">
        <v>3210</v>
      </c>
      <c r="R13" s="3313">
        <v>28.58</v>
      </c>
      <c r="S13" s="3313">
        <v>2023</v>
      </c>
      <c r="T13" s="3313">
        <v>12921</v>
      </c>
      <c r="U13" s="3313" t="s">
        <v>3211</v>
      </c>
      <c r="V13" s="3313">
        <v>30.27</v>
      </c>
      <c r="W13" s="3313">
        <v>2015</v>
      </c>
      <c r="X13" s="3313">
        <v>11982</v>
      </c>
      <c r="Y13" s="3313" t="s">
        <v>3212</v>
      </c>
      <c r="Z13" s="3313">
        <v>27.38</v>
      </c>
      <c r="AA13" s="3313">
        <v>1814</v>
      </c>
      <c r="AB13" s="3313">
        <v>12101</v>
      </c>
      <c r="AC13" s="3313" t="s">
        <v>3213</v>
      </c>
      <c r="AD13" s="3313">
        <v>26.36</v>
      </c>
      <c r="AE13" s="3313">
        <v>1707</v>
      </c>
      <c r="AF13" s="3313">
        <v>12373</v>
      </c>
      <c r="AG13" s="3313" t="s">
        <v>3214</v>
      </c>
      <c r="AH13" s="3313" t="s">
        <v>2797</v>
      </c>
      <c r="AI13" s="3313" t="s">
        <v>2797</v>
      </c>
      <c r="AJ13" s="3313" t="s">
        <v>2797</v>
      </c>
      <c r="AK13" s="3313" t="s">
        <v>2797</v>
      </c>
      <c r="AL13" s="3313">
        <v>26.72</v>
      </c>
      <c r="AM13" s="3313">
        <v>1236</v>
      </c>
      <c r="AN13" s="3313">
        <v>11259</v>
      </c>
      <c r="AO13" s="3313" t="s">
        <v>3215</v>
      </c>
      <c r="AP13" s="3313">
        <v>24.25</v>
      </c>
      <c r="AQ13" s="3313">
        <v>1852</v>
      </c>
      <c r="AR13" s="3313">
        <v>11771</v>
      </c>
      <c r="AS13" s="3313" t="s">
        <v>3216</v>
      </c>
      <c r="AT13" s="3313">
        <v>35.450000000000003</v>
      </c>
      <c r="AU13" s="3313">
        <v>2459</v>
      </c>
      <c r="AV13" s="3313">
        <v>12584</v>
      </c>
      <c r="AW13" s="3313" t="s">
        <v>3217</v>
      </c>
      <c r="AX13" s="3313">
        <v>28.66</v>
      </c>
      <c r="AY13" s="3313">
        <v>2136</v>
      </c>
      <c r="AZ13" s="3313">
        <v>12034</v>
      </c>
      <c r="BA13" s="3313" t="s">
        <v>3218</v>
      </c>
    </row>
    <row r="14" spans="1:53">
      <c r="A14" s="3313" t="s">
        <v>3081</v>
      </c>
      <c r="B14" s="3313">
        <v>12</v>
      </c>
      <c r="C14" s="3313" t="s">
        <v>3219</v>
      </c>
      <c r="D14" s="3313">
        <f t="shared" si="0"/>
        <v>0.8</v>
      </c>
      <c r="E14" s="3313">
        <f t="shared" si="1"/>
        <v>25.127499999999998</v>
      </c>
      <c r="F14" s="3313">
        <v>25.54</v>
      </c>
      <c r="G14" s="3313">
        <v>2212</v>
      </c>
      <c r="H14" s="3313">
        <v>16373</v>
      </c>
      <c r="I14" s="3313" t="s">
        <v>3220</v>
      </c>
      <c r="J14" s="3313">
        <v>24.29</v>
      </c>
      <c r="K14" s="3313">
        <v>2045</v>
      </c>
      <c r="L14" s="3313">
        <v>16643</v>
      </c>
      <c r="M14" s="3313" t="s">
        <v>3221</v>
      </c>
      <c r="N14" s="3313">
        <v>24.67</v>
      </c>
      <c r="O14" s="3313">
        <v>2136</v>
      </c>
      <c r="P14" s="3313">
        <v>16821</v>
      </c>
      <c r="Q14" s="3313" t="s">
        <v>3222</v>
      </c>
      <c r="R14" s="3313">
        <v>24.64</v>
      </c>
      <c r="S14" s="3313">
        <v>2088</v>
      </c>
      <c r="T14" s="3313">
        <v>16971</v>
      </c>
      <c r="U14" s="3313" t="s">
        <v>3223</v>
      </c>
      <c r="V14" s="3313">
        <v>24.77</v>
      </c>
      <c r="W14" s="3313">
        <v>2114</v>
      </c>
      <c r="X14" s="3313">
        <v>16707</v>
      </c>
      <c r="Y14" s="3313" t="s">
        <v>3224</v>
      </c>
      <c r="Z14" s="3313">
        <v>25.37</v>
      </c>
      <c r="AA14" s="3313">
        <v>2168</v>
      </c>
      <c r="AB14" s="3313">
        <v>17193</v>
      </c>
      <c r="AC14" s="3313" t="s">
        <v>3225</v>
      </c>
      <c r="AD14" s="3313">
        <v>24.91</v>
      </c>
      <c r="AE14" s="3313">
        <v>2230</v>
      </c>
      <c r="AF14" s="3313">
        <v>17081</v>
      </c>
      <c r="AG14" s="3313" t="s">
        <v>3221</v>
      </c>
      <c r="AH14" s="3313">
        <v>25.09</v>
      </c>
      <c r="AI14" s="3313">
        <v>2203</v>
      </c>
      <c r="AJ14" s="3313">
        <v>17190</v>
      </c>
      <c r="AK14" s="3313" t="s">
        <v>3221</v>
      </c>
      <c r="AL14" s="3313">
        <v>24.74</v>
      </c>
      <c r="AM14" s="3313">
        <v>2124</v>
      </c>
      <c r="AN14" s="3313">
        <v>16890</v>
      </c>
      <c r="AO14" s="3313" t="s">
        <v>3226</v>
      </c>
      <c r="AP14" s="3313">
        <v>24.26</v>
      </c>
      <c r="AQ14" s="3313">
        <v>2017</v>
      </c>
      <c r="AR14" s="3313">
        <v>16762</v>
      </c>
      <c r="AS14" s="3313" t="s">
        <v>3227</v>
      </c>
      <c r="AT14" s="3313">
        <v>26</v>
      </c>
      <c r="AU14" s="3313">
        <v>2335</v>
      </c>
      <c r="AV14" s="3313">
        <v>16795</v>
      </c>
      <c r="AW14" s="3313" t="s">
        <v>3228</v>
      </c>
      <c r="AX14" s="3313">
        <v>27.25</v>
      </c>
      <c r="AY14" s="3313">
        <v>2353</v>
      </c>
      <c r="AZ14" s="3313">
        <v>16635</v>
      </c>
      <c r="BA14" s="3313" t="s">
        <v>3229</v>
      </c>
    </row>
    <row r="15" spans="1:53">
      <c r="A15" s="3313" t="s">
        <v>3081</v>
      </c>
      <c r="B15" s="3313">
        <v>13</v>
      </c>
      <c r="C15" s="3313" t="s">
        <v>3230</v>
      </c>
      <c r="D15" s="3313">
        <f t="shared" si="0"/>
        <v>0.8</v>
      </c>
      <c r="E15" s="3313">
        <f t="shared" si="1"/>
        <v>24.717500000000001</v>
      </c>
      <c r="F15" s="3313">
        <v>24.09</v>
      </c>
      <c r="G15" s="3313">
        <v>2046</v>
      </c>
      <c r="H15" s="3313">
        <v>15139</v>
      </c>
      <c r="I15" s="3313" t="s">
        <v>3231</v>
      </c>
      <c r="J15" s="3313">
        <v>23.63</v>
      </c>
      <c r="K15" s="3313">
        <v>1985</v>
      </c>
      <c r="L15" s="3313">
        <v>15046</v>
      </c>
      <c r="M15" s="3313" t="s">
        <v>3182</v>
      </c>
      <c r="N15" s="3313">
        <v>24</v>
      </c>
      <c r="O15" s="3313">
        <v>2034</v>
      </c>
      <c r="P15" s="3313">
        <v>15448</v>
      </c>
      <c r="Q15" s="3313" t="s">
        <v>3232</v>
      </c>
      <c r="R15" s="3313">
        <v>24.15</v>
      </c>
      <c r="S15" s="3313">
        <v>2042</v>
      </c>
      <c r="T15" s="3313">
        <v>15402</v>
      </c>
      <c r="U15" s="3313" t="s">
        <v>3139</v>
      </c>
      <c r="V15" s="3313">
        <v>23.75</v>
      </c>
      <c r="W15" s="3313">
        <v>1966</v>
      </c>
      <c r="X15" s="3313">
        <v>15097</v>
      </c>
      <c r="Y15" s="3313" t="s">
        <v>3233</v>
      </c>
      <c r="Z15" s="3313">
        <v>24.58</v>
      </c>
      <c r="AA15" s="3313">
        <v>2040</v>
      </c>
      <c r="AB15" s="3313">
        <v>15380</v>
      </c>
      <c r="AC15" s="3313" t="s">
        <v>3234</v>
      </c>
      <c r="AD15" s="3313">
        <v>25.39</v>
      </c>
      <c r="AE15" s="3313">
        <v>2093</v>
      </c>
      <c r="AF15" s="3313">
        <v>15364</v>
      </c>
      <c r="AG15" s="3313" t="s">
        <v>3204</v>
      </c>
      <c r="AH15" s="3313">
        <v>25.81</v>
      </c>
      <c r="AI15" s="3313">
        <v>2169</v>
      </c>
      <c r="AJ15" s="3313">
        <v>15223</v>
      </c>
      <c r="AK15" s="3313" t="s">
        <v>3165</v>
      </c>
      <c r="AL15" s="3313">
        <v>24.99</v>
      </c>
      <c r="AM15" s="3313">
        <v>2048</v>
      </c>
      <c r="AN15" s="3313">
        <v>15037</v>
      </c>
      <c r="AO15" s="3313" t="s">
        <v>3235</v>
      </c>
      <c r="AP15" s="3313">
        <v>24.58</v>
      </c>
      <c r="AQ15" s="3313">
        <v>2009</v>
      </c>
      <c r="AR15" s="3313">
        <v>15554</v>
      </c>
      <c r="AS15" s="3313" t="s">
        <v>3236</v>
      </c>
      <c r="AT15" s="3313">
        <v>25.03</v>
      </c>
      <c r="AU15" s="3313">
        <v>2109</v>
      </c>
      <c r="AV15" s="3313">
        <v>15531</v>
      </c>
      <c r="AW15" s="3313" t="s">
        <v>3237</v>
      </c>
      <c r="AX15" s="3313">
        <v>26.61</v>
      </c>
      <c r="AY15" s="3313">
        <v>2267</v>
      </c>
      <c r="AZ15" s="3313">
        <v>15897</v>
      </c>
      <c r="BA15" s="3313" t="s">
        <v>3153</v>
      </c>
    </row>
    <row r="16" spans="1:53">
      <c r="A16" s="3313" t="s">
        <v>3081</v>
      </c>
      <c r="B16" s="3313">
        <v>14</v>
      </c>
      <c r="C16" s="3313" t="s">
        <v>3238</v>
      </c>
      <c r="D16" s="3313">
        <f t="shared" si="0"/>
        <v>0.8</v>
      </c>
      <c r="E16" s="3313">
        <f t="shared" si="1"/>
        <v>24.718333333333334</v>
      </c>
      <c r="F16" s="3313">
        <v>22.95</v>
      </c>
      <c r="G16" s="3313">
        <v>1830</v>
      </c>
      <c r="H16" s="3313">
        <v>9095</v>
      </c>
      <c r="I16" s="3313" t="s">
        <v>3239</v>
      </c>
      <c r="J16" s="3313">
        <v>23.09</v>
      </c>
      <c r="K16" s="3313">
        <v>1846</v>
      </c>
      <c r="L16" s="3313">
        <v>8900</v>
      </c>
      <c r="M16" s="3313" t="s">
        <v>3240</v>
      </c>
      <c r="N16" s="3313">
        <v>22.47</v>
      </c>
      <c r="O16" s="3313">
        <v>1794</v>
      </c>
      <c r="P16" s="3313">
        <v>8425</v>
      </c>
      <c r="Q16" s="3313" t="s">
        <v>3241</v>
      </c>
      <c r="R16" s="3313">
        <v>24.23</v>
      </c>
      <c r="S16" s="3313">
        <v>1861</v>
      </c>
      <c r="T16" s="3313">
        <v>9111</v>
      </c>
      <c r="U16" s="3313" t="s">
        <v>3242</v>
      </c>
      <c r="V16" s="3313">
        <v>26.78</v>
      </c>
      <c r="W16" s="3313">
        <v>1708</v>
      </c>
      <c r="X16" s="3313">
        <v>8911</v>
      </c>
      <c r="Y16" s="3313" t="s">
        <v>3243</v>
      </c>
      <c r="Z16" s="3313">
        <v>28.55</v>
      </c>
      <c r="AA16" s="3313">
        <v>1764</v>
      </c>
      <c r="AB16" s="3313">
        <v>8660</v>
      </c>
      <c r="AC16" s="3313" t="s">
        <v>3244</v>
      </c>
      <c r="AD16" s="3313">
        <v>24.62</v>
      </c>
      <c r="AE16" s="3313">
        <v>1968</v>
      </c>
      <c r="AF16" s="3313">
        <v>9709</v>
      </c>
      <c r="AG16" s="3313" t="s">
        <v>3245</v>
      </c>
      <c r="AH16" s="3313">
        <v>24.05</v>
      </c>
      <c r="AI16" s="3313">
        <v>1623</v>
      </c>
      <c r="AJ16" s="3313">
        <v>8567</v>
      </c>
      <c r="AK16" s="3313" t="s">
        <v>3246</v>
      </c>
      <c r="AL16" s="3313">
        <v>23.48</v>
      </c>
      <c r="AM16" s="3313">
        <v>1645</v>
      </c>
      <c r="AN16" s="3313">
        <v>8482</v>
      </c>
      <c r="AO16" s="3313" t="s">
        <v>3247</v>
      </c>
      <c r="AP16" s="3313">
        <v>24.81</v>
      </c>
      <c r="AQ16" s="3313">
        <v>1617</v>
      </c>
      <c r="AR16" s="3313">
        <v>9092</v>
      </c>
      <c r="AS16" s="3313" t="s">
        <v>3248</v>
      </c>
      <c r="AT16" s="3313">
        <v>24.82</v>
      </c>
      <c r="AU16" s="3313">
        <v>1809</v>
      </c>
      <c r="AV16" s="3313">
        <v>9306</v>
      </c>
      <c r="AW16" s="3313" t="s">
        <v>3241</v>
      </c>
      <c r="AX16" s="3313">
        <v>26.77</v>
      </c>
      <c r="AY16" s="3313">
        <v>1704</v>
      </c>
      <c r="AZ16" s="3313">
        <v>10689</v>
      </c>
      <c r="BA16" s="3313" t="s">
        <v>3249</v>
      </c>
    </row>
    <row r="17" spans="1:53">
      <c r="A17" s="3313" t="s">
        <v>3081</v>
      </c>
      <c r="B17" s="3313">
        <v>15</v>
      </c>
      <c r="C17" s="3313" t="s">
        <v>3250</v>
      </c>
      <c r="D17" s="3313">
        <f t="shared" si="0"/>
        <v>0.7</v>
      </c>
      <c r="E17" s="3313">
        <f t="shared" si="1"/>
        <v>19.89</v>
      </c>
      <c r="F17" s="3313">
        <v>20.41</v>
      </c>
      <c r="G17" s="3313">
        <v>1888</v>
      </c>
      <c r="H17" s="3313">
        <v>11978</v>
      </c>
      <c r="I17" s="3313" t="s">
        <v>3251</v>
      </c>
      <c r="J17" s="3313">
        <v>20.55</v>
      </c>
      <c r="K17" s="3313">
        <v>2006</v>
      </c>
      <c r="L17" s="3313">
        <v>12123</v>
      </c>
      <c r="M17" s="3313" t="s">
        <v>3165</v>
      </c>
      <c r="N17" s="3313">
        <v>20.77</v>
      </c>
      <c r="O17" s="3313">
        <v>2018</v>
      </c>
      <c r="P17" s="3313">
        <v>13178</v>
      </c>
      <c r="Q17" s="3313" t="s">
        <v>3252</v>
      </c>
      <c r="R17" s="3313">
        <v>20.27</v>
      </c>
      <c r="S17" s="3313">
        <v>1981</v>
      </c>
      <c r="T17" s="3313">
        <v>12265</v>
      </c>
      <c r="U17" s="3313" t="s">
        <v>3204</v>
      </c>
      <c r="V17" s="3313">
        <v>19.559999999999999</v>
      </c>
      <c r="W17" s="3313">
        <v>1809</v>
      </c>
      <c r="X17" s="3313">
        <v>12220</v>
      </c>
      <c r="Y17" s="3313" t="s">
        <v>3138</v>
      </c>
      <c r="Z17" s="3313">
        <v>19.829999999999998</v>
      </c>
      <c r="AA17" s="3313">
        <v>1842</v>
      </c>
      <c r="AB17" s="3313">
        <v>12697</v>
      </c>
      <c r="AC17" s="3313" t="s">
        <v>3253</v>
      </c>
      <c r="AD17" s="3313">
        <v>19.23</v>
      </c>
      <c r="AE17" s="3313">
        <v>1790</v>
      </c>
      <c r="AF17" s="3313">
        <v>12471</v>
      </c>
      <c r="AG17" s="3313" t="s">
        <v>3254</v>
      </c>
      <c r="AH17" s="3313">
        <v>18.79</v>
      </c>
      <c r="AI17" s="3313">
        <v>1757</v>
      </c>
      <c r="AJ17" s="3313">
        <v>12314</v>
      </c>
      <c r="AK17" s="3313" t="s">
        <v>3255</v>
      </c>
      <c r="AL17" s="3313">
        <v>20.059999999999999</v>
      </c>
      <c r="AM17" s="3313">
        <v>1785</v>
      </c>
      <c r="AN17" s="3313">
        <v>11740</v>
      </c>
      <c r="AO17" s="3313" t="s">
        <v>3256</v>
      </c>
      <c r="AP17" s="3313">
        <v>19.12</v>
      </c>
      <c r="AQ17" s="3313">
        <v>1796</v>
      </c>
      <c r="AR17" s="3313">
        <v>12043</v>
      </c>
      <c r="AS17" s="3313" t="s">
        <v>3123</v>
      </c>
      <c r="AT17" s="3313">
        <v>18.739999999999998</v>
      </c>
      <c r="AU17" s="3313">
        <v>1785</v>
      </c>
      <c r="AV17" s="3313">
        <v>12316</v>
      </c>
      <c r="AW17" s="3313" t="s">
        <v>3137</v>
      </c>
      <c r="AX17" s="3313">
        <v>21.35</v>
      </c>
      <c r="AY17" s="3313">
        <v>1991</v>
      </c>
      <c r="AZ17" s="3313">
        <v>12918</v>
      </c>
      <c r="BA17" s="3313" t="s">
        <v>3204</v>
      </c>
    </row>
    <row r="18" spans="1:53">
      <c r="A18" s="3313" t="s">
        <v>3081</v>
      </c>
      <c r="B18" s="3313">
        <v>16</v>
      </c>
      <c r="C18" s="3313" t="s">
        <v>3257</v>
      </c>
      <c r="D18" s="3313">
        <f t="shared" si="0"/>
        <v>0.7</v>
      </c>
      <c r="E18" s="3313">
        <f t="shared" si="1"/>
        <v>20.697500000000002</v>
      </c>
      <c r="F18" s="3313">
        <v>20.41</v>
      </c>
      <c r="G18" s="3313">
        <v>1706</v>
      </c>
      <c r="H18" s="3313">
        <v>17010</v>
      </c>
      <c r="I18" s="3313" t="s">
        <v>3258</v>
      </c>
      <c r="J18" s="3313">
        <v>20.65</v>
      </c>
      <c r="K18" s="3313">
        <v>1732</v>
      </c>
      <c r="L18" s="3313">
        <v>17041</v>
      </c>
      <c r="M18" s="3313" t="s">
        <v>3259</v>
      </c>
      <c r="N18" s="3313">
        <v>20.02</v>
      </c>
      <c r="O18" s="3313">
        <v>1672</v>
      </c>
      <c r="P18" s="3313">
        <v>17098</v>
      </c>
      <c r="Q18" s="3313" t="s">
        <v>3260</v>
      </c>
      <c r="R18" s="3313">
        <v>20.88</v>
      </c>
      <c r="S18" s="3313">
        <v>1748</v>
      </c>
      <c r="T18" s="3313">
        <v>17446</v>
      </c>
      <c r="U18" s="3313" t="s">
        <v>3105</v>
      </c>
      <c r="V18" s="3313">
        <v>20.72</v>
      </c>
      <c r="W18" s="3313">
        <v>1732</v>
      </c>
      <c r="X18" s="3313">
        <v>17279</v>
      </c>
      <c r="Y18" s="3313" t="s">
        <v>3258</v>
      </c>
      <c r="Z18" s="3313">
        <v>20.85</v>
      </c>
      <c r="AA18" s="3313">
        <v>1704</v>
      </c>
      <c r="AB18" s="3313">
        <v>17296</v>
      </c>
      <c r="AC18" s="3313" t="s">
        <v>3261</v>
      </c>
      <c r="AD18" s="3313">
        <v>20.420000000000002</v>
      </c>
      <c r="AE18" s="3313">
        <v>1685</v>
      </c>
      <c r="AF18" s="3313">
        <v>17707</v>
      </c>
      <c r="AG18" s="3313" t="s">
        <v>3262</v>
      </c>
      <c r="AH18" s="3313">
        <v>20.059999999999999</v>
      </c>
      <c r="AI18" s="3313">
        <v>1646</v>
      </c>
      <c r="AJ18" s="3313">
        <v>17541</v>
      </c>
      <c r="AK18" s="3313" t="s">
        <v>3263</v>
      </c>
      <c r="AL18" s="3313">
        <v>20.43</v>
      </c>
      <c r="AM18" s="3313">
        <v>1651</v>
      </c>
      <c r="AN18" s="3313">
        <v>17493</v>
      </c>
      <c r="AO18" s="3313" t="s">
        <v>3264</v>
      </c>
      <c r="AP18" s="3313">
        <v>19.84</v>
      </c>
      <c r="AQ18" s="3313">
        <v>1653</v>
      </c>
      <c r="AR18" s="3313">
        <v>18007</v>
      </c>
      <c r="AS18" s="3313" t="s">
        <v>3265</v>
      </c>
      <c r="AT18" s="3313">
        <v>21.48</v>
      </c>
      <c r="AU18" s="3313">
        <v>1768</v>
      </c>
      <c r="AV18" s="3313">
        <v>17771</v>
      </c>
      <c r="AW18" s="3313" t="s">
        <v>3266</v>
      </c>
      <c r="AX18" s="3313">
        <v>22.61</v>
      </c>
      <c r="AY18" s="3313">
        <v>1910</v>
      </c>
      <c r="AZ18" s="3313">
        <v>17792</v>
      </c>
      <c r="BA18" s="3313" t="s">
        <v>3267</v>
      </c>
    </row>
  </sheetData>
  <mergeCells count="12">
    <mergeCell ref="AX1:BA1"/>
    <mergeCell ref="F1:I1"/>
    <mergeCell ref="J1:M1"/>
    <mergeCell ref="N1:Q1"/>
    <mergeCell ref="R1:U1"/>
    <mergeCell ref="V1:Y1"/>
    <mergeCell ref="Z1:AC1"/>
    <mergeCell ref="AD1:AG1"/>
    <mergeCell ref="AH1:AK1"/>
    <mergeCell ref="AL1:AO1"/>
    <mergeCell ref="AP1:AS1"/>
    <mergeCell ref="AT1:AW1"/>
  </mergeCells>
  <phoneticPr fontId="229" type="noConversion"/>
  <pageMargins left="0.75" right="0.75" top="1" bottom="1" header="0.5" footer="0.5"/>
  <pageSetup orientation="portrait" horizontalDpi="300" verticalDpi="300"/>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6:M57"/>
  <sheetViews>
    <sheetView zoomScale="80" zoomScaleNormal="80" workbookViewId="0">
      <selection activeCell="O49" sqref="O49"/>
    </sheetView>
  </sheetViews>
  <sheetFormatPr defaultColWidth="11" defaultRowHeight="13.5"/>
  <cols>
    <col min="1" max="11" width="11" style="3329"/>
    <col min="12" max="12" width="15.625" style="3329" customWidth="1"/>
    <col min="13" max="16384" width="11" style="3329"/>
  </cols>
  <sheetData>
    <row r="46" spans="1:13" s="3328" customFormat="1" ht="24">
      <c r="A46" s="3327" t="s">
        <v>3298</v>
      </c>
      <c r="B46" s="3327" t="s">
        <v>3299</v>
      </c>
      <c r="C46" s="3327" t="s">
        <v>3300</v>
      </c>
      <c r="D46" s="3327" t="s">
        <v>3301</v>
      </c>
      <c r="E46" s="3327" t="s">
        <v>3302</v>
      </c>
      <c r="F46" s="3327" t="s">
        <v>3303</v>
      </c>
      <c r="G46" s="3327" t="s">
        <v>3304</v>
      </c>
      <c r="H46" s="3327" t="s">
        <v>3305</v>
      </c>
      <c r="I46" s="3327" t="s">
        <v>3306</v>
      </c>
      <c r="J46" s="3327" t="s">
        <v>3307</v>
      </c>
      <c r="K46" s="3327" t="s">
        <v>3308</v>
      </c>
      <c r="L46" s="3327" t="s">
        <v>3309</v>
      </c>
      <c r="M46" s="3327" t="s">
        <v>3310</v>
      </c>
    </row>
    <row r="47" spans="1:13" s="3328" customFormat="1" ht="24">
      <c r="A47" s="3327">
        <v>1</v>
      </c>
      <c r="B47" s="3327" t="s">
        <v>3311</v>
      </c>
      <c r="C47" s="3327" t="s">
        <v>3312</v>
      </c>
      <c r="D47" s="3327" t="s">
        <v>3313</v>
      </c>
      <c r="E47" s="3327" t="s">
        <v>3314</v>
      </c>
      <c r="F47" s="3327">
        <v>2017</v>
      </c>
      <c r="G47" s="3327">
        <v>800000</v>
      </c>
      <c r="H47" s="3327">
        <v>500</v>
      </c>
      <c r="I47" s="3327">
        <v>4.4000000000000004</v>
      </c>
      <c r="J47" s="3327">
        <v>3</v>
      </c>
      <c r="K47" s="3327">
        <v>3</v>
      </c>
      <c r="L47" s="3327" t="s">
        <v>3315</v>
      </c>
      <c r="M47" s="3327"/>
    </row>
    <row r="48" spans="1:13" s="3328" customFormat="1" ht="24">
      <c r="A48" s="3327">
        <v>2</v>
      </c>
      <c r="B48" s="3327" t="s">
        <v>3311</v>
      </c>
      <c r="C48" s="3327" t="s">
        <v>3312</v>
      </c>
      <c r="D48" s="3327" t="s">
        <v>3313</v>
      </c>
      <c r="E48" s="3327" t="s">
        <v>3316</v>
      </c>
      <c r="F48" s="3327">
        <v>2017</v>
      </c>
      <c r="G48" s="3327">
        <v>800000</v>
      </c>
      <c r="H48" s="3327">
        <v>500</v>
      </c>
      <c r="I48" s="3327">
        <v>4.4000000000000004</v>
      </c>
      <c r="J48" s="3327">
        <v>3</v>
      </c>
      <c r="K48" s="3327">
        <v>3</v>
      </c>
      <c r="L48" s="3327" t="s">
        <v>3315</v>
      </c>
      <c r="M48" s="3327"/>
    </row>
    <row r="49" spans="1:13" s="3328" customFormat="1" ht="24">
      <c r="A49" s="3327">
        <v>3</v>
      </c>
      <c r="B49" s="3327" t="s">
        <v>3311</v>
      </c>
      <c r="C49" s="3327" t="s">
        <v>3312</v>
      </c>
      <c r="D49" s="3327" t="s">
        <v>3313</v>
      </c>
      <c r="E49" s="3327" t="s">
        <v>3317</v>
      </c>
      <c r="F49" s="3327">
        <v>2017</v>
      </c>
      <c r="G49" s="3327">
        <v>750000</v>
      </c>
      <c r="H49" s="3327">
        <v>450</v>
      </c>
      <c r="I49" s="3327">
        <v>4.5999999999999996</v>
      </c>
      <c r="J49" s="3327">
        <v>3</v>
      </c>
      <c r="K49" s="3327">
        <v>3</v>
      </c>
      <c r="L49" s="3327" t="s">
        <v>3315</v>
      </c>
      <c r="M49" s="3327"/>
    </row>
    <row r="50" spans="1:13" s="3328" customFormat="1" ht="24">
      <c r="A50" s="3327">
        <v>4</v>
      </c>
      <c r="B50" s="3327" t="s">
        <v>3311</v>
      </c>
      <c r="C50" s="3327" t="s">
        <v>3312</v>
      </c>
      <c r="D50" s="3327" t="s">
        <v>3318</v>
      </c>
      <c r="E50" s="3327" t="s">
        <v>3319</v>
      </c>
      <c r="F50" s="3327">
        <v>2017</v>
      </c>
      <c r="G50" s="3327">
        <v>500000</v>
      </c>
      <c r="H50" s="3327">
        <v>400</v>
      </c>
      <c r="I50" s="3327">
        <v>3.4</v>
      </c>
      <c r="J50" s="3327">
        <v>2</v>
      </c>
      <c r="K50" s="3327">
        <v>2</v>
      </c>
      <c r="L50" s="3327" t="s">
        <v>3315</v>
      </c>
      <c r="M50" s="3327"/>
    </row>
    <row r="51" spans="1:13" s="3328" customFormat="1" ht="24">
      <c r="A51" s="3327">
        <v>5</v>
      </c>
      <c r="B51" s="3327" t="s">
        <v>3311</v>
      </c>
      <c r="C51" s="3327" t="s">
        <v>3312</v>
      </c>
      <c r="D51" s="3327" t="s">
        <v>3313</v>
      </c>
      <c r="E51" s="3327" t="s">
        <v>3320</v>
      </c>
      <c r="F51" s="3327">
        <v>2017</v>
      </c>
      <c r="G51" s="3327">
        <v>700000</v>
      </c>
      <c r="H51" s="3327">
        <v>594</v>
      </c>
      <c r="I51" s="3327">
        <v>3.2</v>
      </c>
      <c r="J51" s="3327">
        <v>3</v>
      </c>
      <c r="K51" s="3327">
        <v>3</v>
      </c>
      <c r="L51" s="3327" t="s">
        <v>3315</v>
      </c>
      <c r="M51" s="3327"/>
    </row>
    <row r="57" spans="1:13">
      <c r="M57" s="3330" t="s">
        <v>3321</v>
      </c>
    </row>
  </sheetData>
  <phoneticPr fontId="229"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1"/>
  <sheetViews>
    <sheetView workbookViewId="0">
      <selection activeCell="C1" sqref="C1:AB3"/>
    </sheetView>
  </sheetViews>
  <sheetFormatPr defaultColWidth="9" defaultRowHeight="13.5"/>
  <cols>
    <col min="1" max="7" width="9" style="3312"/>
    <col min="8" max="8" width="0" style="3312" hidden="1" customWidth="1"/>
    <col min="9" max="10" width="9" style="3312"/>
    <col min="11" max="11" width="0" style="3312" hidden="1" customWidth="1"/>
    <col min="12" max="15" width="9" style="3312"/>
    <col min="16" max="16" width="0" style="3312" hidden="1" customWidth="1"/>
    <col min="17" max="23" width="9" style="3312"/>
    <col min="24" max="24" width="0" style="3312" hidden="1" customWidth="1"/>
    <col min="25" max="25" width="9" style="3312"/>
    <col min="26" max="26" width="0" style="3312" hidden="1" customWidth="1"/>
    <col min="27" max="27" width="9" style="3312"/>
    <col min="28" max="28" width="0" style="3312" hidden="1" customWidth="1"/>
    <col min="29" max="16384" width="9" style="3312"/>
  </cols>
  <sheetData>
    <row r="1" spans="1:42" s="3298" customFormat="1" ht="12">
      <c r="A1" s="3596" t="s">
        <v>3039</v>
      </c>
      <c r="B1" s="3446" t="s">
        <v>3040</v>
      </c>
      <c r="C1" s="3439" t="s">
        <v>3041</v>
      </c>
      <c r="D1" s="3441" t="s">
        <v>3042</v>
      </c>
      <c r="E1" s="3443" t="s">
        <v>3043</v>
      </c>
      <c r="F1" s="3443" t="s">
        <v>3044</v>
      </c>
      <c r="G1" s="3445" t="s">
        <v>3045</v>
      </c>
      <c r="H1" s="3447" t="s">
        <v>3046</v>
      </c>
      <c r="I1" s="3432" t="s">
        <v>3047</v>
      </c>
      <c r="J1" s="3433"/>
      <c r="K1" s="3434"/>
      <c r="L1" s="3432" t="s">
        <v>3048</v>
      </c>
      <c r="M1" s="3433"/>
      <c r="N1" s="3433"/>
      <c r="O1" s="3433"/>
      <c r="P1" s="3434"/>
      <c r="Q1" s="3432" t="s">
        <v>3049</v>
      </c>
      <c r="R1" s="3433"/>
      <c r="S1" s="3433"/>
      <c r="T1" s="3433"/>
      <c r="U1" s="3433"/>
      <c r="V1" s="3433"/>
      <c r="W1" s="3433"/>
      <c r="X1" s="3433"/>
      <c r="Y1" s="3433"/>
      <c r="Z1" s="3433"/>
      <c r="AA1" s="3433"/>
      <c r="AB1" s="3434"/>
      <c r="AC1" s="3297"/>
      <c r="AD1" s="3297"/>
      <c r="AE1" s="3297"/>
      <c r="AF1" s="3297"/>
      <c r="AG1" s="3297"/>
      <c r="AH1" s="3297"/>
      <c r="AI1" s="3297"/>
      <c r="AJ1" s="3297"/>
      <c r="AK1" s="3297"/>
      <c r="AL1" s="3297"/>
      <c r="AM1" s="3297"/>
      <c r="AN1" s="3297"/>
      <c r="AO1" s="3297"/>
    </row>
    <row r="2" spans="1:42" s="3298" customFormat="1" ht="70.5" customHeight="1">
      <c r="A2" s="3596"/>
      <c r="B2" s="3446"/>
      <c r="C2" s="3440"/>
      <c r="D2" s="3442"/>
      <c r="E2" s="3444"/>
      <c r="F2" s="3444"/>
      <c r="G2" s="3446"/>
      <c r="H2" s="3448"/>
      <c r="I2" s="3299" t="s">
        <v>3050</v>
      </c>
      <c r="J2" s="3300" t="s">
        <v>3051</v>
      </c>
      <c r="K2" s="3301" t="s">
        <v>3052</v>
      </c>
      <c r="L2" s="3302" t="s">
        <v>3053</v>
      </c>
      <c r="M2" s="3300" t="s">
        <v>3054</v>
      </c>
      <c r="N2" s="3300" t="s">
        <v>3055</v>
      </c>
      <c r="O2" s="3300" t="s">
        <v>3056</v>
      </c>
      <c r="P2" s="3301" t="s">
        <v>3057</v>
      </c>
      <c r="Q2" s="3302" t="s">
        <v>3058</v>
      </c>
      <c r="R2" s="3300" t="s">
        <v>3059</v>
      </c>
      <c r="S2" s="3300" t="s">
        <v>3060</v>
      </c>
      <c r="T2" s="3300" t="s">
        <v>3061</v>
      </c>
      <c r="U2" s="3300" t="s">
        <v>3062</v>
      </c>
      <c r="V2" s="3300" t="s">
        <v>3063</v>
      </c>
      <c r="W2" s="3300" t="s">
        <v>3064</v>
      </c>
      <c r="X2" s="3301" t="s">
        <v>3065</v>
      </c>
      <c r="Y2" s="3300" t="s">
        <v>3066</v>
      </c>
      <c r="Z2" s="3301"/>
      <c r="AA2" s="3300" t="s">
        <v>3067</v>
      </c>
      <c r="AB2" s="3301" t="s">
        <v>3068</v>
      </c>
      <c r="AC2" s="3297"/>
      <c r="AD2" s="3297"/>
      <c r="AE2" s="3297"/>
      <c r="AF2" s="3297"/>
      <c r="AG2" s="3297"/>
      <c r="AH2" s="3297"/>
      <c r="AI2" s="3297"/>
      <c r="AJ2" s="3297"/>
      <c r="AK2" s="3297"/>
      <c r="AL2" s="3297"/>
      <c r="AM2" s="3297"/>
      <c r="AN2" s="3297"/>
    </row>
    <row r="3" spans="1:42" s="3309" customFormat="1" ht="18.75" customHeight="1">
      <c r="A3" s="3595" t="s">
        <v>3069</v>
      </c>
      <c r="B3" s="3595" t="s">
        <v>3070</v>
      </c>
      <c r="C3" s="3303" t="s">
        <v>3071</v>
      </c>
      <c r="D3" s="3304">
        <f t="shared" ref="D3:D8" si="0">SUM(E3:F3)</f>
        <v>16.04</v>
      </c>
      <c r="E3" s="3305">
        <v>15.73</v>
      </c>
      <c r="F3" s="3305">
        <v>0.31</v>
      </c>
      <c r="G3" s="3306">
        <f t="shared" ref="G3:G8" si="1">SUM(J3,L3,Q3)</f>
        <v>27.89</v>
      </c>
      <c r="H3" s="3306">
        <f>SUM(P3,K3,X3,Z3,AB3)</f>
        <v>9.59</v>
      </c>
      <c r="I3" s="3306">
        <f t="shared" ref="I3:I8" si="2">SUM(J3:K3)</f>
        <v>22.049999999999997</v>
      </c>
      <c r="J3" s="3307">
        <v>15.53</v>
      </c>
      <c r="K3" s="3307">
        <v>6.52</v>
      </c>
      <c r="L3" s="3307">
        <f>SUM(N3:O3)</f>
        <v>1.05</v>
      </c>
      <c r="M3" s="3307">
        <v>0</v>
      </c>
      <c r="N3" s="3307">
        <v>0.59</v>
      </c>
      <c r="O3" s="3307">
        <v>0.46</v>
      </c>
      <c r="P3" s="3307">
        <v>0.15</v>
      </c>
      <c r="Q3" s="3307">
        <f>SUM(R3:W3,Y3,AA3)</f>
        <v>11.31</v>
      </c>
      <c r="R3" s="3307">
        <v>1.51</v>
      </c>
      <c r="S3" s="3307">
        <v>1.55</v>
      </c>
      <c r="T3" s="3307">
        <v>2.3199999999999998</v>
      </c>
      <c r="U3" s="3307">
        <v>3.87</v>
      </c>
      <c r="V3" s="3307">
        <v>0.16</v>
      </c>
      <c r="W3" s="3307">
        <v>0.24</v>
      </c>
      <c r="X3" s="3307">
        <v>2.4900000000000002</v>
      </c>
      <c r="Y3" s="3307">
        <v>0</v>
      </c>
      <c r="Z3" s="3307">
        <v>0</v>
      </c>
      <c r="AA3" s="3307">
        <v>1.66</v>
      </c>
      <c r="AB3" s="3307">
        <v>0.43</v>
      </c>
      <c r="AC3" s="3308"/>
      <c r="AD3" s="3308"/>
      <c r="AE3" s="3308"/>
      <c r="AF3" s="3308"/>
      <c r="AG3" s="3308"/>
      <c r="AH3" s="3308"/>
      <c r="AI3" s="3308"/>
      <c r="AJ3" s="3308"/>
      <c r="AK3" s="3308"/>
      <c r="AL3" s="3308"/>
      <c r="AM3" s="3308"/>
      <c r="AN3" s="3308"/>
    </row>
    <row r="4" spans="1:42" s="3309" customFormat="1" ht="18.75" customHeight="1">
      <c r="A4" s="3595"/>
      <c r="B4" s="3595"/>
      <c r="C4" s="3303" t="s">
        <v>3072</v>
      </c>
      <c r="D4" s="3304">
        <f t="shared" si="0"/>
        <v>19.040000000000003</v>
      </c>
      <c r="E4" s="3305">
        <v>18.850000000000001</v>
      </c>
      <c r="F4" s="3305">
        <v>0.19</v>
      </c>
      <c r="G4" s="3306">
        <f t="shared" si="1"/>
        <v>37.42</v>
      </c>
      <c r="H4" s="3306">
        <f>SUM(P4,K4,X4,Z4,AB4)</f>
        <v>9.32</v>
      </c>
      <c r="I4" s="3307">
        <f t="shared" si="2"/>
        <v>13.350000000000001</v>
      </c>
      <c r="J4" s="3307">
        <v>10.88</v>
      </c>
      <c r="K4" s="3307">
        <v>2.4700000000000002</v>
      </c>
      <c r="L4" s="3307">
        <v>0</v>
      </c>
      <c r="M4" s="3307">
        <v>0</v>
      </c>
      <c r="N4" s="3307">
        <v>0</v>
      </c>
      <c r="O4" s="3307">
        <v>0</v>
      </c>
      <c r="P4" s="3307">
        <v>0</v>
      </c>
      <c r="Q4" s="3307">
        <v>26.54</v>
      </c>
      <c r="R4" s="3307">
        <v>0</v>
      </c>
      <c r="S4" s="3307">
        <v>2.1800000000000002</v>
      </c>
      <c r="T4" s="3307">
        <v>3.27</v>
      </c>
      <c r="U4" s="3307">
        <v>5.44</v>
      </c>
      <c r="V4" s="3307">
        <v>0</v>
      </c>
      <c r="W4" s="3307">
        <v>0</v>
      </c>
      <c r="X4" s="3307">
        <v>2.81</v>
      </c>
      <c r="Y4" s="3307">
        <v>13.35</v>
      </c>
      <c r="Z4" s="3307">
        <v>3.45</v>
      </c>
      <c r="AA4" s="3307">
        <v>2.2999999999999998</v>
      </c>
      <c r="AB4" s="3307">
        <v>0.59</v>
      </c>
      <c r="AC4" s="3308"/>
      <c r="AD4" s="3308"/>
      <c r="AE4" s="3308"/>
      <c r="AF4" s="3308"/>
      <c r="AG4" s="3308"/>
      <c r="AH4" s="3308"/>
      <c r="AI4" s="3308"/>
      <c r="AJ4" s="3308"/>
      <c r="AK4" s="3308"/>
      <c r="AL4" s="3308"/>
      <c r="AM4" s="3308"/>
      <c r="AN4" s="3308"/>
    </row>
    <row r="5" spans="1:42" s="3309" customFormat="1" ht="20.25" customHeight="1">
      <c r="A5" s="3595"/>
      <c r="B5" s="3595" t="s">
        <v>3073</v>
      </c>
      <c r="C5" s="3303" t="s">
        <v>3074</v>
      </c>
      <c r="D5" s="3304">
        <f t="shared" si="0"/>
        <v>17.07</v>
      </c>
      <c r="E5" s="3305">
        <v>16.72</v>
      </c>
      <c r="F5" s="3305">
        <v>0.35</v>
      </c>
      <c r="G5" s="3306">
        <f t="shared" si="1"/>
        <v>25.269999999999996</v>
      </c>
      <c r="H5" s="3306">
        <f t="shared" ref="H5:H8" si="3">SUM(K5,P5,X5,Z5,AB5)</f>
        <v>12.36</v>
      </c>
      <c r="I5" s="3306">
        <f t="shared" si="2"/>
        <v>33.4</v>
      </c>
      <c r="J5" s="3310">
        <v>21.83</v>
      </c>
      <c r="K5" s="3306">
        <v>11.57</v>
      </c>
      <c r="L5" s="3306">
        <f t="shared" ref="L5:L8" si="4">SUM(M5:O5)</f>
        <v>1.1499999999999999</v>
      </c>
      <c r="M5" s="3306">
        <v>0</v>
      </c>
      <c r="N5" s="3306">
        <v>0.76</v>
      </c>
      <c r="O5" s="3306">
        <v>0.39</v>
      </c>
      <c r="P5" s="3306">
        <v>0.2</v>
      </c>
      <c r="Q5" s="3306">
        <f t="shared" ref="Q5:Q8" si="5">SUM(R5:W5,Y5,AA5)</f>
        <v>2.29</v>
      </c>
      <c r="R5" s="3306">
        <v>1.1499999999999999</v>
      </c>
      <c r="S5" s="3306" t="s">
        <v>3075</v>
      </c>
      <c r="T5" s="3306" t="s">
        <v>3075</v>
      </c>
      <c r="U5" s="3306" t="s">
        <v>3075</v>
      </c>
      <c r="V5" s="3306">
        <v>0.46</v>
      </c>
      <c r="W5" s="3306">
        <v>0.68</v>
      </c>
      <c r="X5" s="3306">
        <v>0.59</v>
      </c>
      <c r="Y5" s="3306">
        <v>0</v>
      </c>
      <c r="Z5" s="3306">
        <v>0</v>
      </c>
      <c r="AA5" s="3306">
        <v>0</v>
      </c>
      <c r="AB5" s="3306">
        <v>0</v>
      </c>
      <c r="AC5" s="3308"/>
      <c r="AD5" s="3308"/>
      <c r="AE5" s="3308"/>
      <c r="AF5" s="3308"/>
      <c r="AG5" s="3308"/>
      <c r="AH5" s="3308"/>
      <c r="AI5" s="3308"/>
      <c r="AJ5" s="3311"/>
      <c r="AK5" s="3311"/>
      <c r="AL5" s="3311"/>
      <c r="AM5" s="3311"/>
      <c r="AN5" s="3311"/>
      <c r="AO5" s="3311"/>
      <c r="AP5" s="3311"/>
    </row>
    <row r="6" spans="1:42" s="3309" customFormat="1" ht="20.25" customHeight="1">
      <c r="A6" s="3595"/>
      <c r="B6" s="3595"/>
      <c r="C6" s="3303" t="s">
        <v>3076</v>
      </c>
      <c r="D6" s="3304">
        <f t="shared" si="0"/>
        <v>19.89</v>
      </c>
      <c r="E6" s="3305">
        <v>19.3</v>
      </c>
      <c r="F6" s="3305">
        <v>0.59</v>
      </c>
      <c r="G6" s="3306">
        <f t="shared" si="1"/>
        <v>36.619999999999997</v>
      </c>
      <c r="H6" s="3307">
        <f t="shared" si="3"/>
        <v>17.95</v>
      </c>
      <c r="I6" s="3307">
        <f t="shared" si="2"/>
        <v>48.56</v>
      </c>
      <c r="J6" s="3307">
        <v>31.75</v>
      </c>
      <c r="K6" s="3307">
        <v>16.809999999999999</v>
      </c>
      <c r="L6" s="3307">
        <f t="shared" si="4"/>
        <v>1.04</v>
      </c>
      <c r="M6" s="3307">
        <v>0</v>
      </c>
      <c r="N6" s="3307">
        <v>0.57999999999999996</v>
      </c>
      <c r="O6" s="3307">
        <v>0.46</v>
      </c>
      <c r="P6" s="3307">
        <v>0.15</v>
      </c>
      <c r="Q6" s="3307">
        <f t="shared" si="5"/>
        <v>3.83</v>
      </c>
      <c r="R6" s="3307">
        <v>1.67</v>
      </c>
      <c r="S6" s="3307" t="s">
        <v>3075</v>
      </c>
      <c r="T6" s="3307" t="s">
        <v>3075</v>
      </c>
      <c r="U6" s="3307" t="s">
        <v>3075</v>
      </c>
      <c r="V6" s="3307">
        <v>0.43</v>
      </c>
      <c r="W6" s="3307">
        <v>0.65</v>
      </c>
      <c r="X6" s="3307">
        <v>0.71</v>
      </c>
      <c r="Y6" s="3307">
        <v>0</v>
      </c>
      <c r="Z6" s="3307">
        <v>0</v>
      </c>
      <c r="AA6" s="3307">
        <v>1.08</v>
      </c>
      <c r="AB6" s="3307">
        <v>0.28000000000000003</v>
      </c>
      <c r="AC6" s="3308"/>
      <c r="AD6" s="3308"/>
      <c r="AE6" s="3308"/>
      <c r="AF6" s="3308"/>
      <c r="AG6" s="3308"/>
      <c r="AH6" s="3308"/>
      <c r="AI6" s="3308"/>
      <c r="AJ6" s="3311"/>
      <c r="AK6" s="3311"/>
      <c r="AL6" s="3311"/>
      <c r="AM6" s="3311"/>
      <c r="AN6" s="3311"/>
      <c r="AO6" s="3311"/>
      <c r="AP6" s="3311"/>
    </row>
    <row r="7" spans="1:42" s="3309" customFormat="1" ht="20.25" customHeight="1">
      <c r="A7" s="3595"/>
      <c r="B7" s="3595"/>
      <c r="C7" s="3303" t="s">
        <v>3077</v>
      </c>
      <c r="D7" s="3304">
        <f t="shared" si="0"/>
        <v>21.880000000000003</v>
      </c>
      <c r="E7" s="3305">
        <v>20.87</v>
      </c>
      <c r="F7" s="3305">
        <v>1.01</v>
      </c>
      <c r="G7" s="3306">
        <f t="shared" si="1"/>
        <v>27.12</v>
      </c>
      <c r="H7" s="3306">
        <f t="shared" si="3"/>
        <v>11.120000000000001</v>
      </c>
      <c r="I7" s="3307">
        <f t="shared" si="2"/>
        <v>28.57</v>
      </c>
      <c r="J7" s="3307">
        <v>18.68</v>
      </c>
      <c r="K7" s="3307">
        <v>9.89</v>
      </c>
      <c r="L7" s="3307">
        <f t="shared" si="4"/>
        <v>4.28</v>
      </c>
      <c r="M7" s="3307">
        <v>3.25</v>
      </c>
      <c r="N7" s="3307">
        <v>0.64</v>
      </c>
      <c r="O7" s="3307">
        <v>0.39</v>
      </c>
      <c r="P7" s="3307">
        <v>0.16</v>
      </c>
      <c r="Q7" s="3307">
        <f t="shared" si="5"/>
        <v>4.16</v>
      </c>
      <c r="R7" s="3307">
        <v>0.98</v>
      </c>
      <c r="S7" s="3307" t="s">
        <v>3075</v>
      </c>
      <c r="T7" s="3307" t="s">
        <v>3075</v>
      </c>
      <c r="U7" s="3307" t="s">
        <v>3075</v>
      </c>
      <c r="V7" s="3307">
        <v>0.38</v>
      </c>
      <c r="W7" s="3307">
        <v>0.57999999999999996</v>
      </c>
      <c r="X7" s="3307">
        <v>0.5</v>
      </c>
      <c r="Y7" s="3307">
        <v>0</v>
      </c>
      <c r="Z7" s="3307">
        <v>0</v>
      </c>
      <c r="AA7" s="3307">
        <v>2.2200000000000002</v>
      </c>
      <c r="AB7" s="3307">
        <v>0.56999999999999995</v>
      </c>
      <c r="AC7" s="3308"/>
      <c r="AD7" s="3308"/>
      <c r="AE7" s="3308"/>
      <c r="AF7" s="3308"/>
      <c r="AG7" s="3308"/>
      <c r="AH7" s="3308"/>
      <c r="AI7" s="3308"/>
      <c r="AJ7" s="3311"/>
      <c r="AK7" s="3311"/>
      <c r="AL7" s="3311"/>
      <c r="AM7" s="3311"/>
      <c r="AN7" s="3311"/>
      <c r="AO7" s="3311"/>
      <c r="AP7" s="3311"/>
    </row>
    <row r="8" spans="1:42" s="3309" customFormat="1" ht="20.25" customHeight="1">
      <c r="A8" s="3595"/>
      <c r="B8" s="3595"/>
      <c r="C8" s="3303" t="s">
        <v>3078</v>
      </c>
      <c r="D8" s="3304">
        <f t="shared" si="0"/>
        <v>28.09</v>
      </c>
      <c r="E8" s="3305">
        <v>27.5</v>
      </c>
      <c r="F8" s="3305">
        <v>0.59</v>
      </c>
      <c r="G8" s="3306">
        <f t="shared" si="1"/>
        <v>52.34</v>
      </c>
      <c r="H8" s="3306">
        <f t="shared" si="3"/>
        <v>24.39</v>
      </c>
      <c r="I8" s="3306">
        <f t="shared" si="2"/>
        <v>71.460000000000008</v>
      </c>
      <c r="J8" s="3307">
        <v>48.06</v>
      </c>
      <c r="K8" s="3306">
        <v>23.4</v>
      </c>
      <c r="L8" s="3306">
        <f t="shared" si="4"/>
        <v>1.1300000000000001</v>
      </c>
      <c r="M8" s="3306">
        <v>0</v>
      </c>
      <c r="N8" s="3306">
        <v>0.67</v>
      </c>
      <c r="O8" s="3306">
        <v>0.46</v>
      </c>
      <c r="P8" s="3306">
        <v>0.17</v>
      </c>
      <c r="Q8" s="3306">
        <f t="shared" si="5"/>
        <v>3.15</v>
      </c>
      <c r="R8" s="3306">
        <v>2.48</v>
      </c>
      <c r="S8" s="3306" t="s">
        <v>3075</v>
      </c>
      <c r="T8" s="3306" t="s">
        <v>3075</v>
      </c>
      <c r="U8" s="3306" t="s">
        <v>3075</v>
      </c>
      <c r="V8" s="3306">
        <v>0.27</v>
      </c>
      <c r="W8" s="3306">
        <v>0.4</v>
      </c>
      <c r="X8" s="3306">
        <v>0.82</v>
      </c>
      <c r="Y8" s="3306">
        <v>0</v>
      </c>
      <c r="Z8" s="3306">
        <v>0</v>
      </c>
      <c r="AA8" s="3306">
        <v>0</v>
      </c>
      <c r="AB8" s="3306">
        <v>0</v>
      </c>
      <c r="AC8" s="3308"/>
      <c r="AD8" s="3308"/>
      <c r="AE8" s="3308"/>
      <c r="AF8" s="3308"/>
      <c r="AG8" s="3308"/>
      <c r="AH8" s="3308"/>
      <c r="AI8" s="3308"/>
      <c r="AJ8" s="3311"/>
      <c r="AK8" s="3311"/>
      <c r="AL8" s="3311"/>
      <c r="AM8" s="3311"/>
      <c r="AN8" s="3311"/>
      <c r="AO8" s="3311"/>
      <c r="AP8" s="3311"/>
    </row>
    <row r="10" spans="1:42" s="3309" customFormat="1" ht="12">
      <c r="C10" s="3594" t="s">
        <v>3079</v>
      </c>
      <c r="D10" s="3594"/>
      <c r="E10" s="3594"/>
      <c r="F10" s="3594"/>
      <c r="G10" s="3594"/>
      <c r="H10" s="3594"/>
      <c r="I10" s="3594"/>
      <c r="J10" s="3594"/>
      <c r="K10" s="3594"/>
      <c r="L10" s="3594"/>
      <c r="M10" s="3594"/>
      <c r="N10" s="3594"/>
      <c r="O10" s="3298"/>
      <c r="P10" s="3298"/>
      <c r="Q10" s="3298"/>
      <c r="R10" s="3298"/>
      <c r="S10" s="3298"/>
      <c r="T10" s="3298"/>
      <c r="U10" s="3298"/>
      <c r="V10" s="3298"/>
      <c r="W10" s="3298"/>
      <c r="X10" s="3298"/>
      <c r="Y10" s="3298"/>
      <c r="Z10" s="3298"/>
      <c r="AA10" s="3298"/>
      <c r="AB10" s="3298"/>
      <c r="AC10" s="3308"/>
      <c r="AD10" s="3308"/>
      <c r="AE10" s="3308"/>
      <c r="AF10" s="3308"/>
      <c r="AG10" s="3308"/>
      <c r="AH10" s="3308"/>
      <c r="AI10" s="3308"/>
      <c r="AJ10" s="3308"/>
      <c r="AK10" s="3308"/>
      <c r="AL10" s="3308"/>
      <c r="AM10" s="3308"/>
      <c r="AN10" s="3308"/>
      <c r="AO10" s="3308"/>
    </row>
    <row r="11" spans="1:42" s="3309" customFormat="1" ht="12">
      <c r="C11" s="3594" t="s">
        <v>3080</v>
      </c>
      <c r="D11" s="3594"/>
      <c r="E11" s="3594"/>
      <c r="F11" s="3594"/>
      <c r="G11" s="3594"/>
      <c r="H11" s="3594"/>
      <c r="I11" s="3594"/>
      <c r="J11" s="3594"/>
      <c r="K11" s="3594"/>
      <c r="L11" s="3594"/>
      <c r="M11" s="3594"/>
      <c r="N11" s="3594"/>
      <c r="O11" s="3298"/>
      <c r="P11" s="3298"/>
      <c r="Q11" s="3298"/>
      <c r="R11" s="3298"/>
      <c r="S11" s="3298"/>
      <c r="T11" s="3298"/>
      <c r="U11" s="3298"/>
      <c r="V11" s="3298"/>
      <c r="W11" s="3298"/>
      <c r="X11" s="3298"/>
      <c r="Y11" s="3298"/>
      <c r="Z11" s="3298"/>
      <c r="AA11" s="3298"/>
      <c r="AB11" s="3298"/>
      <c r="AC11" s="3308"/>
      <c r="AD11" s="3308"/>
      <c r="AE11" s="3308"/>
      <c r="AF11" s="3308"/>
      <c r="AG11" s="3308"/>
      <c r="AH11" s="3308"/>
      <c r="AI11" s="3308"/>
      <c r="AJ11" s="3308"/>
      <c r="AK11" s="3308"/>
      <c r="AL11" s="3308"/>
      <c r="AM11" s="3308"/>
      <c r="AN11" s="3308"/>
      <c r="AO11" s="3308"/>
    </row>
  </sheetData>
  <mergeCells count="16">
    <mergeCell ref="Q1:AB1"/>
    <mergeCell ref="A3:A8"/>
    <mergeCell ref="B3:B4"/>
    <mergeCell ref="B5:B8"/>
    <mergeCell ref="A1:A2"/>
    <mergeCell ref="B1:B2"/>
    <mergeCell ref="C1:C2"/>
    <mergeCell ref="D1:D2"/>
    <mergeCell ref="E1:E2"/>
    <mergeCell ref="F1:F2"/>
    <mergeCell ref="C10:N10"/>
    <mergeCell ref="C11:N11"/>
    <mergeCell ref="G1:G2"/>
    <mergeCell ref="H1:H2"/>
    <mergeCell ref="I1:K1"/>
    <mergeCell ref="L1:P1"/>
  </mergeCells>
  <phoneticPr fontId="229" type="noConversion"/>
  <pageMargins left="0.7" right="0.7" top="0.75" bottom="0.75" header="0.3" footer="0.3"/>
  <pageSetup paperSize="9" scale="6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A7" zoomScale="80" zoomScaleNormal="80" zoomScaleSheetLayoutView="80" workbookViewId="0">
      <selection activeCell="D30" sqref="D30"/>
    </sheetView>
  </sheetViews>
  <sheetFormatPr defaultColWidth="14.625" defaultRowHeight="13.5"/>
  <cols>
    <col min="1" max="1" width="24.375" style="3183" customWidth="1"/>
    <col min="2" max="16384" width="14.625" style="3183"/>
  </cols>
  <sheetData>
    <row r="1" spans="1:10" ht="16.5">
      <c r="A1" s="3182" t="s">
        <v>2823</v>
      </c>
      <c r="B1" s="3182">
        <f>SUM(B14:B23)</f>
        <v>278949</v>
      </c>
      <c r="C1" s="3191"/>
      <c r="D1" s="3191"/>
      <c r="E1" s="3191"/>
      <c r="F1" s="3191"/>
      <c r="G1" s="3192"/>
      <c r="H1" s="3192"/>
      <c r="I1" s="3192"/>
      <c r="J1" s="3192"/>
    </row>
    <row r="2" spans="1:10" ht="16.5">
      <c r="A2" s="3182" t="s">
        <v>2824</v>
      </c>
      <c r="B2" s="3182">
        <f>SUM(C14:C23)</f>
        <v>160409</v>
      </c>
      <c r="C2" s="3191"/>
      <c r="D2" s="3191"/>
      <c r="E2" s="3191"/>
      <c r="F2" s="3191"/>
      <c r="G2" s="3192"/>
      <c r="H2" s="3192"/>
      <c r="I2" s="3192"/>
      <c r="J2" s="3192"/>
    </row>
    <row r="3" spans="1:10" ht="16.5">
      <c r="A3" s="3182" t="s">
        <v>2825</v>
      </c>
      <c r="B3" s="3184">
        <f>项目基本情况!D3</f>
        <v>44125</v>
      </c>
      <c r="C3" s="3191"/>
      <c r="D3" s="3191"/>
      <c r="E3" s="3191"/>
      <c r="F3" s="3191"/>
      <c r="G3" s="3192"/>
      <c r="H3" s="3192"/>
      <c r="I3" s="3192"/>
      <c r="J3" s="3192"/>
    </row>
    <row r="4" spans="1:10" ht="33">
      <c r="A4" s="3182" t="s">
        <v>2826</v>
      </c>
      <c r="B4" s="3182" t="s">
        <v>2827</v>
      </c>
      <c r="C4" s="3182" t="s">
        <v>2828</v>
      </c>
      <c r="D4" s="3182" t="s">
        <v>2829</v>
      </c>
      <c r="E4" s="3191"/>
      <c r="F4" s="3191"/>
      <c r="G4" s="3192"/>
      <c r="H4" s="3192"/>
      <c r="I4" s="3192"/>
      <c r="J4" s="3192"/>
    </row>
    <row r="5" spans="1:10" ht="16.5">
      <c r="A5" s="3182" t="s">
        <v>2830</v>
      </c>
      <c r="B5" s="3182">
        <f ca="1">SUM(D14:D23)</f>
        <v>69709</v>
      </c>
      <c r="C5" s="3182">
        <f ca="1">ROUND(B5*10000/$B$1,0)</f>
        <v>2499</v>
      </c>
      <c r="D5" s="3182">
        <f ca="1">ROUND(B5*10000/$B$2,0)</f>
        <v>4346</v>
      </c>
      <c r="E5" s="3191"/>
      <c r="F5" s="3191"/>
      <c r="G5" s="3192"/>
      <c r="H5" s="3192"/>
      <c r="I5" s="3192"/>
      <c r="J5" s="3192"/>
    </row>
    <row r="6" spans="1:10" ht="16.5">
      <c r="A6" s="3182" t="s">
        <v>2831</v>
      </c>
      <c r="B6" s="3182">
        <f>SUM(G14:G23)</f>
        <v>0</v>
      </c>
      <c r="C6" s="3182">
        <f t="shared" ref="C6:C8" si="0">ROUND(B6*10000/$B$1,0)</f>
        <v>0</v>
      </c>
      <c r="D6" s="3182">
        <f t="shared" ref="D6:D8" si="1">ROUND(B6*10000/$B$2,0)</f>
        <v>0</v>
      </c>
      <c r="E6" s="3191"/>
      <c r="F6" s="3191"/>
      <c r="G6" s="3192"/>
      <c r="H6" s="3192"/>
      <c r="I6" s="3192"/>
      <c r="J6" s="3192"/>
    </row>
    <row r="7" spans="1:10" ht="16.5">
      <c r="A7" s="3182" t="s">
        <v>2832</v>
      </c>
      <c r="B7" s="3182">
        <f>SUM(H14:H23)</f>
        <v>0</v>
      </c>
      <c r="C7" s="3182">
        <f t="shared" si="0"/>
        <v>0</v>
      </c>
      <c r="D7" s="3182">
        <f t="shared" si="1"/>
        <v>0</v>
      </c>
      <c r="E7" s="3191"/>
      <c r="F7" s="3191"/>
      <c r="G7" s="3192"/>
      <c r="H7" s="3192"/>
      <c r="I7" s="3192"/>
      <c r="J7" s="3192"/>
    </row>
    <row r="8" spans="1:10" ht="16.5">
      <c r="A8" s="3182" t="s">
        <v>2833</v>
      </c>
      <c r="B8" s="3182">
        <f>SUM(I14:I23)</f>
        <v>0</v>
      </c>
      <c r="C8" s="3182">
        <f t="shared" si="0"/>
        <v>0</v>
      </c>
      <c r="D8" s="3182">
        <f t="shared" si="1"/>
        <v>0</v>
      </c>
      <c r="E8" s="3191"/>
      <c r="F8" s="3191"/>
      <c r="G8" s="3192"/>
      <c r="H8" s="3192"/>
      <c r="I8" s="3192"/>
      <c r="J8" s="3192"/>
    </row>
    <row r="9" spans="1:10" ht="16.5">
      <c r="A9" s="3182" t="s">
        <v>2834</v>
      </c>
      <c r="B9" s="3190"/>
      <c r="C9" s="3191"/>
      <c r="D9" s="3191"/>
      <c r="E9" s="3191"/>
      <c r="F9" s="3191"/>
      <c r="G9" s="3192"/>
      <c r="H9" s="3192"/>
      <c r="I9" s="3192"/>
      <c r="J9" s="3192"/>
    </row>
    <row r="10" spans="1:10" ht="16.5">
      <c r="A10" s="3182" t="s">
        <v>2835</v>
      </c>
      <c r="B10" s="3190"/>
      <c r="C10" s="3191"/>
      <c r="D10" s="3191"/>
      <c r="E10" s="3191"/>
      <c r="F10" s="3191"/>
      <c r="G10" s="3192"/>
      <c r="H10" s="3192"/>
      <c r="I10" s="3192"/>
      <c r="J10" s="3192"/>
    </row>
    <row r="11" spans="1:10" ht="16.5">
      <c r="A11" s="3182" t="s">
        <v>2852</v>
      </c>
      <c r="B11" s="3190"/>
      <c r="C11" s="3191"/>
      <c r="D11" s="3191"/>
      <c r="E11" s="3191"/>
      <c r="F11" s="3191"/>
      <c r="G11" s="3192"/>
      <c r="H11" s="3192"/>
      <c r="I11" s="3192"/>
      <c r="J11" s="3192"/>
    </row>
    <row r="12" spans="1:10" ht="16.5">
      <c r="A12" s="3191"/>
      <c r="B12" s="3191"/>
      <c r="C12" s="3191"/>
      <c r="D12" s="3191"/>
      <c r="E12" s="3191"/>
      <c r="F12" s="3191"/>
      <c r="G12" s="3192"/>
      <c r="H12" s="3192"/>
      <c r="I12" s="3192"/>
      <c r="J12" s="3192"/>
    </row>
    <row r="13" spans="1:10" ht="33">
      <c r="A13" s="3185" t="s">
        <v>2851</v>
      </c>
      <c r="B13" s="3186" t="s">
        <v>2823</v>
      </c>
      <c r="C13" s="3186" t="s">
        <v>2824</v>
      </c>
      <c r="D13" s="3186" t="s">
        <v>2836</v>
      </c>
      <c r="E13" s="3182" t="s">
        <v>2850</v>
      </c>
      <c r="F13" s="3182" t="s">
        <v>2829</v>
      </c>
      <c r="G13" s="3186" t="s">
        <v>2837</v>
      </c>
      <c r="H13" s="3186" t="s">
        <v>2838</v>
      </c>
      <c r="I13" s="3186" t="s">
        <v>2839</v>
      </c>
      <c r="J13" s="3192"/>
    </row>
    <row r="14" spans="1:10" ht="16.5">
      <c r="A14" s="3187" t="s">
        <v>2849</v>
      </c>
      <c r="B14" s="3188">
        <f>结果表!L38</f>
        <v>278949</v>
      </c>
      <c r="C14" s="3188">
        <f>结果表!K38</f>
        <v>160409</v>
      </c>
      <c r="D14" s="3188">
        <f ca="1">结果表!C42</f>
        <v>69709</v>
      </c>
      <c r="E14" s="3188">
        <f ca="1">ROUND(D14*10000/B14,0)</f>
        <v>2499</v>
      </c>
      <c r="F14" s="3188">
        <f ca="1">ROUND(D14*10000/C14,0)</f>
        <v>4346</v>
      </c>
      <c r="G14" s="3188" t="str">
        <f>结果表!C44</f>
        <v>——</v>
      </c>
      <c r="H14" s="3188" t="str">
        <f>结果表!C45</f>
        <v>——</v>
      </c>
      <c r="I14" s="3188" t="str">
        <f>结果表!C46</f>
        <v>——</v>
      </c>
      <c r="J14" s="3192"/>
    </row>
    <row r="15" spans="1:10" ht="16.5">
      <c r="A15" s="3187" t="s">
        <v>2840</v>
      </c>
      <c r="B15" s="3189"/>
      <c r="C15" s="3189"/>
      <c r="D15" s="3189"/>
      <c r="E15" s="3188" t="e">
        <f t="shared" ref="E15:E23" si="2">ROUND(D15*10000/B15,0)</f>
        <v>#DIV/0!</v>
      </c>
      <c r="F15" s="3188" t="e">
        <f t="shared" ref="F15:F23" si="3">ROUND(D15*10000/C15,0)</f>
        <v>#DIV/0!</v>
      </c>
      <c r="G15" s="2756"/>
      <c r="H15" s="2756"/>
      <c r="I15" s="3189"/>
      <c r="J15" s="3192"/>
    </row>
    <row r="16" spans="1:10" ht="16.5">
      <c r="A16" s="3187" t="s">
        <v>2841</v>
      </c>
      <c r="B16" s="3189"/>
      <c r="C16" s="3189"/>
      <c r="D16" s="3189"/>
      <c r="E16" s="3188" t="e">
        <f t="shared" si="2"/>
        <v>#DIV/0!</v>
      </c>
      <c r="F16" s="3188" t="e">
        <f t="shared" si="3"/>
        <v>#DIV/0!</v>
      </c>
      <c r="G16" s="2756"/>
      <c r="H16" s="2756"/>
      <c r="I16" s="3189"/>
      <c r="J16" s="3192"/>
    </row>
    <row r="17" spans="1:10" ht="16.5">
      <c r="A17" s="3187" t="s">
        <v>2842</v>
      </c>
      <c r="B17" s="3189"/>
      <c r="C17" s="3189"/>
      <c r="D17" s="3189"/>
      <c r="E17" s="3188" t="e">
        <f t="shared" si="2"/>
        <v>#DIV/0!</v>
      </c>
      <c r="F17" s="3188" t="e">
        <f t="shared" si="3"/>
        <v>#DIV/0!</v>
      </c>
      <c r="G17" s="2756"/>
      <c r="H17" s="2756"/>
      <c r="I17" s="3189"/>
      <c r="J17" s="3192"/>
    </row>
    <row r="18" spans="1:10" ht="16.5">
      <c r="A18" s="3187" t="s">
        <v>2843</v>
      </c>
      <c r="B18" s="3189"/>
      <c r="C18" s="3189"/>
      <c r="D18" s="3189"/>
      <c r="E18" s="3188" t="e">
        <f t="shared" si="2"/>
        <v>#DIV/0!</v>
      </c>
      <c r="F18" s="3188" t="e">
        <f t="shared" si="3"/>
        <v>#DIV/0!</v>
      </c>
      <c r="G18" s="3189"/>
      <c r="H18" s="3189"/>
      <c r="I18" s="3189"/>
      <c r="J18" s="3192"/>
    </row>
    <row r="19" spans="1:10" ht="16.5">
      <c r="A19" s="3187" t="s">
        <v>2844</v>
      </c>
      <c r="B19" s="3189"/>
      <c r="C19" s="3189"/>
      <c r="D19" s="3189"/>
      <c r="E19" s="3188" t="e">
        <f t="shared" si="2"/>
        <v>#DIV/0!</v>
      </c>
      <c r="F19" s="3188" t="e">
        <f t="shared" si="3"/>
        <v>#DIV/0!</v>
      </c>
      <c r="G19" s="3189"/>
      <c r="H19" s="3189"/>
      <c r="I19" s="3189"/>
      <c r="J19" s="3192"/>
    </row>
    <row r="20" spans="1:10" ht="16.5">
      <c r="A20" s="3187" t="s">
        <v>2845</v>
      </c>
      <c r="B20" s="3189"/>
      <c r="C20" s="3189"/>
      <c r="D20" s="3189"/>
      <c r="E20" s="3188" t="e">
        <f t="shared" si="2"/>
        <v>#DIV/0!</v>
      </c>
      <c r="F20" s="3188" t="e">
        <f t="shared" si="3"/>
        <v>#DIV/0!</v>
      </c>
      <c r="G20" s="3189"/>
      <c r="H20" s="3189"/>
      <c r="I20" s="3189"/>
      <c r="J20" s="3192"/>
    </row>
    <row r="21" spans="1:10" ht="16.5">
      <c r="A21" s="3187" t="s">
        <v>2846</v>
      </c>
      <c r="B21" s="3189"/>
      <c r="C21" s="3189"/>
      <c r="D21" s="3189"/>
      <c r="E21" s="3188" t="e">
        <f t="shared" si="2"/>
        <v>#DIV/0!</v>
      </c>
      <c r="F21" s="3188" t="e">
        <f t="shared" si="3"/>
        <v>#DIV/0!</v>
      </c>
      <c r="G21" s="3189"/>
      <c r="H21" s="3189"/>
      <c r="I21" s="3189"/>
      <c r="J21" s="3192"/>
    </row>
    <row r="22" spans="1:10" ht="16.5">
      <c r="A22" s="3187" t="s">
        <v>2847</v>
      </c>
      <c r="B22" s="3189"/>
      <c r="C22" s="3189"/>
      <c r="D22" s="3189"/>
      <c r="E22" s="3188" t="e">
        <f t="shared" si="2"/>
        <v>#DIV/0!</v>
      </c>
      <c r="F22" s="3188" t="e">
        <f t="shared" si="3"/>
        <v>#DIV/0!</v>
      </c>
      <c r="G22" s="3189"/>
      <c r="H22" s="3189"/>
      <c r="I22" s="3189"/>
      <c r="J22" s="3192"/>
    </row>
    <row r="23" spans="1:10" ht="16.5">
      <c r="A23" s="3187" t="s">
        <v>2848</v>
      </c>
      <c r="B23" s="3189"/>
      <c r="C23" s="3189"/>
      <c r="D23" s="3189"/>
      <c r="E23" s="3190" t="e">
        <f t="shared" si="2"/>
        <v>#DIV/0!</v>
      </c>
      <c r="F23" s="3190" t="e">
        <f t="shared" si="3"/>
        <v>#DIV/0!</v>
      </c>
      <c r="G23" s="3189"/>
      <c r="H23" s="3189"/>
      <c r="I23" s="3189"/>
      <c r="J23" s="3192"/>
    </row>
    <row r="24" spans="1:10">
      <c r="A24" s="3192"/>
      <c r="B24" s="3192"/>
      <c r="C24" s="3192"/>
      <c r="D24" s="3192"/>
      <c r="E24" s="3192"/>
      <c r="F24" s="3192"/>
      <c r="G24" s="3192"/>
      <c r="H24" s="3192"/>
      <c r="I24" s="3192"/>
      <c r="J24" s="3192"/>
    </row>
    <row r="25" spans="1:10">
      <c r="A25" s="3192"/>
      <c r="B25" s="3192"/>
      <c r="C25" s="3192"/>
      <c r="D25" s="3192"/>
      <c r="E25" s="3192"/>
      <c r="F25" s="3192"/>
      <c r="G25" s="3192"/>
      <c r="H25" s="3192"/>
      <c r="I25" s="3192"/>
      <c r="J25" s="3192"/>
    </row>
    <row r="26" spans="1:10">
      <c r="A26" s="3192"/>
      <c r="B26" s="3192"/>
      <c r="C26" s="3192"/>
      <c r="D26" s="3192"/>
      <c r="E26" s="3192"/>
      <c r="F26" s="3192"/>
      <c r="G26" s="3192"/>
      <c r="H26" s="3192"/>
      <c r="I26" s="3192"/>
      <c r="J26" s="3192"/>
    </row>
  </sheetData>
  <sheetProtection password="CEE9" sheet="1" objects="1" scenarios="1" formatCells="0" formatColumns="0" formatRows="0"/>
  <phoneticPr fontId="229" type="noConversion"/>
  <pageMargins left="0.7" right="0.7" top="0.75" bottom="0.75" header="0.3" footer="0.3"/>
  <pageSetup paperSize="9" scale="85" orientation="landscape"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8" sqref="D8:D9"/>
    </sheetView>
  </sheetViews>
  <sheetFormatPr defaultColWidth="12.625" defaultRowHeight="21.75" customHeight="1"/>
  <cols>
    <col min="1" max="2" width="12.625" style="1203" bestFit="1" customWidth="1"/>
    <col min="3" max="4" width="12.625" style="1203" customWidth="1"/>
    <col min="5" max="9" width="12.625" style="1203" bestFit="1" customWidth="1"/>
    <col min="10" max="10" width="2.125" style="255" customWidth="1"/>
    <col min="11" max="12" width="12.625" style="255" customWidth="1"/>
    <col min="13" max="13" width="12.625" style="255"/>
    <col min="14" max="14" width="15.625" style="255" bestFit="1" customWidth="1"/>
    <col min="15" max="19" width="12.625" style="255" bestFit="1" customWidth="1"/>
    <col min="20" max="26" width="12.625" style="255"/>
    <col min="27" max="16384" width="12.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641" t="str">
        <f>项目基本情况!K2</f>
        <v>河北省出让国有建设用地使用权</v>
      </c>
      <c r="B2" s="3642"/>
      <c r="C2" s="3643"/>
      <c r="D2" s="3643"/>
      <c r="E2" s="3643"/>
      <c r="F2" s="3643"/>
      <c r="G2" s="3642"/>
      <c r="H2" s="3642"/>
      <c r="I2" s="3644"/>
      <c r="J2" s="1911"/>
      <c r="K2" s="1910"/>
      <c r="L2" s="1910"/>
      <c r="M2" s="1910"/>
      <c r="N2" s="1910"/>
      <c r="O2" s="1910"/>
      <c r="P2" s="1910"/>
      <c r="Q2" s="1910"/>
      <c r="R2" s="1910"/>
      <c r="S2" s="1910"/>
      <c r="T2" s="1910"/>
      <c r="U2" s="1910"/>
      <c r="V2" s="1910"/>
    </row>
    <row r="3" spans="1:22" ht="14.25">
      <c r="A3" s="3651" t="s">
        <v>298</v>
      </c>
      <c r="B3" s="3652"/>
      <c r="C3" s="3652"/>
      <c r="D3" s="3652"/>
      <c r="E3" s="3652"/>
      <c r="F3" s="3652"/>
      <c r="G3" s="3652"/>
      <c r="H3" s="3652"/>
      <c r="I3" s="3652"/>
      <c r="J3" s="1911"/>
      <c r="K3" s="1910"/>
      <c r="L3" s="1910"/>
      <c r="M3" s="1910"/>
      <c r="N3" s="1910"/>
      <c r="O3" s="1910"/>
      <c r="P3" s="1910"/>
      <c r="Q3" s="1910"/>
      <c r="R3" s="1910"/>
      <c r="S3" s="1910"/>
      <c r="T3" s="1910"/>
      <c r="U3" s="1910"/>
      <c r="V3" s="1910"/>
    </row>
    <row r="4" spans="1:22" ht="14.25">
      <c r="A4" s="256" t="s">
        <v>299</v>
      </c>
      <c r="B4" s="257" t="s">
        <v>300</v>
      </c>
      <c r="C4" s="258" t="s">
        <v>3417</v>
      </c>
      <c r="D4" s="258" t="s">
        <v>3418</v>
      </c>
      <c r="E4" s="3616" t="s">
        <v>301</v>
      </c>
      <c r="F4" s="3657"/>
      <c r="G4" s="3657"/>
      <c r="H4" s="3657"/>
      <c r="I4" s="3617"/>
      <c r="J4" s="1911"/>
      <c r="K4" s="1910"/>
      <c r="L4" s="3193"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4.25">
      <c r="A5" s="3645" t="s">
        <v>302</v>
      </c>
      <c r="B5" s="3465">
        <v>25</v>
      </c>
      <c r="C5" s="3653">
        <v>5</v>
      </c>
      <c r="D5" s="3656">
        <v>5</v>
      </c>
      <c r="E5" s="259" t="s">
        <v>303</v>
      </c>
      <c r="F5" s="260"/>
      <c r="G5" s="260"/>
      <c r="H5" s="260"/>
      <c r="I5" s="261"/>
      <c r="J5" s="1911"/>
      <c r="K5" s="1910"/>
      <c r="L5" s="1910"/>
      <c r="M5" s="1910"/>
      <c r="N5" s="1910"/>
      <c r="O5" s="1910"/>
      <c r="P5" s="1910"/>
      <c r="Q5" s="1910"/>
      <c r="R5" s="1910"/>
      <c r="S5" s="1910"/>
      <c r="T5" s="1910"/>
      <c r="U5" s="1910"/>
      <c r="V5" s="1910"/>
    </row>
    <row r="6" spans="1:22" ht="14.25">
      <c r="A6" s="3645"/>
      <c r="B6" s="3465"/>
      <c r="C6" s="3654"/>
      <c r="D6" s="3656"/>
      <c r="E6" s="259" t="s">
        <v>304</v>
      </c>
      <c r="F6" s="260"/>
      <c r="G6" s="260"/>
      <c r="H6" s="260"/>
      <c r="I6" s="261"/>
      <c r="J6" s="1911"/>
      <c r="K6" s="1910"/>
      <c r="L6" s="1910"/>
      <c r="M6" s="1910"/>
      <c r="N6" s="1910"/>
      <c r="O6" s="1910"/>
      <c r="P6" s="1910"/>
      <c r="Q6" s="1910"/>
      <c r="R6" s="1910"/>
      <c r="S6" s="1910"/>
      <c r="T6" s="1910"/>
      <c r="U6" s="1910"/>
      <c r="V6" s="1910"/>
    </row>
    <row r="7" spans="1:22" ht="14.25">
      <c r="A7" s="3645"/>
      <c r="B7" s="3465"/>
      <c r="C7" s="3655"/>
      <c r="D7" s="3656"/>
      <c r="E7" s="259" t="s">
        <v>305</v>
      </c>
      <c r="F7" s="260"/>
      <c r="G7" s="260"/>
      <c r="H7" s="260"/>
      <c r="I7" s="261"/>
      <c r="J7" s="1911"/>
      <c r="K7" s="1910"/>
      <c r="L7" s="1910"/>
      <c r="M7" s="1910"/>
      <c r="N7" s="1910"/>
      <c r="O7" s="1910"/>
      <c r="P7" s="1910"/>
      <c r="Q7" s="1910"/>
      <c r="R7" s="1910"/>
      <c r="S7" s="1910"/>
      <c r="T7" s="1910"/>
      <c r="U7" s="1910"/>
      <c r="V7" s="1910"/>
    </row>
    <row r="8" spans="1:22" ht="14.25">
      <c r="A8" s="3645" t="s">
        <v>306</v>
      </c>
      <c r="B8" s="3465">
        <v>15</v>
      </c>
      <c r="C8" s="3653"/>
      <c r="D8" s="3656"/>
      <c r="E8" s="259" t="s">
        <v>307</v>
      </c>
      <c r="F8" s="260"/>
      <c r="G8" s="260"/>
      <c r="H8" s="260"/>
      <c r="I8" s="261"/>
      <c r="J8" s="1911"/>
      <c r="K8" s="1910"/>
      <c r="L8" s="1910"/>
      <c r="M8" s="1910"/>
      <c r="N8" s="1910"/>
      <c r="O8" s="1910"/>
      <c r="P8" s="1910"/>
      <c r="Q8" s="1910"/>
      <c r="R8" s="1910"/>
      <c r="S8" s="1910"/>
      <c r="T8" s="1910"/>
      <c r="U8" s="1910"/>
      <c r="V8" s="1910"/>
    </row>
    <row r="9" spans="1:22" ht="14.25">
      <c r="A9" s="3645"/>
      <c r="B9" s="3465"/>
      <c r="C9" s="3655"/>
      <c r="D9" s="3656"/>
      <c r="E9" s="259" t="s">
        <v>308</v>
      </c>
      <c r="F9" s="260"/>
      <c r="G9" s="260"/>
      <c r="H9" s="260"/>
      <c r="I9" s="261"/>
      <c r="J9" s="1911"/>
      <c r="K9" s="1910"/>
      <c r="L9" s="1910"/>
      <c r="M9" s="1910"/>
      <c r="N9" s="1910"/>
      <c r="O9" s="1910"/>
      <c r="P9" s="1910"/>
      <c r="Q9" s="1910"/>
      <c r="R9" s="1910"/>
      <c r="S9" s="1910"/>
      <c r="T9" s="1910"/>
      <c r="U9" s="1910"/>
      <c r="V9" s="1910"/>
    </row>
    <row r="10" spans="1:22" ht="14.25">
      <c r="A10" s="3645" t="s">
        <v>309</v>
      </c>
      <c r="B10" s="3465">
        <v>15</v>
      </c>
      <c r="C10" s="3653"/>
      <c r="D10" s="3656"/>
      <c r="E10" s="259" t="s">
        <v>310</v>
      </c>
      <c r="F10" s="260"/>
      <c r="G10" s="260"/>
      <c r="H10" s="260"/>
      <c r="I10" s="261"/>
      <c r="J10" s="1911"/>
      <c r="K10" s="1910"/>
      <c r="L10" s="1910"/>
      <c r="M10" s="1910"/>
      <c r="N10" s="1910"/>
      <c r="O10" s="1910"/>
      <c r="P10" s="1910"/>
      <c r="Q10" s="1910"/>
      <c r="R10" s="1910"/>
      <c r="S10" s="1910"/>
      <c r="T10" s="1910"/>
      <c r="U10" s="1910"/>
      <c r="V10" s="1910"/>
    </row>
    <row r="11" spans="1:22" ht="14.25">
      <c r="A11" s="3645"/>
      <c r="B11" s="3465"/>
      <c r="C11" s="3655"/>
      <c r="D11" s="3656"/>
      <c r="E11" s="259" t="s">
        <v>311</v>
      </c>
      <c r="F11" s="260"/>
      <c r="G11" s="260"/>
      <c r="H11" s="260"/>
      <c r="I11" s="261"/>
      <c r="J11" s="1911"/>
      <c r="K11" s="1910"/>
      <c r="L11" s="1910"/>
      <c r="M11" s="1910"/>
      <c r="N11" s="1910"/>
      <c r="O11" s="1910"/>
      <c r="P11" s="1910"/>
      <c r="Q11" s="1910"/>
      <c r="R11" s="1910"/>
      <c r="S11" s="1910"/>
      <c r="T11" s="1910"/>
      <c r="U11" s="1910"/>
      <c r="V11" s="1910"/>
    </row>
    <row r="12" spans="1:22" ht="14.25">
      <c r="A12" s="3645" t="s">
        <v>312</v>
      </c>
      <c r="B12" s="3465">
        <v>15</v>
      </c>
      <c r="C12" s="3653"/>
      <c r="D12" s="3656"/>
      <c r="E12" s="259" t="s">
        <v>313</v>
      </c>
      <c r="F12" s="260"/>
      <c r="G12" s="260"/>
      <c r="H12" s="260"/>
      <c r="I12" s="261"/>
      <c r="J12" s="1911"/>
      <c r="K12" s="1910"/>
      <c r="L12" s="1910"/>
      <c r="M12" s="1910"/>
      <c r="N12" s="1910"/>
      <c r="O12" s="1910"/>
      <c r="P12" s="1910"/>
      <c r="Q12" s="1910"/>
      <c r="R12" s="1910"/>
      <c r="S12" s="1910"/>
      <c r="T12" s="1910"/>
      <c r="U12" s="1910"/>
      <c r="V12" s="1910"/>
    </row>
    <row r="13" spans="1:22" ht="14.25">
      <c r="A13" s="3645"/>
      <c r="B13" s="3465"/>
      <c r="C13" s="3655"/>
      <c r="D13" s="3656"/>
      <c r="E13" s="259" t="s">
        <v>314</v>
      </c>
      <c r="F13" s="260"/>
      <c r="G13" s="260"/>
      <c r="H13" s="260"/>
      <c r="I13" s="261"/>
      <c r="J13" s="1911"/>
      <c r="K13" s="1910"/>
      <c r="L13" s="1910"/>
      <c r="M13" s="1910"/>
      <c r="N13" s="1910"/>
      <c r="O13" s="1910"/>
      <c r="P13" s="1910"/>
      <c r="Q13" s="1910"/>
      <c r="R13" s="1910"/>
      <c r="S13" s="1910"/>
      <c r="T13" s="1910"/>
      <c r="U13" s="1910"/>
      <c r="V13" s="1910"/>
    </row>
    <row r="14" spans="1:22" ht="14.25">
      <c r="A14" s="3645" t="s">
        <v>315</v>
      </c>
      <c r="B14" s="3465">
        <v>30</v>
      </c>
      <c r="C14" s="3653"/>
      <c r="D14" s="3656"/>
      <c r="E14" s="259" t="s">
        <v>316</v>
      </c>
      <c r="F14" s="260"/>
      <c r="G14" s="260"/>
      <c r="H14" s="260"/>
      <c r="I14" s="261"/>
      <c r="J14" s="1911"/>
      <c r="K14" s="1910"/>
      <c r="L14" s="1910"/>
      <c r="M14" s="1910"/>
      <c r="N14" s="1910"/>
      <c r="O14" s="1910"/>
      <c r="P14" s="1910"/>
      <c r="Q14" s="1910"/>
      <c r="R14" s="1910"/>
      <c r="S14" s="1910"/>
      <c r="T14" s="1910"/>
      <c r="U14" s="1910"/>
      <c r="V14" s="1910"/>
    </row>
    <row r="15" spans="1:22" ht="14.25">
      <c r="A15" s="3645"/>
      <c r="B15" s="3465"/>
      <c r="C15" s="3654"/>
      <c r="D15" s="3656"/>
      <c r="E15" s="259" t="s">
        <v>317</v>
      </c>
      <c r="F15" s="260"/>
      <c r="G15" s="260"/>
      <c r="H15" s="260"/>
      <c r="I15" s="261"/>
      <c r="J15" s="1911"/>
      <c r="K15" s="1910"/>
      <c r="L15" s="1910"/>
      <c r="M15" s="1910"/>
      <c r="N15" s="1910"/>
      <c r="O15" s="1910"/>
      <c r="P15" s="1910"/>
      <c r="Q15" s="1910"/>
      <c r="R15" s="1910"/>
      <c r="S15" s="1910"/>
      <c r="T15" s="1910"/>
      <c r="U15" s="1910"/>
      <c r="V15" s="1910"/>
    </row>
    <row r="16" spans="1:22" ht="14.25">
      <c r="A16" s="3645"/>
      <c r="B16" s="3465"/>
      <c r="C16" s="3655"/>
      <c r="D16" s="3656"/>
      <c r="E16" s="259" t="s">
        <v>318</v>
      </c>
      <c r="F16" s="260"/>
      <c r="G16" s="260"/>
      <c r="H16" s="260"/>
      <c r="I16" s="261"/>
      <c r="J16" s="1911"/>
      <c r="K16" s="1910"/>
      <c r="L16" s="1910"/>
      <c r="M16" s="1910"/>
      <c r="N16" s="1910"/>
      <c r="O16" s="1910"/>
      <c r="P16" s="1910"/>
      <c r="Q16" s="1910"/>
      <c r="R16" s="1910"/>
      <c r="S16" s="1910"/>
      <c r="T16" s="1910"/>
      <c r="U16" s="1910"/>
      <c r="V16" s="1910"/>
    </row>
    <row r="17" spans="1:26" ht="15">
      <c r="A17" s="262" t="s">
        <v>319</v>
      </c>
      <c r="B17" s="142"/>
      <c r="C17" s="263">
        <f>SUM(C5:C16)</f>
        <v>5</v>
      </c>
      <c r="D17" s="263">
        <f>SUM(D5:D16)</f>
        <v>5</v>
      </c>
      <c r="E17" s="309"/>
      <c r="F17" s="309"/>
      <c r="G17" s="309"/>
      <c r="H17" s="309"/>
      <c r="I17" s="309"/>
      <c r="J17" s="1911"/>
      <c r="K17" s="1910"/>
      <c r="L17" s="1910"/>
      <c r="M17" s="1910"/>
      <c r="N17" s="1910"/>
      <c r="O17" s="1910"/>
      <c r="P17" s="1910"/>
      <c r="Q17" s="1910"/>
      <c r="R17" s="1910"/>
      <c r="S17" s="1910"/>
      <c r="T17" s="1910"/>
      <c r="U17" s="1910"/>
      <c r="V17" s="1910"/>
    </row>
    <row r="18" spans="1:26" ht="32.450000000000003" customHeight="1" thickBot="1">
      <c r="A18" s="264" t="s">
        <v>320</v>
      </c>
      <c r="B18" s="105"/>
      <c r="C18" s="265">
        <f>ROUND(C17/SUM(C17:D17),2)</f>
        <v>0.5</v>
      </c>
      <c r="D18" s="265">
        <f>1-C18</f>
        <v>0.5</v>
      </c>
      <c r="E18" s="3658" t="s">
        <v>2957</v>
      </c>
      <c r="F18" s="3659"/>
      <c r="G18" s="3659"/>
      <c r="H18" s="3659"/>
      <c r="I18" s="3659"/>
      <c r="J18" s="1910"/>
      <c r="K18" s="1910"/>
      <c r="L18" s="1910"/>
      <c r="M18" s="1910"/>
      <c r="N18" s="1910"/>
      <c r="O18" s="1910"/>
      <c r="P18" s="1910"/>
      <c r="Q18" s="1910"/>
      <c r="R18" s="1910"/>
      <c r="S18" s="1910"/>
      <c r="T18" s="1910"/>
      <c r="U18" s="1910"/>
      <c r="V18" s="1910"/>
    </row>
    <row r="19" spans="1:26" ht="15">
      <c r="A19" s="266" t="s">
        <v>321</v>
      </c>
      <c r="B19" s="267" t="s">
        <v>322</v>
      </c>
      <c r="C19" s="268">
        <f ca="1">SUMIF(INDIRECT("'"&amp;C4&amp;"'"&amp;"!A:A"),结果表!B19,INDIRECT("'"&amp;C4&amp;"'"&amp;"!B:B"))</f>
        <v>41320</v>
      </c>
      <c r="D19" s="269">
        <f ca="1">SUMIF(INDIRECT("'"&amp;D4&amp;"'"&amp;"!A:A"),结果表!B19,INDIRECT("'"&amp;D4&amp;"'"&amp;"!B:B"))</f>
        <v>98098</v>
      </c>
      <c r="E19" s="266" t="s">
        <v>323</v>
      </c>
      <c r="F19" s="267" t="s">
        <v>322</v>
      </c>
      <c r="G19" s="270">
        <f ca="1">ROUND(C19*$C$18+D19*$D$18,0)</f>
        <v>69709</v>
      </c>
      <c r="H19" s="271" t="s">
        <v>324</v>
      </c>
      <c r="I19" s="309"/>
      <c r="J19" s="1910"/>
      <c r="K19" s="1910"/>
      <c r="L19" s="1910"/>
      <c r="M19" s="1910"/>
      <c r="N19" s="1910"/>
      <c r="O19" s="1910"/>
      <c r="P19" s="1910"/>
      <c r="Q19" s="1910"/>
      <c r="R19" s="1910"/>
      <c r="S19" s="1910"/>
      <c r="T19" s="1910"/>
      <c r="U19" s="1910"/>
      <c r="V19" s="1910"/>
    </row>
    <row r="20" spans="1:26" ht="15">
      <c r="A20" s="272"/>
      <c r="B20" s="273" t="s">
        <v>325</v>
      </c>
      <c r="C20" s="274">
        <f ca="1">SUMIF(INDIRECT("'"&amp;C4&amp;"'"&amp;"!A:A"),结果表!B20,INDIRECT("'"&amp;C4&amp;"'"&amp;"!B:B"))</f>
        <v>1481</v>
      </c>
      <c r="D20" s="275">
        <f ca="1">SUMIF(INDIRECT("'"&amp;D4&amp;"'"&amp;"!A:A"),结果表!B20,INDIRECT("'"&amp;D4&amp;"'"&amp;"!B:B"))</f>
        <v>3517</v>
      </c>
      <c r="E20" s="272"/>
      <c r="F20" s="273" t="s">
        <v>325</v>
      </c>
      <c r="G20" s="276">
        <f ca="1">ROUND(C20*$C$18+D20*$D$18,0)</f>
        <v>2499</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2576</v>
      </c>
      <c r="D21" s="149">
        <f ca="1">SUMIF(INDIRECT("'"&amp;D4&amp;"'"&amp;"!A:A"),结果表!B21,INDIRECT("'"&amp;D4&amp;"'"&amp;"!B:B"))</f>
        <v>6115</v>
      </c>
      <c r="E21" s="272"/>
      <c r="F21" s="278" t="s">
        <v>327</v>
      </c>
      <c r="G21" s="280">
        <f ca="1">ROUND(C21*$C$18+D21*$D$18,0)</f>
        <v>4346</v>
      </c>
      <c r="H21" s="1204" t="s">
        <v>326</v>
      </c>
      <c r="I21" s="309"/>
      <c r="J21" s="1910"/>
      <c r="K21" s="1910"/>
      <c r="L21" s="1910"/>
      <c r="M21" s="1910"/>
      <c r="N21" s="1910"/>
      <c r="O21" s="1910"/>
      <c r="P21" s="1910"/>
      <c r="Q21" s="1910"/>
      <c r="R21" s="1910"/>
      <c r="S21" s="1910"/>
      <c r="T21" s="1910"/>
      <c r="U21" s="1910"/>
      <c r="V21" s="1910"/>
    </row>
    <row r="22" spans="1:26" ht="15.75" thickBot="1">
      <c r="A22" s="126" t="s">
        <v>328</v>
      </c>
      <c r="B22" s="1205"/>
      <c r="C22" s="1206"/>
      <c r="D22" s="281">
        <f ca="1">IF(C19&lt;D19,D19/C19-1,C19/D19-1)</f>
        <v>1.3741045498547919</v>
      </c>
      <c r="E22" s="282"/>
      <c r="F22" s="283"/>
      <c r="G22" s="284">
        <f ca="1">ROUND(G19/('数据-汇总表'!D3/666.67),0)</f>
        <v>290</v>
      </c>
      <c r="H22" s="285" t="s">
        <v>329</v>
      </c>
      <c r="I22" s="309"/>
      <c r="J22" s="1910"/>
      <c r="K22" s="1910"/>
      <c r="L22" s="1910"/>
      <c r="M22" s="1910"/>
      <c r="N22" s="1910"/>
      <c r="O22" s="1910"/>
      <c r="P22" s="1910"/>
      <c r="Q22" s="1910"/>
      <c r="R22" s="1910"/>
      <c r="S22" s="1910"/>
      <c r="T22" s="1910"/>
      <c r="U22" s="1910"/>
      <c r="V22" s="1910"/>
    </row>
    <row r="23" spans="1:26" ht="13.5"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618"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8">
      <c r="A25" s="3664"/>
      <c r="B25" s="1274" t="s">
        <v>331</v>
      </c>
      <c r="C25" s="288">
        <f>IF(B30=0,0,C30)</f>
        <v>0</v>
      </c>
      <c r="D25" s="289"/>
      <c r="E25" s="309"/>
      <c r="F25" s="309"/>
      <c r="G25" s="309"/>
      <c r="H25" s="309"/>
      <c r="I25" s="309"/>
      <c r="J25" s="1910"/>
      <c r="K25" s="1208" t="str">
        <f ca="1">项目基本情况!B16&amp;"国有建设用地使用权价格："&amp;O38&amp;"万元"</f>
        <v>出让国有建设用地使用权价格：69709万元</v>
      </c>
      <c r="L25" s="1209"/>
      <c r="M25" s="1209"/>
      <c r="N25" s="1209"/>
      <c r="O25" s="1210"/>
      <c r="P25" s="1910"/>
      <c r="Q25" s="1910"/>
      <c r="R25" s="1910"/>
      <c r="S25" s="1910"/>
      <c r="T25" s="1910"/>
      <c r="U25" s="1910"/>
      <c r="V25" s="1910"/>
    </row>
    <row r="26" spans="1:26" s="1207" customFormat="1" ht="18">
      <c r="A26" s="291" t="s">
        <v>332</v>
      </c>
      <c r="B26" s="292" t="s">
        <v>333</v>
      </c>
      <c r="C26" s="292" t="s">
        <v>334</v>
      </c>
      <c r="D26" s="293" t="s">
        <v>335</v>
      </c>
      <c r="E26" s="309"/>
      <c r="F26" s="309"/>
      <c r="G26" s="309"/>
      <c r="H26" s="309"/>
      <c r="I26" s="309"/>
      <c r="J26" s="1910"/>
      <c r="K26" s="1211" t="str">
        <f ca="1">"大写金额：人民币"&amp;NUMBERSTRING(INT(O38*10000),2)&amp;"元整"</f>
        <v>大写金额：人民币陆亿玖仟柒佰零玖万元整</v>
      </c>
      <c r="L26" s="1205"/>
      <c r="M26" s="1205"/>
      <c r="N26" s="1205"/>
      <c r="O26" s="1204"/>
      <c r="P26" s="1910"/>
      <c r="Q26" s="1910"/>
      <c r="R26" s="1910"/>
      <c r="S26" s="1910"/>
      <c r="T26" s="1910"/>
      <c r="U26" s="1910"/>
      <c r="V26" s="1910"/>
      <c r="W26" s="290"/>
      <c r="X26" s="290"/>
      <c r="Y26" s="290"/>
      <c r="Z26" s="290"/>
    </row>
    <row r="27" spans="1:26" ht="18">
      <c r="A27" s="291"/>
      <c r="B27" s="292"/>
      <c r="C27" s="292"/>
      <c r="D27" s="293"/>
      <c r="E27" s="309"/>
      <c r="F27" s="309"/>
      <c r="G27" s="309"/>
      <c r="H27" s="309"/>
      <c r="I27" s="309"/>
      <c r="J27" s="1910"/>
      <c r="K27" s="1211" t="str">
        <f ca="1">"单位面积地价："&amp;M38&amp;"元/平方米"</f>
        <v>单位面积地价：4346元/平方米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楼面地价：2499元/平方米</v>
      </c>
      <c r="L28" s="1205"/>
      <c r="M28" s="1205"/>
      <c r="N28" s="1205"/>
      <c r="O28" s="1204"/>
      <c r="P28" s="1910"/>
      <c r="V28" s="1910"/>
    </row>
    <row r="29" spans="1:26" ht="18">
      <c r="A29" s="291"/>
      <c r="B29" s="292"/>
      <c r="C29" s="292"/>
      <c r="D29" s="293"/>
      <c r="E29" s="309"/>
      <c r="F29" s="309"/>
      <c r="G29" s="309"/>
      <c r="H29" s="309"/>
      <c r="I29" s="309"/>
      <c r="J29" s="1910"/>
      <c r="K29" s="1211" t="str">
        <f>IF(OR(项目基本情况!E8="抵押价格",项目基本情况!E8="已注销及未注销"),"抵押价格："&amp;O39&amp;"万元","——")</f>
        <v>——</v>
      </c>
      <c r="L29" s="1205"/>
      <c r="M29" s="1205"/>
      <c r="N29" s="1205"/>
      <c r="O29" s="1204"/>
      <c r="P29" s="1910"/>
      <c r="V29" s="1910"/>
    </row>
    <row r="30" spans="1:26" ht="18.75" thickBot="1">
      <c r="A30" s="2799" t="s">
        <v>336</v>
      </c>
      <c r="B30" s="307"/>
      <c r="C30" s="307"/>
      <c r="D30" s="308"/>
      <c r="E30" s="3002" t="s">
        <v>2958</v>
      </c>
      <c r="F30" s="309"/>
      <c r="G30" s="309"/>
      <c r="H30" s="309"/>
      <c r="I30" s="309"/>
      <c r="J30" s="1910"/>
      <c r="K30" s="1211" t="str">
        <f>IF(K29="——","——","大写金额：人民币"&amp;NUMBERSTRING(INT(O39*10000),2)&amp;"元整")</f>
        <v>——</v>
      </c>
      <c r="L30" s="1205"/>
      <c r="M30" s="1205"/>
      <c r="N30" s="1205"/>
      <c r="O30" s="1204"/>
      <c r="P30" s="1910"/>
      <c r="V30" s="1910"/>
    </row>
    <row r="31" spans="1:26" ht="24" customHeight="1" thickBot="1">
      <c r="A31" s="3660" t="s">
        <v>2959</v>
      </c>
      <c r="B31" s="3660"/>
      <c r="C31" s="3660"/>
      <c r="D31" s="3660"/>
      <c r="E31" s="3660"/>
      <c r="F31" s="3660"/>
      <c r="G31" s="3660"/>
      <c r="H31" s="3660"/>
      <c r="I31" s="3660"/>
      <c r="J31" s="1910"/>
      <c r="K31" s="2321" t="str">
        <f>IF(项目基本情况!E8="抵押价格","——","抵押担保权已注销时的抵押价格："&amp;O40&amp;"万元")</f>
        <v>抵押担保权已注销时的抵押价格：——万元</v>
      </c>
      <c r="L31" s="2317"/>
      <c r="M31" s="2317"/>
      <c r="N31" s="2317"/>
      <c r="O31" s="2318"/>
      <c r="P31" s="1910"/>
      <c r="V31" s="1910"/>
    </row>
    <row r="32" spans="1:26" ht="19.5" thickTop="1" thickBot="1">
      <c r="A32" s="272" t="s">
        <v>337</v>
      </c>
      <c r="B32" s="3003" t="s">
        <v>1678</v>
      </c>
      <c r="C32" s="264">
        <f ca="1">G19-C24</f>
        <v>69709</v>
      </c>
      <c r="D32" s="3004" t="s">
        <v>1679</v>
      </c>
      <c r="E32" s="309"/>
      <c r="F32" s="309"/>
      <c r="G32" s="309"/>
      <c r="H32" s="309"/>
      <c r="I32" s="309"/>
      <c r="J32" s="1910"/>
      <c r="K32" s="2316" t="e">
        <f>IF(K31="——","——","大写金额：人民币"&amp;NUMBERSTRING(INT(O40*10000),2)&amp;"元整")</f>
        <v>#VALUE!</v>
      </c>
      <c r="L32" s="2319"/>
      <c r="M32" s="2319"/>
      <c r="N32" s="2319"/>
      <c r="O32" s="2320"/>
      <c r="P32" s="1910"/>
      <c r="V32" s="1910"/>
    </row>
    <row r="33" spans="1:26" ht="18.75" thickBot="1">
      <c r="A33" s="296" t="s">
        <v>340</v>
      </c>
      <c r="B33" s="1332" t="s">
        <v>1680</v>
      </c>
      <c r="C33" s="262">
        <f ca="1">ROUND(C32*10000/'数据-汇总表'!E3,0)</f>
        <v>2499</v>
      </c>
      <c r="D33" s="1333" t="s">
        <v>1681</v>
      </c>
      <c r="E33" s="3618"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75" thickBot="1">
      <c r="A34" s="298"/>
      <c r="B34" s="1334" t="s">
        <v>1682</v>
      </c>
      <c r="C34" s="262">
        <f ca="1">ROUND(C32*10000/'数据-汇总表'!D3,0)</f>
        <v>4346</v>
      </c>
      <c r="D34" s="1335" t="s">
        <v>1681</v>
      </c>
      <c r="E34" s="3619"/>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75" thickBot="1">
      <c r="A35" s="282"/>
      <c r="B35" s="1336"/>
      <c r="C35" s="1337">
        <f ca="1">ROUND(C32/('数据-汇总表'!D3/666.67),0)</f>
        <v>290</v>
      </c>
      <c r="D35" s="1338" t="s">
        <v>1683</v>
      </c>
      <c r="E35" s="3620"/>
      <c r="F35" s="299" t="s">
        <v>342</v>
      </c>
      <c r="G35" s="969"/>
      <c r="H35" s="968" t="s">
        <v>343</v>
      </c>
      <c r="I35" s="309"/>
      <c r="J35" s="1910"/>
      <c r="K35" s="3624" t="s">
        <v>350</v>
      </c>
      <c r="L35" s="3624" t="s">
        <v>351</v>
      </c>
      <c r="M35" s="1217" t="s">
        <v>352</v>
      </c>
      <c r="N35" s="3624" t="s">
        <v>353</v>
      </c>
      <c r="O35" s="3624" t="s">
        <v>354</v>
      </c>
      <c r="P35" s="1910"/>
      <c r="V35" s="1910"/>
    </row>
    <row r="36" spans="1:26" ht="16.5" customHeight="1">
      <c r="A36" s="301" t="s">
        <v>344</v>
      </c>
      <c r="B36" s="302" t="s">
        <v>333</v>
      </c>
      <c r="C36" s="303" t="s">
        <v>345</v>
      </c>
      <c r="D36" s="303" t="s">
        <v>346</v>
      </c>
      <c r="E36" s="304" t="s">
        <v>347</v>
      </c>
      <c r="F36" s="309"/>
      <c r="G36" s="309"/>
      <c r="H36" s="309"/>
      <c r="I36" s="309"/>
      <c r="J36" s="1912"/>
      <c r="K36" s="3625"/>
      <c r="L36" s="3625"/>
      <c r="M36" s="1219" t="s">
        <v>355</v>
      </c>
      <c r="N36" s="3625"/>
      <c r="O36" s="3625"/>
      <c r="P36" s="1910"/>
      <c r="V36" s="1910"/>
    </row>
    <row r="37" spans="1:26" ht="16.5" customHeight="1" thickBot="1">
      <c r="A37" s="1213" t="s">
        <v>348</v>
      </c>
      <c r="B37" s="305"/>
      <c r="C37" s="292"/>
      <c r="D37" s="292"/>
      <c r="E37" s="293"/>
      <c r="F37" s="309"/>
      <c r="G37" s="309"/>
      <c r="H37" s="309"/>
      <c r="I37" s="309"/>
      <c r="J37" s="1912"/>
      <c r="K37" s="3626"/>
      <c r="L37" s="3626"/>
      <c r="M37" s="1220"/>
      <c r="N37" s="3626"/>
      <c r="O37" s="3626"/>
      <c r="P37" s="1910"/>
      <c r="V37" s="1910"/>
    </row>
    <row r="38" spans="1:26" ht="16.5" customHeight="1" thickBot="1">
      <c r="A38" s="1213" t="s">
        <v>349</v>
      </c>
      <c r="B38" s="305"/>
      <c r="C38" s="292"/>
      <c r="D38" s="292"/>
      <c r="E38" s="293"/>
      <c r="F38" s="309"/>
      <c r="G38" s="309"/>
      <c r="H38" s="309"/>
      <c r="I38" s="309"/>
      <c r="J38" s="1912"/>
      <c r="K38" s="1221">
        <f>'数据-汇总表'!D3</f>
        <v>160409</v>
      </c>
      <c r="L38" s="1222">
        <f>'数据-汇总表'!E3</f>
        <v>278949</v>
      </c>
      <c r="M38" s="1222">
        <f ca="1">C34</f>
        <v>4346</v>
      </c>
      <c r="N38" s="1222">
        <f ca="1">C33</f>
        <v>2499</v>
      </c>
      <c r="O38" s="1223">
        <f ca="1">C32</f>
        <v>69709</v>
      </c>
      <c r="P38" s="1910"/>
      <c r="V38" s="1910"/>
    </row>
    <row r="39" spans="1:26" ht="16.5" customHeight="1" thickBot="1">
      <c r="A39" s="1218"/>
      <c r="B39" s="306"/>
      <c r="C39" s="307"/>
      <c r="D39" s="307"/>
      <c r="E39" s="308"/>
      <c r="F39" s="309"/>
      <c r="G39" s="309"/>
      <c r="H39" s="309"/>
      <c r="I39" s="309"/>
      <c r="J39" s="1912"/>
      <c r="K39" s="3637" t="str">
        <f>MID(A44,3,LEN(A44)-2)</f>
        <v/>
      </c>
      <c r="L39" s="3638"/>
      <c r="M39" s="3638"/>
      <c r="N39" s="3639"/>
      <c r="O39" s="1340" t="str">
        <f>C44</f>
        <v>——</v>
      </c>
      <c r="P39" s="1910"/>
      <c r="V39" s="1910"/>
    </row>
    <row r="40" spans="1:26" ht="19.5" thickBot="1">
      <c r="A40" s="104" t="s">
        <v>864</v>
      </c>
      <c r="B40" s="309"/>
      <c r="C40" s="309"/>
      <c r="D40" s="309"/>
      <c r="E40" s="309"/>
      <c r="F40" s="309"/>
      <c r="G40" s="309"/>
      <c r="H40" s="309"/>
      <c r="I40" s="309"/>
      <c r="J40" s="1912"/>
      <c r="K40" s="3637" t="str">
        <f t="shared" ref="K40:K41" si="0">MID(A45,3,LEN(A45)-2)</f>
        <v/>
      </c>
      <c r="L40" s="3638"/>
      <c r="M40" s="3638"/>
      <c r="N40" s="3639"/>
      <c r="O40" s="1340" t="str">
        <f>C45</f>
        <v>——</v>
      </c>
      <c r="P40" s="1910"/>
      <c r="V40" s="1910"/>
    </row>
    <row r="41" spans="1:26" ht="16.5" thickBot="1">
      <c r="A41" s="310" t="s">
        <v>356</v>
      </c>
      <c r="B41" s="311"/>
      <c r="C41" s="312" t="s">
        <v>357</v>
      </c>
      <c r="D41" s="313" t="s">
        <v>358</v>
      </c>
      <c r="E41" s="313" t="s">
        <v>359</v>
      </c>
      <c r="F41" s="314" t="s">
        <v>360</v>
      </c>
      <c r="G41" s="309"/>
      <c r="H41" s="309"/>
      <c r="I41" s="309"/>
      <c r="J41" s="1912"/>
      <c r="K41" s="3637" t="str">
        <f t="shared" si="0"/>
        <v/>
      </c>
      <c r="L41" s="3638"/>
      <c r="M41" s="3638"/>
      <c r="N41" s="3639"/>
      <c r="O41" s="1340" t="str">
        <f>C46</f>
        <v>——</v>
      </c>
      <c r="P41" s="1910"/>
      <c r="V41" s="1910"/>
    </row>
    <row r="42" spans="1:26" ht="29.25">
      <c r="A42" s="3665" t="s">
        <v>2055</v>
      </c>
      <c r="B42" s="3666"/>
      <c r="C42" s="262">
        <f ca="1">C32</f>
        <v>69709</v>
      </c>
      <c r="D42" s="315">
        <f ca="1">C33</f>
        <v>2499</v>
      </c>
      <c r="E42" s="315">
        <f ca="1">C34</f>
        <v>4346</v>
      </c>
      <c r="F42" s="316">
        <f ca="1">C35</f>
        <v>290</v>
      </c>
      <c r="G42" s="309"/>
      <c r="H42" s="309"/>
      <c r="I42" s="317"/>
      <c r="J42" s="1912"/>
      <c r="K42" s="1224" t="s">
        <v>361</v>
      </c>
      <c r="L42" s="1929" t="s">
        <v>362</v>
      </c>
      <c r="M42" s="1225" t="s">
        <v>363</v>
      </c>
      <c r="N42" s="1930" t="s">
        <v>364</v>
      </c>
      <c r="O42" s="1931" t="s">
        <v>365</v>
      </c>
      <c r="P42" s="1910"/>
      <c r="V42" s="1910"/>
    </row>
    <row r="43" spans="1:26" ht="18">
      <c r="A43" s="3675" t="s">
        <v>2710</v>
      </c>
      <c r="B43" s="3676"/>
      <c r="C43" s="262">
        <f>IF(H33="正常操作",G33+G34+G35,G34+G35)</f>
        <v>0</v>
      </c>
      <c r="D43" s="315" t="s">
        <v>43</v>
      </c>
      <c r="E43" s="315" t="s">
        <v>44</v>
      </c>
      <c r="F43" s="316" t="s">
        <v>44</v>
      </c>
      <c r="G43" s="2582" t="s">
        <v>943</v>
      </c>
      <c r="H43" s="309"/>
      <c r="I43" s="317"/>
      <c r="J43" s="1912"/>
      <c r="K43" s="1226" t="str">
        <f>C4</f>
        <v>成本逼近法</v>
      </c>
      <c r="L43" s="1227">
        <f ca="1">IF(L42="估价结果/万元",C19,C20)</f>
        <v>41320</v>
      </c>
      <c r="M43" s="1228">
        <f>C18</f>
        <v>0.5</v>
      </c>
      <c r="N43" s="1229">
        <f ca="1">IF(N42="测算结果/万元",G19,G20)</f>
        <v>69709</v>
      </c>
      <c r="O43" s="1230">
        <f ca="1">IF(O42="最终结果/万元",C32,C33)</f>
        <v>69709</v>
      </c>
      <c r="P43" s="1910"/>
      <c r="V43" s="1910"/>
    </row>
    <row r="44" spans="1:26" ht="18.75" thickBot="1">
      <c r="A44" s="3665" t="str">
        <f>IF(OR(项目基本情况!E8="抵押价格",项目基本情况!E8="已注销及未注销"),"3.抵押价格","——")</f>
        <v>——</v>
      </c>
      <c r="B44" s="3666"/>
      <c r="C44" s="262" t="str">
        <f>IF(A44="——","——",C42-C43)</f>
        <v>——</v>
      </c>
      <c r="D44" s="315" t="e">
        <f>ROUND(C44*10000/'数据-汇总表'!E3,0)</f>
        <v>#VALUE!</v>
      </c>
      <c r="E44" s="315" t="e">
        <f>ROUND(C44*10000/'数据-汇总表'!D3,0)</f>
        <v>#VALUE!</v>
      </c>
      <c r="F44" s="316" t="e">
        <f>ROUND(C44/('数据-汇总表'!D3/666.67),0)</f>
        <v>#VALUE!</v>
      </c>
      <c r="G44" s="309"/>
      <c r="H44" s="309"/>
      <c r="I44" s="317"/>
      <c r="J44" s="1912"/>
      <c r="K44" s="1231" t="str">
        <f>D4</f>
        <v>剩余法-待开发</v>
      </c>
      <c r="L44" s="1232">
        <f ca="1">IF(L42="估价结果/万元",D19,D20)</f>
        <v>98098</v>
      </c>
      <c r="M44" s="1233">
        <f>D18</f>
        <v>0.5</v>
      </c>
      <c r="N44" s="1234"/>
      <c r="O44" s="1235"/>
      <c r="P44" s="1910"/>
      <c r="V44" s="1910"/>
    </row>
    <row r="45" spans="1:26" ht="15">
      <c r="A45" s="3670" t="str">
        <f>IF(项目基本情况!E8="已注销及未注销","4.抵押担保权已注销时的抵押价格",IF(项目基本情况!E8="已注销","3.抵押担保权已注销时的抵押价格","——"))</f>
        <v>——</v>
      </c>
      <c r="B45" s="3671"/>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5.75" thickBot="1">
      <c r="A46" s="3667" t="str">
        <f>IF(项目基本情况!E9="抵押净值",IF(A45="——","4.抵押净值","5.抵押净值"),"——")</f>
        <v>——</v>
      </c>
      <c r="B46" s="3668"/>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75">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2.75">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2.75">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2.75">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2.75">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2.75">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2.75">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2.75">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2.75">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2.75">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2.75">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2.75">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2.75">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2.75">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8.75">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629" t="s">
        <v>374</v>
      </c>
      <c r="B63" s="3630"/>
      <c r="C63" s="3631"/>
      <c r="D63" s="339">
        <f ca="1">ROUND(C42*F63,0)</f>
        <v>69709</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672" t="s">
        <v>378</v>
      </c>
      <c r="B64" s="3673"/>
      <c r="C64" s="3673"/>
      <c r="D64" s="3673"/>
      <c r="E64" s="3673"/>
      <c r="F64" s="3673"/>
      <c r="G64" s="3674"/>
      <c r="H64" s="1241"/>
      <c r="I64" s="937"/>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7"/>
      <c r="J65" s="1901"/>
      <c r="K65" s="1242"/>
      <c r="L65" s="1243"/>
      <c r="M65" s="1243"/>
      <c r="N65" s="1275" t="s">
        <v>379</v>
      </c>
      <c r="O65" s="1276"/>
      <c r="P65" s="1277"/>
      <c r="Q65" s="1910"/>
      <c r="R65" s="1910"/>
      <c r="S65" s="1910"/>
      <c r="T65" s="1910"/>
      <c r="U65" s="1910"/>
      <c r="V65" s="1910"/>
    </row>
    <row r="66" spans="1:22" ht="25.5">
      <c r="A66" s="3669" t="s">
        <v>386</v>
      </c>
      <c r="B66" s="3636"/>
      <c r="C66" s="3636"/>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597" t="s">
        <v>385</v>
      </c>
      <c r="M66" s="3598"/>
      <c r="N66" s="2311"/>
      <c r="O66" s="2312"/>
      <c r="P66" s="2313"/>
      <c r="Q66" s="1910"/>
      <c r="R66" s="1910"/>
      <c r="S66" s="1910"/>
      <c r="T66" s="1910"/>
      <c r="U66" s="1910"/>
      <c r="V66" s="1910"/>
    </row>
    <row r="67" spans="1:22" ht="25.5" customHeight="1">
      <c r="A67" s="350" t="s">
        <v>389</v>
      </c>
      <c r="B67" s="3647" t="s">
        <v>390</v>
      </c>
      <c r="C67" s="3647"/>
      <c r="D67" s="351">
        <v>0</v>
      </c>
      <c r="E67" s="41" t="s">
        <v>391</v>
      </c>
      <c r="F67" s="62" t="s">
        <v>21</v>
      </c>
      <c r="G67" s="3632"/>
      <c r="H67" s="3005" t="s">
        <v>2960</v>
      </c>
      <c r="I67" s="3007"/>
      <c r="J67" s="1917"/>
      <c r="K67" s="1889">
        <v>2</v>
      </c>
      <c r="L67" s="3602" t="s">
        <v>388</v>
      </c>
      <c r="M67" s="3602"/>
      <c r="N67" s="1278">
        <f>'数据-取费表'!B2</f>
        <v>44125</v>
      </c>
      <c r="O67" s="1278"/>
      <c r="P67" s="1278"/>
      <c r="Q67" s="1910"/>
      <c r="R67" s="1910"/>
      <c r="S67" s="1910"/>
      <c r="T67" s="1910"/>
      <c r="U67" s="1910"/>
      <c r="V67" s="1910"/>
    </row>
    <row r="68" spans="1:22" ht="25.5" customHeight="1">
      <c r="A68" s="352"/>
      <c r="B68" s="3647" t="s">
        <v>393</v>
      </c>
      <c r="C68" s="3647"/>
      <c r="D68" s="353"/>
      <c r="E68" s="77"/>
      <c r="F68" s="354"/>
      <c r="G68" s="3633"/>
      <c r="H68" s="3006" t="s">
        <v>2961</v>
      </c>
      <c r="I68" s="3007"/>
      <c r="J68" s="1917"/>
      <c r="K68" s="1889">
        <v>3</v>
      </c>
      <c r="L68" s="3602" t="s">
        <v>392</v>
      </c>
      <c r="M68" s="3602"/>
      <c r="N68" s="1246">
        <f ca="1">C42</f>
        <v>69709</v>
      </c>
      <c r="O68" s="1246"/>
      <c r="P68" s="1246"/>
      <c r="Q68" s="1910"/>
      <c r="R68" s="1910"/>
      <c r="S68" s="1910"/>
      <c r="T68" s="1910"/>
      <c r="U68" s="1910"/>
      <c r="V68" s="1910"/>
    </row>
    <row r="69" spans="1:22" ht="23.45" customHeight="1">
      <c r="A69" s="355"/>
      <c r="B69" s="3647" t="s">
        <v>394</v>
      </c>
      <c r="C69" s="3647"/>
      <c r="D69" s="356"/>
      <c r="E69" s="73"/>
      <c r="F69" s="354"/>
      <c r="G69" s="3634"/>
      <c r="H69" s="3006" t="s">
        <v>2962</v>
      </c>
      <c r="I69" s="3007"/>
      <c r="J69" s="1917"/>
      <c r="K69" s="1247">
        <v>4</v>
      </c>
      <c r="L69" s="3603" t="s">
        <v>2862</v>
      </c>
      <c r="M69" s="3604"/>
      <c r="N69" s="1248" t="str">
        <f>C44</f>
        <v>——</v>
      </c>
      <c r="O69" s="1248"/>
      <c r="P69" s="1248"/>
      <c r="Q69" s="1910"/>
      <c r="R69" s="1910"/>
      <c r="S69" s="1910"/>
      <c r="T69" s="1910"/>
      <c r="U69" s="1910"/>
      <c r="V69" s="1910"/>
    </row>
    <row r="70" spans="1:22" ht="24" customHeight="1">
      <c r="A70" s="357" t="s">
        <v>395</v>
      </c>
      <c r="B70" s="3647" t="s">
        <v>396</v>
      </c>
      <c r="C70" s="3647"/>
      <c r="D70" s="356">
        <f ca="1">ROUND(D63*'数据-取费表'!B41/(1+'数据-取费表'!C42),0)</f>
        <v>3651</v>
      </c>
      <c r="E70" s="17" t="s">
        <v>397</v>
      </c>
      <c r="F70" s="358">
        <f>'数据-取费表'!B41</f>
        <v>5.5000000000000007E-2</v>
      </c>
      <c r="G70" s="359"/>
      <c r="H70" s="309"/>
      <c r="I70" s="1245"/>
      <c r="J70" s="1917"/>
      <c r="K70" s="2764"/>
      <c r="L70" s="2765"/>
      <c r="M70" s="2765"/>
      <c r="N70" s="2766" t="s">
        <v>2866</v>
      </c>
      <c r="O70" s="2765"/>
      <c r="P70" s="2767"/>
      <c r="Q70" s="1910"/>
      <c r="R70" s="1910"/>
      <c r="S70" s="1910"/>
      <c r="T70" s="1910"/>
      <c r="U70" s="1910"/>
      <c r="V70" s="1910"/>
    </row>
    <row r="71" spans="1:22" ht="12" customHeight="1">
      <c r="A71" s="357" t="s">
        <v>403</v>
      </c>
      <c r="B71" s="3646" t="s">
        <v>2991</v>
      </c>
      <c r="C71" s="3663"/>
      <c r="D71" s="356">
        <f ca="1">ROUND(D63*'数据-取费表'!B41/(1+'数据-取费表'!C42),0)</f>
        <v>3651</v>
      </c>
      <c r="E71" s="17" t="s">
        <v>397</v>
      </c>
      <c r="F71" s="358">
        <f>'数据-取费表'!B41</f>
        <v>5.5000000000000007E-2</v>
      </c>
      <c r="G71" s="359"/>
      <c r="H71" s="309"/>
      <c r="I71" s="1245"/>
      <c r="J71" s="1917"/>
      <c r="K71" s="2763" t="s">
        <v>398</v>
      </c>
      <c r="L71" s="3605" t="s">
        <v>399</v>
      </c>
      <c r="M71" s="3605"/>
      <c r="N71" s="2763" t="s">
        <v>400</v>
      </c>
      <c r="O71" s="2763" t="s">
        <v>401</v>
      </c>
      <c r="P71" s="2763" t="s">
        <v>402</v>
      </c>
      <c r="Q71" s="1910"/>
      <c r="R71" s="1910"/>
      <c r="S71" s="1910"/>
      <c r="T71" s="1910"/>
      <c r="U71" s="1910"/>
      <c r="V71" s="1910"/>
    </row>
    <row r="72" spans="1:22" ht="12" customHeight="1">
      <c r="A72" s="357" t="s">
        <v>405</v>
      </c>
      <c r="B72" s="3646" t="s">
        <v>2992</v>
      </c>
      <c r="C72" s="3663"/>
      <c r="D72" s="356">
        <f ca="1">C86</f>
        <v>3651</v>
      </c>
      <c r="E72" s="73" t="s">
        <v>406</v>
      </c>
      <c r="F72" s="358">
        <f>'数据-取费表'!B41</f>
        <v>5.5000000000000007E-2</v>
      </c>
      <c r="G72" s="359"/>
      <c r="H72" s="1251"/>
      <c r="I72" s="1245"/>
      <c r="J72" s="1917"/>
      <c r="K72" s="1889">
        <v>1</v>
      </c>
      <c r="L72" s="3601" t="s">
        <v>404</v>
      </c>
      <c r="M72" s="3601"/>
      <c r="N72" s="1249" t="b">
        <f>D66</f>
        <v>0</v>
      </c>
      <c r="O72" s="1772" t="str">
        <f>E66</f>
        <v>销售额×税（费）率</v>
      </c>
      <c r="P72" s="1250">
        <f>F66</f>
        <v>5.5000000000000007E-2</v>
      </c>
      <c r="Q72" s="1910"/>
      <c r="R72" s="1910"/>
      <c r="S72" s="1910"/>
      <c r="T72" s="1910"/>
      <c r="U72" s="1910"/>
      <c r="V72" s="1910"/>
    </row>
    <row r="73" spans="1:22" ht="24" customHeight="1">
      <c r="A73" s="3635" t="s">
        <v>408</v>
      </c>
      <c r="B73" s="3636"/>
      <c r="C73" s="3636"/>
      <c r="D73" s="360">
        <f ca="1">IF(H73="个人住宅",0,ROUND(D63*I73,0))</f>
        <v>35</v>
      </c>
      <c r="E73" s="17" t="s">
        <v>409</v>
      </c>
      <c r="F73" s="358" t="str">
        <f>IF(H73="正常",I73,"免征")</f>
        <v>免征</v>
      </c>
      <c r="G73" s="359"/>
      <c r="H73" s="189"/>
      <c r="I73" s="358">
        <f>'数据-取费表'!B49</f>
        <v>5.0000000000000001E-4</v>
      </c>
      <c r="J73" s="1917"/>
      <c r="K73" s="1889">
        <v>2</v>
      </c>
      <c r="L73" s="3601" t="s">
        <v>407</v>
      </c>
      <c r="M73" s="3601"/>
      <c r="N73" s="1249">
        <f t="shared" ref="N73:P74" ca="1" si="1">D73</f>
        <v>35</v>
      </c>
      <c r="O73" s="1772" t="str">
        <f t="shared" si="1"/>
        <v>销售额×税（费）率</v>
      </c>
      <c r="P73" s="1250" t="str">
        <f t="shared" si="1"/>
        <v>免征</v>
      </c>
      <c r="Q73" s="1910"/>
      <c r="R73" s="1910"/>
      <c r="S73" s="1910"/>
      <c r="T73" s="1910"/>
      <c r="U73" s="1910"/>
      <c r="V73" s="1910"/>
    </row>
    <row r="74" spans="1:22" ht="24.75">
      <c r="A74" s="3635" t="s">
        <v>411</v>
      </c>
      <c r="B74" s="3636"/>
      <c r="C74" s="3636"/>
      <c r="D74" s="360">
        <f ca="1">IF(H74="个人住宅",D75,D76)</f>
        <v>39519</v>
      </c>
      <c r="E74" s="17" t="s">
        <v>412</v>
      </c>
      <c r="F74" s="358" t="str">
        <f>IF(H74="正常",F76,"免征")</f>
        <v>免征</v>
      </c>
      <c r="G74" s="970" t="s">
        <v>413</v>
      </c>
      <c r="H74" s="361"/>
      <c r="I74" s="42"/>
      <c r="J74" s="1917"/>
      <c r="K74" s="1889">
        <v>3</v>
      </c>
      <c r="L74" s="3601" t="s">
        <v>410</v>
      </c>
      <c r="M74" s="3601"/>
      <c r="N74" s="1249">
        <f t="shared" ca="1" si="1"/>
        <v>39519</v>
      </c>
      <c r="O74" s="1772" t="str">
        <f t="shared" si="1"/>
        <v>增值额×税（费）率</v>
      </c>
      <c r="P74" s="1252" t="str">
        <f t="shared" si="1"/>
        <v>免征</v>
      </c>
      <c r="Q74" s="1910"/>
      <c r="R74" s="1910"/>
      <c r="S74" s="1910"/>
      <c r="T74" s="1910"/>
      <c r="U74" s="1910"/>
      <c r="V74" s="1910"/>
    </row>
    <row r="75" spans="1:22" ht="12.75">
      <c r="A75" s="357" t="s">
        <v>414</v>
      </c>
      <c r="B75" s="3616" t="s">
        <v>415</v>
      </c>
      <c r="C75" s="3617"/>
      <c r="D75" s="362">
        <v>0</v>
      </c>
      <c r="E75" s="41" t="s">
        <v>416</v>
      </c>
      <c r="F75" s="363"/>
      <c r="G75" s="359"/>
      <c r="H75" s="42"/>
      <c r="I75" s="42"/>
      <c r="J75" s="1917"/>
      <c r="K75" s="2757">
        <f>IF(H77="非个人房产","",4)</f>
        <v>4</v>
      </c>
      <c r="L75" s="3601" t="str">
        <f>IF(H77="非个人房产","——","个人所得税")</f>
        <v>个人所得税</v>
      </c>
      <c r="M75" s="3601"/>
      <c r="N75" s="1253">
        <f>D77</f>
        <v>0</v>
      </c>
      <c r="O75" s="1785" t="str">
        <f>E77</f>
        <v>差额计税</v>
      </c>
      <c r="P75" s="1254">
        <f>F77</f>
        <v>0.01</v>
      </c>
      <c r="Q75" s="1910"/>
      <c r="R75" s="1910"/>
      <c r="S75" s="1910"/>
      <c r="T75" s="1910"/>
      <c r="U75" s="1910"/>
      <c r="V75" s="1910"/>
    </row>
    <row r="76" spans="1:22" ht="24.75">
      <c r="A76" s="357" t="s">
        <v>395</v>
      </c>
      <c r="B76" s="3616" t="s">
        <v>418</v>
      </c>
      <c r="C76" s="3657"/>
      <c r="D76" s="360">
        <f ca="1">IF(H76="转让取得",C99,C115)</f>
        <v>39519</v>
      </c>
      <c r="E76" s="17" t="s">
        <v>419</v>
      </c>
      <c r="F76" s="53" t="s">
        <v>21</v>
      </c>
      <c r="G76" s="359"/>
      <c r="H76" s="361"/>
      <c r="I76" s="42"/>
      <c r="J76" s="1917"/>
      <c r="K76" s="2757" t="str">
        <f>IF(项目基本情况!K6="上海银行",IF(K75="",4,K75+1),"")</f>
        <v/>
      </c>
      <c r="L76" s="3612" t="str">
        <f>IF(项目基本情况!K6="上海银行","其他处置费用","")</f>
        <v/>
      </c>
      <c r="M76" s="3613"/>
      <c r="N76" s="1249" t="str">
        <f>IF(项目基本情况!K6="上海银行",N89,"")</f>
        <v/>
      </c>
      <c r="O76" s="3614" t="str">
        <f>IF(项目基本情况!K6="上海银行","包含处置中涉及的律师、诉讼、拍卖、评估等费用","")</f>
        <v/>
      </c>
      <c r="P76" s="3615"/>
      <c r="Q76" s="1910"/>
      <c r="R76" s="1910"/>
      <c r="S76" s="1910"/>
      <c r="T76" s="1910"/>
      <c r="U76" s="1910"/>
      <c r="V76" s="1910"/>
    </row>
    <row r="77" spans="1:22" ht="24.75" thickBot="1">
      <c r="A77" s="3627" t="s">
        <v>421</v>
      </c>
      <c r="B77" s="3628"/>
      <c r="C77" s="3628"/>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1" t="s">
        <v>413</v>
      </c>
      <c r="H77" s="3009"/>
      <c r="I77" s="3008" t="s">
        <v>2963</v>
      </c>
      <c r="J77" s="1917"/>
      <c r="K77" s="3623">
        <f>IF(AND(K75="",K76=""),4,IF(项目基本情况!K6="上海银行",K76+1,K75+1))</f>
        <v>5</v>
      </c>
      <c r="L77" s="3601" t="s">
        <v>2863</v>
      </c>
      <c r="M77" s="2762" t="s">
        <v>417</v>
      </c>
      <c r="N77" s="1255"/>
      <c r="O77" s="1256">
        <f ca="1">SUMIF(N72:N76,"&lt;9e307")</f>
        <v>39554</v>
      </c>
      <c r="P77" s="1257"/>
      <c r="Q77" s="2760" t="e">
        <f ca="1">O77/N69</f>
        <v>#VALUE!</v>
      </c>
      <c r="R77" s="1910"/>
      <c r="S77" s="1910"/>
      <c r="T77" s="1910"/>
      <c r="U77" s="1910"/>
      <c r="V77" s="1910"/>
    </row>
    <row r="78" spans="1:22" ht="12" customHeight="1">
      <c r="A78" s="1258"/>
      <c r="B78" s="309"/>
      <c r="C78" s="309"/>
      <c r="D78" s="309"/>
      <c r="E78" s="42"/>
      <c r="F78" s="42"/>
      <c r="G78" s="42"/>
      <c r="H78" s="990"/>
      <c r="I78" s="309"/>
      <c r="J78" s="1917"/>
      <c r="K78" s="3623"/>
      <c r="L78" s="3601"/>
      <c r="M78" s="2762" t="s">
        <v>420</v>
      </c>
      <c r="N78" s="1255"/>
      <c r="O78" s="1256" t="str">
        <f ca="1">NUMBERSTRING(INT(O77*10000),2)&amp;"元整"</f>
        <v>叁亿玖仟伍佰伍拾肆万元整</v>
      </c>
      <c r="P78" s="1257"/>
      <c r="Q78" s="1910"/>
      <c r="R78" s="1910"/>
      <c r="S78" s="1910"/>
      <c r="T78" s="1910"/>
      <c r="U78" s="1910"/>
      <c r="V78" s="1910"/>
    </row>
    <row r="79" spans="1:22" ht="13.5" thickBot="1">
      <c r="A79" s="3677" t="s">
        <v>422</v>
      </c>
      <c r="B79" s="3677"/>
      <c r="C79" s="3677"/>
      <c r="D79" s="3677"/>
      <c r="E79" s="3677"/>
      <c r="F79" s="42"/>
      <c r="G79" s="42"/>
      <c r="H79" s="990"/>
      <c r="I79" s="309"/>
      <c r="J79" s="1917"/>
      <c r="K79" s="3599">
        <f>K77+1</f>
        <v>6</v>
      </c>
      <c r="L79" s="3601" t="s">
        <v>2864</v>
      </c>
      <c r="M79" s="2762" t="s">
        <v>417</v>
      </c>
      <c r="N79" s="1255"/>
      <c r="O79" s="1256" t="e">
        <f ca="1">N69-O77</f>
        <v>#VALUE!</v>
      </c>
      <c r="P79" s="1257"/>
      <c r="Q79" s="1910"/>
      <c r="R79" s="1910"/>
      <c r="S79" s="1910"/>
      <c r="T79" s="1910"/>
      <c r="U79" s="1910"/>
      <c r="V79" s="1910"/>
    </row>
    <row r="80" spans="1:22" ht="12.75">
      <c r="A80" s="3609" t="s">
        <v>423</v>
      </c>
      <c r="B80" s="3610"/>
      <c r="C80" s="981"/>
      <c r="D80" s="981" t="s">
        <v>424</v>
      </c>
      <c r="E80" s="364" t="s">
        <v>425</v>
      </c>
      <c r="F80" s="42"/>
      <c r="G80" s="42"/>
      <c r="H80" s="990"/>
      <c r="I80" s="309"/>
      <c r="J80" s="1910"/>
      <c r="K80" s="3600"/>
      <c r="L80" s="3601"/>
      <c r="M80" s="2762" t="s">
        <v>420</v>
      </c>
      <c r="N80" s="1255"/>
      <c r="O80" s="1256" t="e">
        <f ca="1">NUMBERSTRING(INT(O79*10000),2)&amp;"元整"</f>
        <v>#VALUE!</v>
      </c>
      <c r="P80" s="1257"/>
      <c r="Q80" s="1910"/>
      <c r="R80" s="1910"/>
      <c r="S80" s="1910"/>
      <c r="T80" s="1910"/>
      <c r="U80" s="1910"/>
      <c r="V80" s="1910"/>
    </row>
    <row r="81" spans="1:26" ht="13.5" thickBot="1">
      <c r="A81" s="375" t="s">
        <v>1813</v>
      </c>
      <c r="B81" s="365" t="s">
        <v>426</v>
      </c>
      <c r="C81" s="366">
        <f ca="1">ROUND((C82+C83)/(1+'数据-取费表'!C42),0)</f>
        <v>66390</v>
      </c>
      <c r="D81" s="367"/>
      <c r="E81" s="368"/>
      <c r="F81" s="42"/>
      <c r="G81" s="42"/>
      <c r="H81" s="990"/>
      <c r="I81" s="309"/>
      <c r="J81" s="1910"/>
      <c r="K81" s="2757">
        <f>K79+1</f>
        <v>7</v>
      </c>
      <c r="L81" s="3621" t="s">
        <v>2865</v>
      </c>
      <c r="M81" s="3622"/>
      <c r="N81" s="1259"/>
      <c r="O81" s="1260" t="e">
        <f ca="1">ROUND(O79*10000/'数据-汇总表'!E3,0)</f>
        <v>#VALUE!</v>
      </c>
      <c r="P81" s="1261"/>
      <c r="Q81" s="1910"/>
      <c r="R81" s="1910"/>
      <c r="S81" s="1910"/>
      <c r="T81" s="1910"/>
      <c r="U81" s="1910"/>
      <c r="V81" s="1910"/>
    </row>
    <row r="82" spans="1:26" ht="13.5" thickTop="1">
      <c r="A82" s="369" t="s">
        <v>1814</v>
      </c>
      <c r="B82" s="370" t="s">
        <v>427</v>
      </c>
      <c r="C82" s="371">
        <f ca="1">D63</f>
        <v>69709</v>
      </c>
      <c r="D82" s="372" t="s">
        <v>19</v>
      </c>
      <c r="E82" s="373"/>
      <c r="F82" s="42"/>
      <c r="G82" s="42"/>
      <c r="H82" s="990"/>
      <c r="I82" s="309"/>
      <c r="J82" s="1910"/>
      <c r="K82" s="1910"/>
      <c r="L82" s="1910"/>
      <c r="M82" s="1910"/>
      <c r="N82" s="1910"/>
      <c r="O82" s="1910"/>
      <c r="P82" s="1910"/>
      <c r="Q82" s="1910"/>
      <c r="R82" s="1910"/>
      <c r="S82" s="1910"/>
      <c r="T82" s="1910"/>
      <c r="U82" s="1910"/>
      <c r="V82" s="1910"/>
    </row>
    <row r="83" spans="1:26" ht="12.75">
      <c r="A83" s="369" t="s">
        <v>1815</v>
      </c>
      <c r="B83" s="370" t="s">
        <v>428</v>
      </c>
      <c r="C83" s="374"/>
      <c r="D83" s="372"/>
      <c r="E83" s="373"/>
      <c r="F83" s="42"/>
      <c r="G83" s="42"/>
      <c r="H83" s="990"/>
      <c r="I83" s="309"/>
      <c r="J83" s="1910"/>
      <c r="K83" s="3611" t="s">
        <v>2853</v>
      </c>
      <c r="L83" s="2768" t="s">
        <v>2854</v>
      </c>
      <c r="M83" s="2758" t="e">
        <f>IF(N69&gt;10000,N69*0.5%,IF(AND(N69&gt;1000,N69&lt;=10000),N69*1%,IF(AND(N69&gt;100,N69&lt;=1000),N69*3%,IF(AND(N69&gt;10,N69&lt;=100),N69*5%,N69*8%))))</f>
        <v>#VALUE!</v>
      </c>
      <c r="N83" s="53" t="e">
        <f>ROUND(M83,1)</f>
        <v>#VALUE!</v>
      </c>
      <c r="O83" s="2761"/>
      <c r="P83" s="1910"/>
      <c r="Q83" s="1910"/>
      <c r="R83" s="1910"/>
      <c r="S83" s="1910"/>
      <c r="T83" s="1910"/>
      <c r="U83" s="1910"/>
      <c r="V83" s="1910"/>
    </row>
    <row r="84" spans="1:26" ht="12.75">
      <c r="A84" s="375" t="s">
        <v>1816</v>
      </c>
      <c r="B84" s="376" t="s">
        <v>429</v>
      </c>
      <c r="C84" s="377"/>
      <c r="D84" s="378" t="s">
        <v>19</v>
      </c>
      <c r="E84" s="2786" t="s">
        <v>2904</v>
      </c>
      <c r="F84" s="42"/>
      <c r="G84" s="42"/>
      <c r="H84" s="990"/>
      <c r="I84" s="309"/>
      <c r="J84" s="1910"/>
      <c r="K84" s="3611"/>
      <c r="L84" s="2768" t="s">
        <v>2855</v>
      </c>
      <c r="M84" s="275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910" t="s">
        <v>2856</v>
      </c>
      <c r="P84" s="1910"/>
      <c r="Q84" s="1910"/>
      <c r="R84" s="1910"/>
      <c r="S84" s="1910"/>
      <c r="T84" s="1910"/>
      <c r="U84" s="1910"/>
      <c r="V84" s="1910"/>
    </row>
    <row r="85" spans="1:26" ht="12.75">
      <c r="A85" s="375" t="s">
        <v>1817</v>
      </c>
      <c r="B85" s="376" t="s">
        <v>430</v>
      </c>
      <c r="C85" s="379">
        <f ca="1">C81-C84</f>
        <v>66390</v>
      </c>
      <c r="D85" s="372" t="s">
        <v>19</v>
      </c>
      <c r="E85" s="373"/>
      <c r="F85" s="42"/>
      <c r="G85" s="42"/>
      <c r="H85" s="990"/>
      <c r="I85" s="309"/>
      <c r="J85" s="1910"/>
      <c r="K85" s="3611"/>
      <c r="L85" s="2768" t="s">
        <v>2857</v>
      </c>
      <c r="M85" s="2758" t="e">
        <f>IF(N69&gt;1000,N69*0.1%,IF(AND(N69&gt;500,N69&lt;=1000),N69*0.5%,IF(AND(N69&gt;50,N69&lt;=500),N69*1%,IF(AND(N69&gt;1,N69&lt;=50),N69*1.5%))))</f>
        <v>#VALUE!</v>
      </c>
      <c r="N85" s="53" t="e">
        <f t="shared" si="2"/>
        <v>#VALUE!</v>
      </c>
      <c r="O85" s="1910" t="s">
        <v>2856</v>
      </c>
      <c r="P85" s="1910"/>
      <c r="Q85" s="1910"/>
      <c r="R85" s="1910"/>
      <c r="S85" s="1910"/>
      <c r="T85" s="1910"/>
      <c r="U85" s="1910"/>
      <c r="V85" s="1910"/>
    </row>
    <row r="86" spans="1:26" ht="13.5" thickBot="1">
      <c r="A86" s="380" t="s">
        <v>1818</v>
      </c>
      <c r="B86" s="381" t="s">
        <v>431</v>
      </c>
      <c r="C86" s="382">
        <f ca="1">IF(C85&lt;=0,0,ROUND(C85*D86,0))</f>
        <v>3651</v>
      </c>
      <c r="D86" s="383">
        <f>'数据-取费表'!B41</f>
        <v>5.5000000000000007E-2</v>
      </c>
      <c r="E86" s="384"/>
      <c r="F86" s="42"/>
      <c r="G86" s="42"/>
      <c r="H86" s="990"/>
      <c r="I86" s="309"/>
      <c r="J86" s="1910"/>
      <c r="K86" s="3611"/>
      <c r="L86" s="2768" t="s">
        <v>2858</v>
      </c>
      <c r="M86" s="2758" t="e">
        <f>N69*0.5%</f>
        <v>#VALUE!</v>
      </c>
      <c r="N86" s="53" t="e">
        <f>IF(M86&gt;0.5,0.5,ROUND(M86,0))</f>
        <v>#VALUE!</v>
      </c>
      <c r="O86" s="1910" t="s">
        <v>2859</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611"/>
      <c r="L87" s="2768" t="s">
        <v>2860</v>
      </c>
      <c r="M87" s="275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61"/>
      <c r="P87" s="1910"/>
      <c r="Q87" s="1910"/>
      <c r="R87" s="1910"/>
      <c r="S87" s="1910"/>
      <c r="T87" s="1910"/>
      <c r="U87" s="1910"/>
      <c r="V87" s="1910"/>
      <c r="W87" s="290"/>
      <c r="X87" s="290"/>
      <c r="Y87" s="290"/>
      <c r="Z87" s="290"/>
    </row>
    <row r="88" spans="1:26" s="1267" customFormat="1" ht="15" thickBot="1">
      <c r="A88" s="3649" t="s">
        <v>432</v>
      </c>
      <c r="B88" s="3650"/>
      <c r="C88" s="3650"/>
      <c r="D88" s="3650"/>
      <c r="E88" s="3650"/>
      <c r="F88" s="3650"/>
      <c r="G88" s="3650"/>
      <c r="H88" s="3650"/>
      <c r="I88" s="1268"/>
      <c r="J88" s="1918"/>
      <c r="K88" s="3611"/>
      <c r="L88" s="2768" t="s">
        <v>2861</v>
      </c>
      <c r="M88" s="2758" t="e">
        <f>IF(N69&gt;10000,N69*0.5%,IF(AND(N69&gt;5000,N69&lt;=10000),N69*1%,IF(AND(N69&gt;1000,N69&lt;=5000),N69*2%,IF(AND(N69&gt;200,N69&lt;=1000),N69*3%,N69*5%))))</f>
        <v>#VALUE!</v>
      </c>
      <c r="N88" s="53" t="e">
        <f>ROUND(M88,1)</f>
        <v>#VALUE!</v>
      </c>
      <c r="O88" s="2761"/>
      <c r="P88" s="1915"/>
      <c r="Q88" s="1915"/>
      <c r="R88" s="1915"/>
      <c r="S88" s="1915"/>
      <c r="T88" s="1915"/>
      <c r="U88" s="1915"/>
      <c r="V88" s="1915"/>
      <c r="W88" s="1919"/>
      <c r="X88" s="1919"/>
      <c r="Y88" s="1919"/>
      <c r="Z88" s="1919"/>
    </row>
    <row r="89" spans="1:26" s="1267" customFormat="1" ht="14.25">
      <c r="A89" s="3609" t="s">
        <v>423</v>
      </c>
      <c r="B89" s="3610"/>
      <c r="C89" s="981"/>
      <c r="D89" s="981" t="s">
        <v>424</v>
      </c>
      <c r="E89" s="385" t="s">
        <v>433</v>
      </c>
      <c r="F89" s="386"/>
      <c r="G89" s="386"/>
      <c r="H89" s="387"/>
      <c r="I89" s="1269"/>
      <c r="J89" s="1920"/>
      <c r="K89" s="3611"/>
      <c r="L89" s="2768" t="s">
        <v>27</v>
      </c>
      <c r="M89" s="2759"/>
      <c r="N89" s="53" t="e">
        <f>ROUND(SUM(N83:N88),0)</f>
        <v>#VALUE!</v>
      </c>
      <c r="O89" s="2769" t="e">
        <f>N89/N69</f>
        <v>#VALUE!</v>
      </c>
      <c r="P89" s="1915"/>
      <c r="Q89" s="1915"/>
      <c r="R89" s="1915"/>
      <c r="S89" s="1915"/>
      <c r="T89" s="1915"/>
      <c r="U89" s="1915"/>
      <c r="V89" s="1915"/>
      <c r="W89" s="1919"/>
      <c r="X89" s="1919"/>
      <c r="Y89" s="1919"/>
      <c r="Z89" s="1919"/>
    </row>
    <row r="90" spans="1:26" s="1267" customFormat="1" ht="14.25">
      <c r="A90" s="375" t="s">
        <v>1813</v>
      </c>
      <c r="B90" s="376" t="s">
        <v>434</v>
      </c>
      <c r="C90" s="379">
        <f ca="1">ROUND(D63/(1+'数据-取费表'!C42),0)</f>
        <v>66390</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5" t="s">
        <v>1819</v>
      </c>
      <c r="B91" s="346" t="s">
        <v>435</v>
      </c>
      <c r="C91" s="379">
        <f ca="1">C92+C96</f>
        <v>332</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646" t="s">
        <v>441</v>
      </c>
      <c r="F94" s="3647"/>
      <c r="G94" s="3647"/>
      <c r="H94" s="3648"/>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332</v>
      </c>
      <c r="D96" s="400">
        <f>'数据-取费表'!B43</f>
        <v>5.000000000000001E-3</v>
      </c>
      <c r="E96" s="3606" t="s">
        <v>2412</v>
      </c>
      <c r="F96" s="3607"/>
      <c r="G96" s="3607"/>
      <c r="H96" s="3608"/>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5" t="s">
        <v>1825</v>
      </c>
      <c r="B97" s="376" t="s">
        <v>445</v>
      </c>
      <c r="C97" s="379">
        <f ca="1">C90-C91</f>
        <v>66058</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198.96987951807228</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6" t="s">
        <v>1827</v>
      </c>
      <c r="B99" s="381" t="s">
        <v>447</v>
      </c>
      <c r="C99" s="402">
        <f ca="1">ROUND(IF(C97&lt;=0,0,IF(C98&gt;=200%,C97*60%-C91*35%,IF(C98&gt;=100%,C97*50%-C91*15%,IF(C98&gt;=50%,C97*40%-C91*5%,IF(C98&lt;50%,C97*30%,0))))),0)</f>
        <v>39519</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649" t="s">
        <v>448</v>
      </c>
      <c r="B101" s="3650"/>
      <c r="C101" s="3650"/>
      <c r="D101" s="3650"/>
      <c r="E101" s="3650"/>
      <c r="F101" s="3650"/>
      <c r="G101" s="3650"/>
      <c r="H101" s="3650"/>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609" t="s">
        <v>423</v>
      </c>
      <c r="B102" s="3610"/>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5" t="s">
        <v>1813</v>
      </c>
      <c r="B103" s="376" t="s">
        <v>434</v>
      </c>
      <c r="C103" s="379">
        <f ca="1">ROUND(D63/(1+'数据-取费表'!C42),0)</f>
        <v>66390</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5" t="s">
        <v>1819</v>
      </c>
      <c r="B104" s="346" t="s">
        <v>435</v>
      </c>
      <c r="C104" s="379">
        <f ca="1">IF(H106="仅含出让金",C105+C108+C109+C110+C111+C112,C105+C109+C110+C111+C112)</f>
        <v>332</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9" t="s">
        <v>1821</v>
      </c>
      <c r="B106" s="370" t="s">
        <v>450</v>
      </c>
      <c r="C106" s="410"/>
      <c r="D106" s="400"/>
      <c r="E106" s="411" t="s">
        <v>451</v>
      </c>
      <c r="F106" s="973"/>
      <c r="G106" s="412" t="s">
        <v>452</v>
      </c>
      <c r="H106" s="413"/>
      <c r="I106" s="11"/>
      <c r="J106" s="1915"/>
      <c r="K106" s="3241" t="s">
        <v>2984</v>
      </c>
      <c r="L106" s="1915"/>
      <c r="M106" s="1915"/>
      <c r="N106" s="1915"/>
      <c r="O106" s="1915"/>
      <c r="P106" s="1915"/>
      <c r="Q106" s="1915"/>
      <c r="R106" s="1915"/>
      <c r="S106" s="1915"/>
      <c r="T106" s="1915"/>
      <c r="U106" s="1915"/>
      <c r="V106" s="1915"/>
      <c r="W106" s="1919"/>
      <c r="X106" s="1919"/>
      <c r="Y106" s="1919"/>
      <c r="Z106" s="1919"/>
    </row>
    <row r="107" spans="1:26" s="1267" customFormat="1" ht="14.25">
      <c r="A107" s="389" t="s">
        <v>1822</v>
      </c>
      <c r="B107" s="370" t="s">
        <v>442</v>
      </c>
      <c r="C107" s="399">
        <f>ROUND(C106*D107,0)</f>
        <v>0</v>
      </c>
      <c r="D107" s="400">
        <f>'数据-取费表'!B48+'数据-取费表'!B49</f>
        <v>3.0499999999999999E-2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9" t="s">
        <v>1824</v>
      </c>
      <c r="B108" s="370" t="s">
        <v>454</v>
      </c>
      <c r="C108" s="410"/>
      <c r="D108" s="400"/>
      <c r="E108" s="411" t="str">
        <f>IF(H106="-","土地取得成本中已包含该笔费用"," ")</f>
        <v xml:space="preserve"> </v>
      </c>
      <c r="F108" s="973"/>
      <c r="G108" s="3661" t="s">
        <v>2955</v>
      </c>
      <c r="H108" s="3662"/>
      <c r="I108" s="2858"/>
      <c r="J108" s="1915"/>
      <c r="K108" s="3241" t="s">
        <v>2985</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640" t="s">
        <v>456</v>
      </c>
      <c r="F109" s="3607"/>
      <c r="G109" s="3607"/>
      <c r="H109" s="1854" t="s">
        <v>943</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2">
        <v>0</v>
      </c>
      <c r="E110" s="3640" t="s">
        <v>458</v>
      </c>
      <c r="F110" s="3607"/>
      <c r="G110" s="3607"/>
      <c r="H110" s="3608"/>
      <c r="I110" s="11"/>
      <c r="J110" s="1915"/>
      <c r="K110" s="3242" t="s">
        <v>2986</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332</v>
      </c>
      <c r="D111" s="400">
        <f>'数据-取费表'!B43</f>
        <v>5.000000000000001E-3</v>
      </c>
      <c r="E111" s="3606" t="s">
        <v>2412</v>
      </c>
      <c r="F111" s="3607"/>
      <c r="G111" s="3607"/>
      <c r="H111" s="3608"/>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640" t="s">
        <v>2435</v>
      </c>
      <c r="F112" s="3607"/>
      <c r="G112" s="3607"/>
      <c r="H112" s="3608"/>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5" t="s">
        <v>1825</v>
      </c>
      <c r="B113" s="376" t="s">
        <v>445</v>
      </c>
      <c r="C113" s="379">
        <f ca="1">ROUND(C103-C104,0)</f>
        <v>66058</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198.96987951807228</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6" t="s">
        <v>1827</v>
      </c>
      <c r="B115" s="381" t="s">
        <v>447</v>
      </c>
      <c r="C115" s="402">
        <f ca="1">ROUND(IF(C113&lt;=0,0,IF(C114&gt;=200%,C113*60%-C104*35%,IF(C114&gt;=100%,C113*50%-C104*15%,IF(C114&gt;=50%,C113*40%-C104*5%,IF(C114&lt;50%,C113*30%,0))))),0)</f>
        <v>39519</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9" priority="21" stopIfTrue="1" operator="equal">
      <formula>25</formula>
    </cfRule>
  </conditionalFormatting>
  <conditionalFormatting sqref="C8:C9">
    <cfRule type="cellIs" dxfId="8"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6" priority="10" stopIfTrue="1" operator="equal">
      <formula>25</formula>
    </cfRule>
  </conditionalFormatting>
  <conditionalFormatting sqref="D8:D9">
    <cfRule type="cellIs" dxfId="5" priority="9" stopIfTrue="1" operator="equal">
      <formula>15</formula>
    </cfRule>
  </conditionalFormatting>
  <conditionalFormatting sqref="C10:D13">
    <cfRule type="cellIs" dxfId="4" priority="8" stopIfTrue="1" operator="equal">
      <formula>15</formula>
    </cfRule>
  </conditionalFormatting>
  <conditionalFormatting sqref="D14:D16">
    <cfRule type="cellIs" dxfId="3" priority="6" stopIfTrue="1" operator="equal">
      <formula>30</formula>
    </cfRule>
  </conditionalFormatting>
  <conditionalFormatting sqref="C108">
    <cfRule type="expression" dxfId="2" priority="3" stopIfTrue="1">
      <formula>$H$106&lt;&gt;"仅含出让金"</formula>
    </cfRule>
  </conditionalFormatting>
  <conditionalFormatting sqref="C109">
    <cfRule type="expression" dxfId="1" priority="2" stopIfTrue="1">
      <formula>$H$109="由企业提供"</formula>
    </cfRule>
  </conditionalFormatting>
  <conditionalFormatting sqref="I33">
    <cfRule type="expression" dxfId="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344" t="s">
        <v>2026</v>
      </c>
      <c r="B1" s="3344"/>
      <c r="C1" s="3344"/>
      <c r="D1" s="3344"/>
      <c r="E1" s="3344"/>
      <c r="F1" s="3344"/>
      <c r="G1" s="3344"/>
      <c r="H1" s="3344"/>
      <c r="I1" s="3344"/>
      <c r="J1" s="3344"/>
      <c r="K1" s="3344"/>
      <c r="L1" s="3344"/>
      <c r="M1" s="3344"/>
      <c r="N1" s="3344"/>
      <c r="O1" s="3344"/>
      <c r="P1" s="3344"/>
      <c r="Q1" s="3344"/>
      <c r="R1" s="3344"/>
    </row>
    <row r="2" spans="1:18">
      <c r="A2" s="1721" t="s">
        <v>2028</v>
      </c>
      <c r="B2" s="1721"/>
      <c r="C2" s="1721"/>
      <c r="D2" s="1721"/>
      <c r="E2" s="1721"/>
      <c r="F2" s="1721"/>
      <c r="G2" s="1721"/>
      <c r="H2" s="1721"/>
      <c r="I2" s="1722"/>
      <c r="J2" s="1722"/>
      <c r="K2" s="1723" t="str">
        <f>"估价期日："&amp;TEXT(项目基本情况!D3,"yyyy年m月d日;;")</f>
        <v>估价期日：2020年10月21日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45" t="s">
        <v>2017</v>
      </c>
      <c r="B3" s="3345" t="s">
        <v>2711</v>
      </c>
      <c r="C3" s="3346" t="s">
        <v>2018</v>
      </c>
      <c r="D3" s="3345" t="s">
        <v>2715</v>
      </c>
      <c r="E3" s="3348" t="s">
        <v>2019</v>
      </c>
      <c r="F3" s="3348"/>
      <c r="G3" s="3348"/>
      <c r="H3" s="3348" t="s">
        <v>2020</v>
      </c>
      <c r="I3" s="3348"/>
      <c r="J3" s="3348"/>
      <c r="K3" s="3346" t="s">
        <v>2021</v>
      </c>
      <c r="L3" s="3346" t="s">
        <v>2022</v>
      </c>
      <c r="M3" s="3345" t="s">
        <v>2712</v>
      </c>
      <c r="N3" s="3347" t="str">
        <f>"（分摊）"&amp;项目基本情况!B16&amp;"国有建设用地使用权面积/㎡"</f>
        <v>（分摊）出让国有建设用地使用权面积/㎡</v>
      </c>
      <c r="O3" s="3345" t="s">
        <v>2051</v>
      </c>
      <c r="P3" s="3346" t="s">
        <v>2031</v>
      </c>
      <c r="Q3" s="3346" t="s">
        <v>2052</v>
      </c>
      <c r="R3" s="3346" t="s">
        <v>2023</v>
      </c>
    </row>
    <row r="4" spans="1:18" ht="36.75" customHeight="1">
      <c r="A4" s="3345"/>
      <c r="B4" s="3345"/>
      <c r="C4" s="3346"/>
      <c r="D4" s="3345"/>
      <c r="E4" s="2490" t="s">
        <v>2030</v>
      </c>
      <c r="F4" s="2490" t="s">
        <v>2724</v>
      </c>
      <c r="G4" s="2490" t="s">
        <v>2024</v>
      </c>
      <c r="H4" s="2490" t="s">
        <v>2025</v>
      </c>
      <c r="I4" s="2490" t="s">
        <v>2725</v>
      </c>
      <c r="J4" s="2490" t="s">
        <v>2024</v>
      </c>
      <c r="K4" s="3346"/>
      <c r="L4" s="3346"/>
      <c r="M4" s="3345"/>
      <c r="N4" s="3347"/>
      <c r="O4" s="3345"/>
      <c r="P4" s="3346"/>
      <c r="Q4" s="3346"/>
      <c r="R4" s="3346"/>
    </row>
    <row r="5" spans="1:18" ht="135" customHeight="1">
      <c r="A5" s="1856" t="s">
        <v>2635</v>
      </c>
      <c r="B5" s="2583" t="s">
        <v>2633</v>
      </c>
      <c r="C5" s="2489">
        <v>22</v>
      </c>
      <c r="D5" s="2488" t="s">
        <v>2634</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v>
      </c>
      <c r="L5" s="1724" t="str">
        <f>"红线外"&amp;项目基本情况!T40&amp;"、宗地红线内场地"&amp;项目基本情况!D36</f>
        <v>红线外七通、宗地红线内场地</v>
      </c>
      <c r="M5" s="1724">
        <f>IF(项目基本情况!B16="出让",项目基本情况!D20,"——")</f>
        <v>0</v>
      </c>
      <c r="N5" s="1724">
        <f>项目基本情况!C22</f>
        <v>160409</v>
      </c>
      <c r="O5" s="1724">
        <f>项目基本情况!C21</f>
        <v>278949</v>
      </c>
      <c r="P5" s="1724">
        <f ca="1">结果表!E42</f>
        <v>4346</v>
      </c>
      <c r="Q5" s="1724">
        <f ca="1">结果表!D42</f>
        <v>2499</v>
      </c>
      <c r="R5" s="1725">
        <f ca="1">结果表!C42</f>
        <v>69709</v>
      </c>
    </row>
    <row r="6" spans="1:18">
      <c r="A6" s="3349" t="str">
        <f>IF(项目基本情况!B9="市场价格","——","抵押价格")</f>
        <v>——</v>
      </c>
      <c r="B6" s="3350"/>
      <c r="C6" s="3350"/>
      <c r="D6" s="3350"/>
      <c r="E6" s="3350"/>
      <c r="F6" s="3350"/>
      <c r="G6" s="3350"/>
      <c r="H6" s="3350"/>
      <c r="I6" s="3350"/>
      <c r="J6" s="3350"/>
      <c r="K6" s="3350"/>
      <c r="L6" s="3350"/>
      <c r="M6" s="3350"/>
      <c r="N6" s="3350"/>
      <c r="O6" s="3350"/>
      <c r="P6" s="3350"/>
      <c r="Q6" s="3351"/>
      <c r="R6" s="1726" t="str">
        <f>结果表!O39</f>
        <v>——</v>
      </c>
    </row>
    <row r="7" spans="1:18">
      <c r="A7" s="3349" t="str">
        <f>IF(项目基本情况!B9="市场价格","——",IF(项目基本情况!E8="已注销及未注销","抵押担保权已注销时的抵押价格","——"))</f>
        <v>——</v>
      </c>
      <c r="B7" s="3350"/>
      <c r="C7" s="3350"/>
      <c r="D7" s="3350"/>
      <c r="E7" s="3350"/>
      <c r="F7" s="3350"/>
      <c r="G7" s="3350"/>
      <c r="H7" s="3350"/>
      <c r="I7" s="3350"/>
      <c r="J7" s="3350"/>
      <c r="K7" s="3350"/>
      <c r="L7" s="3350"/>
      <c r="M7" s="3350"/>
      <c r="N7" s="3350"/>
      <c r="O7" s="3350"/>
      <c r="P7" s="3350"/>
      <c r="Q7" s="3351"/>
      <c r="R7" s="1726" t="str">
        <f>结果表!O40</f>
        <v>——</v>
      </c>
    </row>
    <row r="8" spans="1:18">
      <c r="A8" s="3349" t="str">
        <f>IF(项目基本情况!B9="市场价格","——",项目基本情况!E9)</f>
        <v>——</v>
      </c>
      <c r="B8" s="3350"/>
      <c r="C8" s="3350"/>
      <c r="D8" s="3350"/>
      <c r="E8" s="3350"/>
      <c r="F8" s="3350"/>
      <c r="G8" s="3350"/>
      <c r="H8" s="3350"/>
      <c r="I8" s="3350"/>
      <c r="J8" s="3350"/>
      <c r="K8" s="3350"/>
      <c r="L8" s="3350"/>
      <c r="M8" s="3350"/>
      <c r="N8" s="3350"/>
      <c r="O8" s="3350"/>
      <c r="P8" s="3350"/>
      <c r="Q8" s="3351"/>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16" customWidth="1"/>
    <col min="2" max="3" width="21.375" style="1716" customWidth="1"/>
    <col min="4" max="4" width="19.875" style="1716" customWidth="1"/>
    <col min="5" max="16384" width="9" style="1716"/>
  </cols>
  <sheetData>
    <row r="1" spans="1:4">
      <c r="A1" s="3352" t="s">
        <v>2053</v>
      </c>
      <c r="B1" s="3352"/>
      <c r="C1" s="3352"/>
      <c r="D1" s="3352"/>
    </row>
    <row r="2" spans="1:4" ht="47.25" customHeight="1">
      <c r="A2" s="3356" t="str">
        <f>"1.权利限制："&amp;项目基本情况!L24&amp;"未设定租赁等其他他项权利。"</f>
        <v>1.权利限制：根据估价对象《不动产权证书》原件、《国有土地使用权》复印件，截至估价期日，估价对象抵押权未见登记。未设定租赁等其他他项权利。</v>
      </c>
      <c r="B2" s="3356"/>
      <c r="C2" s="3356"/>
      <c r="D2" s="3356"/>
    </row>
    <row r="3" spans="1:4" ht="48" customHeight="1">
      <c r="A3" s="33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52"/>
      <c r="C3" s="3352"/>
      <c r="D3" s="3352"/>
    </row>
    <row r="4" spans="1:4" ht="36.75" customHeight="1">
      <c r="A4" s="3352" t="str">
        <f>"3.估价规划限制条件：详见"&amp;项目基本情况!E21&amp;"。"</f>
        <v>3.估价规划限制条件：详见《建设工程规划许可证》[]、《出让合同》[]。</v>
      </c>
      <c r="B4" s="3352"/>
      <c r="C4" s="3352"/>
      <c r="D4" s="3352"/>
    </row>
    <row r="5" spans="1:4">
      <c r="A5" s="3355" t="s">
        <v>2054</v>
      </c>
      <c r="B5" s="3355"/>
      <c r="C5" s="3355"/>
      <c r="D5" s="3355"/>
    </row>
    <row r="6" spans="1:4">
      <c r="A6" s="3352" t="s">
        <v>2032</v>
      </c>
      <c r="B6" s="3352"/>
      <c r="C6" s="3352"/>
      <c r="D6" s="3352"/>
    </row>
    <row r="7" spans="1:4" ht="33" customHeight="1">
      <c r="A7" s="3352" t="s">
        <v>2555</v>
      </c>
      <c r="B7" s="3352"/>
      <c r="C7" s="3352"/>
      <c r="D7" s="3352"/>
    </row>
    <row r="8" spans="1:4" ht="32.25" customHeight="1">
      <c r="A8" s="33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352"/>
      <c r="C8" s="3352"/>
      <c r="D8" s="3352"/>
    </row>
    <row r="9" spans="1:4" ht="33.75" customHeight="1">
      <c r="A9" s="3352" t="str">
        <f>IF(项目基本情况!B8="抵押","3.抵押双方在办理抵押登记手续时，应使用本公司出具的正式《土地估价报告》，特提请报告使用者注意。","——")</f>
        <v>——</v>
      </c>
      <c r="B9" s="3352"/>
      <c r="C9" s="3352"/>
      <c r="D9" s="3352"/>
    </row>
    <row r="10" spans="1:4">
      <c r="A10" s="3352" t="str">
        <f>IF(项目基本情况!B8="抵押","4.估价师所知悉的法定优先受偿款情况为：","——")</f>
        <v>——</v>
      </c>
      <c r="B10" s="3352"/>
      <c r="C10" s="3352"/>
      <c r="D10" s="3352"/>
    </row>
    <row r="11" spans="1:4" ht="37.5" customHeight="1">
      <c r="A11" s="3354" t="str">
        <f>IF(项目基本情况!B8="抵押","（1）"&amp;CONCATENATE(项目基本情况!L24,项目基本情况!L25,项目基本情况!L26),"——")</f>
        <v>——</v>
      </c>
      <c r="B11" s="3354"/>
      <c r="C11" s="3354"/>
      <c r="D11" s="3354"/>
    </row>
    <row r="12" spans="1:4" ht="168" customHeight="1">
      <c r="A12" s="3355" t="s">
        <v>2056</v>
      </c>
      <c r="B12" s="3355"/>
      <c r="C12" s="3355"/>
      <c r="D12" s="3355"/>
    </row>
    <row r="13" spans="1:4">
      <c r="A13" s="3353" t="s">
        <v>2726</v>
      </c>
      <c r="B13" s="3353"/>
      <c r="C13" s="3353"/>
      <c r="D13" s="3353"/>
    </row>
    <row r="14" spans="1:4">
      <c r="A14" s="3354" t="str">
        <f>IF(项目基本情况!B8="抵押","综上，"&amp;结果表!K47,"——")</f>
        <v>——</v>
      </c>
      <c r="B14" s="3354"/>
      <c r="C14" s="3354"/>
      <c r="D14" s="3354"/>
    </row>
    <row r="15" spans="1:4" ht="58.5" customHeight="1">
      <c r="A15" s="33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2"/>
      <c r="C15" s="3352"/>
      <c r="D15" s="3352"/>
    </row>
    <row r="16" spans="1:4" ht="70.5" customHeight="1">
      <c r="A16" s="33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2"/>
      <c r="C16" s="3352"/>
      <c r="D16" s="3352"/>
    </row>
    <row r="17" spans="1:4">
      <c r="A17" s="3352" t="s">
        <v>2682</v>
      </c>
      <c r="B17" s="3352"/>
      <c r="C17" s="3352"/>
      <c r="D17" s="3352"/>
    </row>
    <row r="18" spans="1:4">
      <c r="A18" s="3352" t="s">
        <v>2674</v>
      </c>
      <c r="B18" s="3352"/>
      <c r="C18" s="3352"/>
      <c r="D18" s="3352"/>
    </row>
    <row r="19" spans="1:4">
      <c r="A19" s="2584" t="s">
        <v>2675</v>
      </c>
      <c r="B19" s="2584" t="s">
        <v>2676</v>
      </c>
      <c r="C19" s="2584" t="s">
        <v>2677</v>
      </c>
      <c r="D19" s="2584" t="s">
        <v>2678</v>
      </c>
    </row>
    <row r="20" spans="1:4">
      <c r="A20" s="2584" t="str">
        <f>项目基本情况!B4</f>
        <v>土地估价师</v>
      </c>
      <c r="B20" s="2584">
        <f>项目基本情况!C4</f>
        <v>0</v>
      </c>
      <c r="C20" s="2586"/>
      <c r="D20" s="1714" t="s">
        <v>2683</v>
      </c>
    </row>
    <row r="21" spans="1:4">
      <c r="A21" s="2584" t="str">
        <f>项目基本情况!D4</f>
        <v>土地估价师</v>
      </c>
      <c r="B21" s="2584">
        <f>项目基本情况!E4</f>
        <v>0</v>
      </c>
      <c r="C21" s="2586"/>
      <c r="D21" s="1714" t="s">
        <v>2684</v>
      </c>
    </row>
    <row r="23" spans="1:4">
      <c r="A23" s="3352" t="s">
        <v>2679</v>
      </c>
      <c r="B23" s="3352"/>
      <c r="C23" s="3352"/>
      <c r="D23" s="3352"/>
    </row>
    <row r="24" spans="1:4">
      <c r="A24" s="2584" t="s">
        <v>2675</v>
      </c>
      <c r="B24" s="2584" t="s">
        <v>2680</v>
      </c>
      <c r="C24" s="2584" t="s">
        <v>2677</v>
      </c>
      <c r="D24" s="2584" t="s">
        <v>2678</v>
      </c>
    </row>
    <row r="25" spans="1:4">
      <c r="A25" s="2587" t="s">
        <v>2681</v>
      </c>
      <c r="B25" s="2584" t="s">
        <v>943</v>
      </c>
      <c r="C25" s="2586"/>
      <c r="D25" s="1714" t="s">
        <v>2684</v>
      </c>
    </row>
    <row r="29" spans="1:4">
      <c r="D29" s="2585" t="s">
        <v>2027</v>
      </c>
    </row>
    <row r="30" spans="1:4">
      <c r="D30" s="258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64" t="s">
        <v>53</v>
      </c>
      <c r="B15" s="3365" t="s">
        <v>838</v>
      </c>
      <c r="C15" s="3361"/>
    </row>
    <row r="16" spans="1:7" ht="14.25">
      <c r="A16" s="3364"/>
      <c r="B16" s="3362" t="s">
        <v>54</v>
      </c>
      <c r="C16" s="1154" t="s">
        <v>53</v>
      </c>
    </row>
    <row r="17" spans="1:3" ht="14.25">
      <c r="A17" s="3364"/>
      <c r="B17" s="3362"/>
      <c r="C17" s="1154" t="s">
        <v>55</v>
      </c>
    </row>
    <row r="18" spans="1:3" ht="14.25">
      <c r="A18" s="3364"/>
      <c r="B18" s="3362"/>
      <c r="C18" s="1154" t="s">
        <v>56</v>
      </c>
    </row>
    <row r="19" spans="1:3" ht="14.25">
      <c r="A19" s="3364"/>
      <c r="B19" s="3360" t="s">
        <v>57</v>
      </c>
      <c r="C19" s="3361"/>
    </row>
    <row r="20" spans="1:3" ht="14.25">
      <c r="A20" s="1155" t="s">
        <v>58</v>
      </c>
      <c r="B20" s="1156"/>
      <c r="C20" s="1157"/>
    </row>
    <row r="21" spans="1:3" ht="14.25">
      <c r="A21" s="3363" t="s">
        <v>59</v>
      </c>
      <c r="B21" s="3360" t="s">
        <v>60</v>
      </c>
      <c r="C21" s="3361"/>
    </row>
    <row r="22" spans="1:3" ht="14.25">
      <c r="A22" s="3363"/>
      <c r="B22" s="3360" t="s">
        <v>61</v>
      </c>
      <c r="C22" s="3361"/>
    </row>
    <row r="23" spans="1:3" ht="14.25">
      <c r="A23" s="3363"/>
      <c r="B23" s="3360" t="s">
        <v>62</v>
      </c>
      <c r="C23" s="3361"/>
    </row>
    <row r="24" spans="1:3" ht="14.25">
      <c r="A24" s="3363"/>
      <c r="B24" s="3366" t="s">
        <v>63</v>
      </c>
      <c r="C24" s="1158" t="s">
        <v>829</v>
      </c>
    </row>
    <row r="25" spans="1:3" ht="14.25">
      <c r="A25" s="3363"/>
      <c r="B25" s="3367"/>
      <c r="C25" s="1158" t="s">
        <v>830</v>
      </c>
    </row>
    <row r="26" spans="1:3" ht="14.25">
      <c r="A26" s="3363"/>
      <c r="B26" s="3367"/>
      <c r="C26" s="1158" t="s">
        <v>831</v>
      </c>
    </row>
    <row r="27" spans="1:3" ht="14.25">
      <c r="A27" s="3363"/>
      <c r="B27" s="3367"/>
      <c r="C27" s="1158" t="s">
        <v>832</v>
      </c>
    </row>
    <row r="28" spans="1:3" ht="14.25">
      <c r="A28" s="3363"/>
      <c r="B28" s="3367"/>
      <c r="C28" s="1158" t="s">
        <v>833</v>
      </c>
    </row>
    <row r="29" spans="1:3" ht="14.25">
      <c r="A29" s="3363"/>
      <c r="B29" s="3367"/>
      <c r="C29" s="1158" t="s">
        <v>834</v>
      </c>
    </row>
    <row r="30" spans="1:3" ht="14.25">
      <c r="A30" s="3363"/>
      <c r="B30" s="3367"/>
      <c r="C30" s="1158" t="s">
        <v>835</v>
      </c>
    </row>
    <row r="31" spans="1:3" ht="14.25">
      <c r="A31" s="3363"/>
      <c r="B31" s="3367"/>
      <c r="C31" s="1158" t="s">
        <v>836</v>
      </c>
    </row>
    <row r="32" spans="1:3" ht="14.25">
      <c r="A32" s="3363"/>
      <c r="B32" s="3367"/>
      <c r="C32" s="1158" t="s">
        <v>1637</v>
      </c>
    </row>
    <row r="33" spans="1:3" ht="14.25">
      <c r="A33" s="3363"/>
      <c r="B33" s="3357" t="s">
        <v>1643</v>
      </c>
      <c r="C33" s="1158" t="s">
        <v>1638</v>
      </c>
    </row>
    <row r="34" spans="1:3" ht="14.25">
      <c r="A34" s="3363"/>
      <c r="B34" s="3358"/>
      <c r="C34" s="1163" t="s">
        <v>1639</v>
      </c>
    </row>
    <row r="35" spans="1:3" ht="14.25">
      <c r="A35" s="3363"/>
      <c r="B35" s="3358"/>
      <c r="C35" s="1164" t="s">
        <v>1640</v>
      </c>
    </row>
    <row r="36" spans="1:3" ht="14.25">
      <c r="A36" s="3363"/>
      <c r="B36" s="3358"/>
      <c r="C36" s="1164" t="s">
        <v>1641</v>
      </c>
    </row>
    <row r="37" spans="1:3" ht="14.25">
      <c r="A37" s="3363"/>
      <c r="B37" s="335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625" style="2829" customWidth="1"/>
    <col min="2" max="2" width="22.625" style="2829" bestFit="1" customWidth="1"/>
    <col min="3" max="3" width="25.625" style="2829" bestFit="1" customWidth="1"/>
    <col min="4" max="4" width="22.625" style="2829"/>
    <col min="5" max="5" width="22.62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1897</v>
      </c>
      <c r="B2" s="3026">
        <f ca="1">TODAY()</f>
        <v>44160</v>
      </c>
      <c r="C2" s="3027" t="s">
        <v>1898</v>
      </c>
      <c r="D2" s="3027"/>
      <c r="E2" s="3024"/>
      <c r="F2" s="3024"/>
      <c r="G2" s="3024"/>
    </row>
    <row r="3" spans="1:7" ht="20.25" customHeight="1">
      <c r="A3" s="3048" t="s">
        <v>1899</v>
      </c>
      <c r="B3" s="3029" t="s">
        <v>1900</v>
      </c>
      <c r="C3" s="3030" t="s">
        <v>1901</v>
      </c>
      <c r="D3" s="3049" t="s">
        <v>1902</v>
      </c>
      <c r="E3" s="3029" t="s">
        <v>1903</v>
      </c>
      <c r="F3" s="3029" t="s">
        <v>1901</v>
      </c>
      <c r="G3" s="3024"/>
    </row>
    <row r="4" spans="1:7" ht="20.25" customHeight="1">
      <c r="A4" s="3029" t="s">
        <v>1904</v>
      </c>
      <c r="B4" s="3029">
        <f ca="1">IF(C4&lt;B2,"已过期",1119970066)</f>
        <v>1119970066</v>
      </c>
      <c r="C4" s="3032">
        <v>44876</v>
      </c>
      <c r="D4" s="3040" t="s">
        <v>1904</v>
      </c>
      <c r="E4" s="3029">
        <f ca="1">IF(F4&lt;B2,"已过期",96010014)</f>
        <v>96010014</v>
      </c>
      <c r="F4" s="3031">
        <v>47118</v>
      </c>
      <c r="G4" s="3024"/>
    </row>
    <row r="5" spans="1:7" ht="20.25" customHeight="1">
      <c r="A5" s="3029" t="s">
        <v>1905</v>
      </c>
      <c r="B5" s="3029">
        <f ca="1">IF(C5&lt;B2,"已过期",1119970111)</f>
        <v>1119970111</v>
      </c>
      <c r="C5" s="3032">
        <v>44876</v>
      </c>
      <c r="D5" s="3040" t="s">
        <v>1905</v>
      </c>
      <c r="E5" s="3029">
        <f ca="1">IF(F5&lt;B2,"已过期",94010078)</f>
        <v>94010078</v>
      </c>
      <c r="F5" s="3031">
        <v>46387</v>
      </c>
      <c r="G5" s="3024"/>
    </row>
    <row r="6" spans="1:7" ht="20.25" customHeight="1">
      <c r="A6" s="3029" t="s">
        <v>1906</v>
      </c>
      <c r="B6" s="3029">
        <f ca="1">IF(C6&lt;B2,"已过期",1120050019)</f>
        <v>1120050019</v>
      </c>
      <c r="C6" s="3032">
        <v>44395</v>
      </c>
      <c r="D6" s="3040" t="s">
        <v>1906</v>
      </c>
      <c r="E6" s="3029">
        <f ca="1">IF(F6&lt;B2,"已过期",2002110030)</f>
        <v>2002110030</v>
      </c>
      <c r="F6" s="3031">
        <v>46387</v>
      </c>
      <c r="G6" s="3024"/>
    </row>
    <row r="7" spans="1:7" ht="20.25" customHeight="1">
      <c r="A7" s="3029" t="s">
        <v>1907</v>
      </c>
      <c r="B7" s="3029">
        <f ca="1">IF(C7&lt;B2,"已过期",1120000080)</f>
        <v>1120000080</v>
      </c>
      <c r="C7" s="3032">
        <v>44876</v>
      </c>
      <c r="D7" s="3040" t="s">
        <v>1907</v>
      </c>
      <c r="E7" s="3029">
        <f ca="1">IF(F7&lt;B2,"已过期",2000110082)</f>
        <v>2000110082</v>
      </c>
      <c r="F7" s="3031">
        <v>46387</v>
      </c>
      <c r="G7" s="3024"/>
    </row>
    <row r="8" spans="1:7" ht="20.25" customHeight="1">
      <c r="A8" s="3029" t="s">
        <v>1908</v>
      </c>
      <c r="B8" s="3029">
        <f ca="1">IF(C8&lt;B2,"已过期",1419970001)</f>
        <v>1419970001</v>
      </c>
      <c r="C8" s="3032">
        <v>44899</v>
      </c>
      <c r="D8" s="3040" t="s">
        <v>1908</v>
      </c>
      <c r="E8" s="3029">
        <f ca="1">IF(F8&lt;B2,"已过期",2002110125)</f>
        <v>2002110125</v>
      </c>
      <c r="F8" s="3031">
        <v>47118</v>
      </c>
      <c r="G8" s="3024"/>
    </row>
    <row r="9" spans="1:7" ht="20.25" customHeight="1">
      <c r="A9" s="3029" t="s">
        <v>1909</v>
      </c>
      <c r="B9" s="3029">
        <f ca="1">IF(C9&lt;B2,"已过期",1120060040)</f>
        <v>1120060040</v>
      </c>
      <c r="C9" s="3032">
        <v>44554</v>
      </c>
      <c r="D9" s="3040" t="s">
        <v>1909</v>
      </c>
      <c r="E9" s="3029">
        <f ca="1">IF(F9&lt;B2,"已过期",2004110096)</f>
        <v>2004110096</v>
      </c>
      <c r="F9" s="3031">
        <v>47118</v>
      </c>
      <c r="G9" s="3024"/>
    </row>
    <row r="10" spans="1:7" ht="20.25" customHeight="1">
      <c r="A10" s="3029" t="s">
        <v>1910</v>
      </c>
      <c r="B10" s="3029">
        <f ca="1">IF(C10&lt;B2,"已过期",1120100036)</f>
        <v>1120100036</v>
      </c>
      <c r="C10" s="3032">
        <v>44675</v>
      </c>
      <c r="D10" s="3040" t="s">
        <v>1910</v>
      </c>
      <c r="E10" s="3029">
        <f ca="1">IF(F10&lt;B2,"已过期",2010110070)</f>
        <v>2010110070</v>
      </c>
      <c r="F10" s="3031">
        <v>47907</v>
      </c>
      <c r="G10" s="3024"/>
    </row>
    <row r="11" spans="1:7" ht="20.25" customHeight="1">
      <c r="A11" s="3029" t="s">
        <v>1911</v>
      </c>
      <c r="B11" s="3029">
        <f ca="1">IF(C11&lt;B2,"已过期",1120070131)</f>
        <v>1120070131</v>
      </c>
      <c r="C11" s="3032">
        <v>44849</v>
      </c>
      <c r="D11" s="3040" t="s">
        <v>1911</v>
      </c>
      <c r="E11" s="3029">
        <f ca="1">IF(F11&lt;B2,"已过期",2014110011)</f>
        <v>2014110011</v>
      </c>
      <c r="F11" s="3031">
        <v>49302</v>
      </c>
      <c r="G11" s="3024"/>
    </row>
    <row r="12" spans="1:7" ht="20.25" customHeight="1">
      <c r="A12" s="3029" t="s">
        <v>2941</v>
      </c>
      <c r="B12" s="3029">
        <f ca="1">IF(C12&lt;B2,"已过期",1120040230)</f>
        <v>1120040230</v>
      </c>
      <c r="C12" s="3032">
        <v>44864</v>
      </c>
      <c r="D12" s="3040" t="s">
        <v>2942</v>
      </c>
      <c r="E12" s="3029">
        <f ca="1">IF(F12&lt;B2,"已过期",98030020)</f>
        <v>98030020</v>
      </c>
      <c r="F12" s="3031">
        <v>47118</v>
      </c>
      <c r="G12" s="3024"/>
    </row>
    <row r="13" spans="1:7" ht="20.25" customHeight="1">
      <c r="A13" s="3029"/>
      <c r="B13" s="3029"/>
      <c r="C13" s="3032"/>
      <c r="D13" s="3040" t="s">
        <v>1912</v>
      </c>
      <c r="E13" s="3029">
        <f ca="1">IF(F13&lt;B2,"已过期",2011110090)</f>
        <v>2011110090</v>
      </c>
      <c r="F13" s="3031">
        <v>48302</v>
      </c>
      <c r="G13" s="3024"/>
    </row>
    <row r="14" spans="1:7" ht="20.25" customHeight="1">
      <c r="A14" s="3029" t="s">
        <v>1913</v>
      </c>
      <c r="B14" s="3029">
        <f ca="1">IF(C14&lt;B2,"已过期",1120020033)</f>
        <v>1120020033</v>
      </c>
      <c r="C14" s="3032">
        <v>44339</v>
      </c>
      <c r="D14" s="3040" t="s">
        <v>1913</v>
      </c>
      <c r="E14" s="3029">
        <f ca="1">IF(F14&lt;B2,"已过期",2000110137)</f>
        <v>2000110137</v>
      </c>
      <c r="F14" s="3031">
        <v>46387</v>
      </c>
      <c r="G14" s="3024"/>
    </row>
    <row r="15" spans="1:7" ht="20.25" customHeight="1">
      <c r="A15" s="3029" t="s">
        <v>2953</v>
      </c>
      <c r="B15" s="3029">
        <f ca="1">IF(C14&lt;B2,"已过期",1119980106)</f>
        <v>1119980106</v>
      </c>
      <c r="C15" s="3032">
        <v>44969</v>
      </c>
      <c r="D15" s="3040"/>
      <c r="E15" s="3029"/>
      <c r="F15" s="3029"/>
      <c r="G15" s="3024"/>
    </row>
    <row r="16" spans="1:7" s="2830" customFormat="1" ht="20.25" customHeight="1">
      <c r="A16" s="3028" t="s">
        <v>2041</v>
      </c>
      <c r="B16" s="3028" t="s">
        <v>2041</v>
      </c>
      <c r="C16" s="3032"/>
      <c r="D16" s="3041" t="s">
        <v>2041</v>
      </c>
      <c r="E16" s="3029" t="s">
        <v>2041</v>
      </c>
      <c r="F16" s="3031"/>
      <c r="G16" s="3033"/>
    </row>
    <row r="17" spans="1:7" ht="20.25" customHeight="1">
      <c r="A17" s="3371" t="s">
        <v>1914</v>
      </c>
      <c r="B17" s="3372"/>
      <c r="C17" s="3372"/>
      <c r="D17" s="3372"/>
      <c r="E17" s="3372"/>
      <c r="F17" s="3372"/>
      <c r="G17" s="3033"/>
    </row>
    <row r="18" spans="1:7" ht="20.25" customHeight="1">
      <c r="A18" s="3368" t="s">
        <v>1915</v>
      </c>
      <c r="B18" s="3368"/>
      <c r="C18" s="3369"/>
      <c r="D18" s="3370" t="s">
        <v>1916</v>
      </c>
      <c r="E18" s="3368"/>
      <c r="F18" s="3368"/>
      <c r="G18" s="3033"/>
    </row>
    <row r="19" spans="1:7" s="2828" customFormat="1" ht="20.25" customHeight="1">
      <c r="A19" s="3034" t="s">
        <v>1917</v>
      </c>
      <c r="B19" s="3035" t="s">
        <v>1918</v>
      </c>
      <c r="C19" s="3042" t="s">
        <v>1919</v>
      </c>
      <c r="D19" s="3040" t="s">
        <v>1917</v>
      </c>
      <c r="E19" s="3035" t="s">
        <v>1918</v>
      </c>
      <c r="F19" s="3035" t="s">
        <v>1919</v>
      </c>
      <c r="G19" s="3025"/>
    </row>
    <row r="20" spans="1:7" s="2828" customFormat="1" ht="20.25" customHeight="1">
      <c r="A20" s="3036" t="s">
        <v>1920</v>
      </c>
      <c r="B20" s="3036" t="s">
        <v>1921</v>
      </c>
      <c r="C20" s="3043">
        <v>44820</v>
      </c>
      <c r="D20" s="3045" t="s">
        <v>1922</v>
      </c>
      <c r="E20" s="3036" t="s">
        <v>1923</v>
      </c>
      <c r="F20" s="3037">
        <v>44377</v>
      </c>
      <c r="G20" s="3025"/>
    </row>
    <row r="21" spans="1:7" s="2828" customFormat="1" ht="20.25" customHeight="1">
      <c r="A21" s="3036"/>
      <c r="B21" s="3036"/>
      <c r="C21" s="3044"/>
      <c r="D21" s="3045" t="s">
        <v>1924</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4" type="noConversion"/>
  <conditionalFormatting sqref="C16:D16 C5 C12:C13">
    <cfRule type="expression" dxfId="251" priority="149">
      <formula>AND($C5-TODAY()&lt;30,TODAY()&lt;$C5)</formula>
    </cfRule>
  </conditionalFormatting>
  <conditionalFormatting sqref="C20">
    <cfRule type="expression" dxfId="250" priority="148">
      <formula>AND($C20-TODAY()&lt;30,TODAY()&lt;$C20)</formula>
    </cfRule>
  </conditionalFormatting>
  <conditionalFormatting sqref="C20 F4 C5 C13">
    <cfRule type="cellIs" dxfId="249" priority="150" stopIfTrue="1" operator="lessThan">
      <formula>$B$2</formula>
    </cfRule>
  </conditionalFormatting>
  <conditionalFormatting sqref="F5 F7 F9">
    <cfRule type="cellIs" dxfId="248" priority="144" stopIfTrue="1" operator="lessThan">
      <formula>$B$2</formula>
    </cfRule>
  </conditionalFormatting>
  <conditionalFormatting sqref="C16:D16">
    <cfRule type="expression" dxfId="247" priority="142">
      <formula>AND($C16-TODAY()&lt;30,TODAY()&lt;$C16)</formula>
    </cfRule>
  </conditionalFormatting>
  <conditionalFormatting sqref="F6 F8 F10 C16:D16">
    <cfRule type="cellIs" dxfId="246" priority="143" stopIfTrue="1" operator="lessThan">
      <formula>$B$2</formula>
    </cfRule>
  </conditionalFormatting>
  <conditionalFormatting sqref="F14">
    <cfRule type="cellIs" dxfId="245" priority="114" stopIfTrue="1" operator="lessThan">
      <formula>$B$2</formula>
    </cfRule>
  </conditionalFormatting>
  <conditionalFormatting sqref="F13">
    <cfRule type="cellIs" dxfId="244" priority="113" stopIfTrue="1" operator="lessThan">
      <formula>$B$2</formula>
    </cfRule>
  </conditionalFormatting>
  <conditionalFormatting sqref="B4:B11 E4:E11 E13:E15 B13:B15">
    <cfRule type="cellIs" dxfId="243" priority="111" stopIfTrue="1" operator="equal">
      <formula>"已过期"</formula>
    </cfRule>
  </conditionalFormatting>
  <conditionalFormatting sqref="F20">
    <cfRule type="cellIs" dxfId="242" priority="108" stopIfTrue="1" operator="lessThan">
      <formula>$B$2</formula>
    </cfRule>
  </conditionalFormatting>
  <conditionalFormatting sqref="F20">
    <cfRule type="expression" dxfId="241" priority="152">
      <formula>AND($E20-TODAY()&lt;30,TODAY()&lt;$E20)</formula>
    </cfRule>
  </conditionalFormatting>
  <conditionalFormatting sqref="C6">
    <cfRule type="expression" dxfId="240" priority="82">
      <formula>AND($C6-TODAY()&lt;30,TODAY()&lt;$C6)</formula>
    </cfRule>
  </conditionalFormatting>
  <conditionalFormatting sqref="C6">
    <cfRule type="cellIs" dxfId="239" priority="83" stopIfTrue="1" operator="lessThan">
      <formula>$B$2</formula>
    </cfRule>
  </conditionalFormatting>
  <conditionalFormatting sqref="C11 C15">
    <cfRule type="expression" dxfId="238" priority="80">
      <formula>AND($C11-TODAY()&lt;30,TODAY()&lt;$C11)</formula>
    </cfRule>
  </conditionalFormatting>
  <conditionalFormatting sqref="C11 C15">
    <cfRule type="cellIs" dxfId="237" priority="81" stopIfTrue="1" operator="lessThan">
      <formula>$B$2</formula>
    </cfRule>
  </conditionalFormatting>
  <conditionalFormatting sqref="F11">
    <cfRule type="cellIs" dxfId="236" priority="79" stopIfTrue="1" operator="lessThan">
      <formula>$B$2</formula>
    </cfRule>
  </conditionalFormatting>
  <conditionalFormatting sqref="C14">
    <cfRule type="expression" dxfId="235" priority="60">
      <formula>AND($C14-TODAY()&lt;30,TODAY()&lt;$C14)</formula>
    </cfRule>
  </conditionalFormatting>
  <conditionalFormatting sqref="C14">
    <cfRule type="cellIs" dxfId="234" priority="61" stopIfTrue="1" operator="lessThan">
      <formula>$B$2</formula>
    </cfRule>
  </conditionalFormatting>
  <conditionalFormatting sqref="C12">
    <cfRule type="cellIs" dxfId="233" priority="54" stopIfTrue="1" operator="lessThan">
      <formula>$B$2</formula>
    </cfRule>
  </conditionalFormatting>
  <conditionalFormatting sqref="C12">
    <cfRule type="expression" dxfId="232" priority="51">
      <formula>AND($C12-TODAY()&lt;30,TODAY()&lt;$C12)</formula>
    </cfRule>
  </conditionalFormatting>
  <conditionalFormatting sqref="C12">
    <cfRule type="cellIs" dxfId="231" priority="52" stopIfTrue="1" operator="lessThan">
      <formula>$B$2</formula>
    </cfRule>
  </conditionalFormatting>
  <conditionalFormatting sqref="B12">
    <cfRule type="cellIs" dxfId="230" priority="48" stopIfTrue="1" operator="equal">
      <formula>"已过期"</formula>
    </cfRule>
  </conditionalFormatting>
  <conditionalFormatting sqref="E12">
    <cfRule type="cellIs" dxfId="229" priority="38" stopIfTrue="1" operator="equal">
      <formula>"已过期"</formula>
    </cfRule>
  </conditionalFormatting>
  <conditionalFormatting sqref="F12">
    <cfRule type="cellIs" dxfId="228" priority="37" stopIfTrue="1" operator="lessThan">
      <formula>$B$2</formula>
    </cfRule>
  </conditionalFormatting>
  <conditionalFormatting sqref="C9:C10">
    <cfRule type="expression" dxfId="227" priority="33">
      <formula>AND($C9-TODAY()&lt;30,TODAY()&lt;$C9)</formula>
    </cfRule>
  </conditionalFormatting>
  <conditionalFormatting sqref="C9:C10">
    <cfRule type="cellIs" dxfId="226" priority="34" stopIfTrue="1" operator="lessThan">
      <formula>$B$2</formula>
    </cfRule>
  </conditionalFormatting>
  <conditionalFormatting sqref="F21">
    <cfRule type="cellIs" dxfId="225" priority="13" stopIfTrue="1" operator="lessThan">
      <formula>$B$2</formula>
    </cfRule>
  </conditionalFormatting>
  <conditionalFormatting sqref="F21">
    <cfRule type="expression" dxfId="224" priority="14">
      <formula>AND($E21-TODAY()&lt;30,TODAY()&lt;$E21)</formula>
    </cfRule>
  </conditionalFormatting>
  <conditionalFormatting sqref="C7:C8">
    <cfRule type="expression" dxfId="223" priority="5">
      <formula>AND($C7-TODAY()&lt;30,TODAY()&lt;$C7)</formula>
    </cfRule>
  </conditionalFormatting>
  <conditionalFormatting sqref="C7:C8">
    <cfRule type="cellIs" dxfId="222" priority="6" stopIfTrue="1" operator="lessThan">
      <formula>$B$2</formula>
    </cfRule>
  </conditionalFormatting>
  <conditionalFormatting sqref="C7:C8">
    <cfRule type="expression" dxfId="221" priority="3">
      <formula>AND($C7-TODAY()&lt;30,TODAY()&lt;$C7)</formula>
    </cfRule>
  </conditionalFormatting>
  <conditionalFormatting sqref="C7:C8">
    <cfRule type="cellIs" dxfId="220" priority="4" stopIfTrue="1" operator="lessThan">
      <formula>$B$2</formula>
    </cfRule>
  </conditionalFormatting>
  <conditionalFormatting sqref="C4">
    <cfRule type="expression" dxfId="219" priority="1">
      <formula>AND($C4-TODAY()&lt;30,TODAY()&lt;$C4)</formula>
    </cfRule>
  </conditionalFormatting>
  <conditionalFormatting sqref="C4">
    <cfRule type="cellIs" dxfId="218" priority="2" stopIfTrue="1" operator="lessThan">
      <formula>$B$2</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3" workbookViewId="0">
      <selection activeCell="B15" sqref="B15"/>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125" style="1145" customWidth="1"/>
    <col min="26" max="16384" width="9" style="1145"/>
  </cols>
  <sheetData>
    <row r="1" spans="1:23" s="1166" customFormat="1" ht="27">
      <c r="A1" s="955" t="s">
        <v>848</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865</v>
      </c>
    </row>
    <row r="2" spans="1:23">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1703</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1704</v>
      </c>
      <c r="F7" s="9" t="s">
        <v>154</v>
      </c>
      <c r="H7" s="9" t="s">
        <v>104</v>
      </c>
      <c r="I7" s="9" t="s">
        <v>105</v>
      </c>
    </row>
    <row r="8" spans="1:23">
      <c r="A8" s="8" t="s">
        <v>106</v>
      </c>
      <c r="B8" s="8" t="s">
        <v>107</v>
      </c>
      <c r="C8" s="1489" t="s">
        <v>1705</v>
      </c>
      <c r="F8" s="9" t="s">
        <v>155</v>
      </c>
      <c r="H8" s="9"/>
      <c r="I8" s="9" t="s">
        <v>108</v>
      </c>
    </row>
    <row r="9" spans="1:23">
      <c r="A9" s="8" t="s">
        <v>109</v>
      </c>
      <c r="B9" s="8" t="s">
        <v>156</v>
      </c>
      <c r="C9" s="1489" t="s">
        <v>1706</v>
      </c>
      <c r="F9" s="9" t="s">
        <v>110</v>
      </c>
      <c r="H9" s="9"/>
    </row>
    <row r="10" spans="1:23">
      <c r="A10" s="8" t="s">
        <v>111</v>
      </c>
      <c r="B10" s="8" t="s">
        <v>157</v>
      </c>
      <c r="C10" s="1489" t="s">
        <v>1707</v>
      </c>
      <c r="F10" s="9" t="s">
        <v>6</v>
      </c>
    </row>
    <row r="11" spans="1:23">
      <c r="A11" s="8" t="s">
        <v>112</v>
      </c>
      <c r="B11" s="8" t="s">
        <v>158</v>
      </c>
      <c r="C11" s="1489" t="s">
        <v>1708</v>
      </c>
    </row>
    <row r="12" spans="1:23">
      <c r="A12" s="8" t="s">
        <v>113</v>
      </c>
      <c r="B12" s="8" t="s">
        <v>159</v>
      </c>
      <c r="C12" s="1489" t="s">
        <v>1709</v>
      </c>
    </row>
    <row r="13" spans="1:23">
      <c r="A13" s="8" t="s">
        <v>114</v>
      </c>
      <c r="B13" s="8" t="s">
        <v>160</v>
      </c>
      <c r="C13" s="1489" t="s">
        <v>1710</v>
      </c>
    </row>
    <row r="14" spans="1:23">
      <c r="A14" s="8" t="s">
        <v>115</v>
      </c>
      <c r="B14" s="8" t="s">
        <v>161</v>
      </c>
      <c r="C14" s="1492" t="s">
        <v>1886</v>
      </c>
    </row>
    <row r="15" spans="1:23">
      <c r="A15" s="8" t="s">
        <v>116</v>
      </c>
      <c r="B15" s="3281" t="s">
        <v>3402</v>
      </c>
      <c r="C15" s="1492"/>
    </row>
    <row r="16" spans="1:23">
      <c r="A16" s="8" t="s">
        <v>117</v>
      </c>
      <c r="B16" s="8" t="s">
        <v>1672</v>
      </c>
      <c r="C16" s="1492"/>
    </row>
    <row r="17" spans="1:3">
      <c r="A17" s="8" t="s">
        <v>118</v>
      </c>
      <c r="B17" s="8" t="s">
        <v>1673</v>
      </c>
      <c r="C17" s="1492"/>
    </row>
    <row r="18" spans="1:3">
      <c r="A18" s="8" t="s">
        <v>119</v>
      </c>
      <c r="B18" s="2791" t="s">
        <v>2917</v>
      </c>
      <c r="C18" s="1492"/>
    </row>
    <row r="19" spans="1:3">
      <c r="A19" s="8" t="s">
        <v>120</v>
      </c>
      <c r="B19" s="2791" t="s">
        <v>2924</v>
      </c>
      <c r="C19" s="1492"/>
    </row>
    <row r="20" spans="1:3">
      <c r="A20" s="8" t="s">
        <v>121</v>
      </c>
      <c r="B20" s="2791" t="s">
        <v>2967</v>
      </c>
      <c r="C20" s="1492"/>
    </row>
    <row r="21" spans="1:3">
      <c r="A21" s="8" t="s">
        <v>122</v>
      </c>
      <c r="B21" s="8" t="s">
        <v>3391</v>
      </c>
      <c r="C21" s="1492"/>
    </row>
    <row r="22" spans="1:3">
      <c r="A22" s="8" t="s">
        <v>123</v>
      </c>
      <c r="B22" s="8" t="s">
        <v>3392</v>
      </c>
      <c r="C22" s="1492"/>
    </row>
    <row r="23" spans="1:3">
      <c r="A23" s="8" t="s">
        <v>124</v>
      </c>
      <c r="B23" s="2791" t="s">
        <v>3394</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河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7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10月21日，在规划利用条件下、设定土地开发程度为红线外“七通”、宗地内场地，设定用途为，剩余土地使用年限为的出让国有建设用地使用权价格。</v>
      </c>
      <c r="D53" s="1684"/>
      <c r="E53" s="1684"/>
    </row>
    <row r="54" spans="1:5">
      <c r="A54" s="337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7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7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7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面积拆分</vt:lpstr>
      <vt:lpstr>估价对象房地状况</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剩余法-待开发</vt:lpstr>
      <vt:lpstr>不动产收益法-住宅</vt:lpstr>
      <vt:lpstr>不动产收益法-底商</vt:lpstr>
      <vt:lpstr>不动产收益法-独商</vt:lpstr>
      <vt:lpstr>不动产收益法-办公</vt:lpstr>
      <vt:lpstr>不动产收益法-公寓</vt:lpstr>
      <vt:lpstr>不动产比较法-住宅</vt:lpstr>
      <vt:lpstr>不动产比较法-商业</vt:lpstr>
      <vt:lpstr>商业案例</vt:lpstr>
      <vt:lpstr>不动产比较法-办公</vt:lpstr>
      <vt:lpstr>不动产比较法-工业</vt:lpstr>
      <vt:lpstr>不动产比较法-车位</vt:lpstr>
      <vt:lpstr>不动产比较法-仓储</vt:lpstr>
      <vt:lpstr>典型户型修正</vt:lpstr>
      <vt:lpstr>存贷款利率</vt:lpstr>
      <vt:lpstr>住宅案例-天津</vt:lpstr>
      <vt:lpstr>办公案例</vt:lpstr>
      <vt:lpstr>表-彩色</vt:lpstr>
      <vt:lpstr>系统读取表</vt:lpstr>
      <vt:lpstr>结果表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'不动产收益法-底商'!Print_Area</vt:lpstr>
      <vt:lpstr>'不动产收益法-独商'!Print_Area</vt:lpstr>
      <vt:lpstr>'不动产收益法-公寓'!Print_Area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2020-11-25T03:56:38Z</dcterms:modified>
</cp:coreProperties>
</file>