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取值" sheetId="80"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比较法-商业 (2)" sheetId="81" r:id="rId21"/>
    <sheet name="基准地价修正" sheetId="43" r:id="rId22"/>
    <sheet name="成本法" sheetId="68" r:id="rId23"/>
    <sheet name="成本法 (元)" sheetId="69" state="hidden" r:id="rId24"/>
    <sheet name="假设开发法" sheetId="12" state="hidden" r:id="rId25"/>
    <sheet name="收益法" sheetId="15" r:id="rId26"/>
    <sheet name="收益法 (元)" sheetId="67" state="hidden" r:id="rId27"/>
    <sheet name="收益法-酒店模型" sheetId="77"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0" hidden="1">'比较法-商业 (2)'!$A$1:$L$49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0">'比较法-商业 (2)'!$A$1:$K$54,'比较法-商业 (2)'!$A$57:$M$131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0">'[1]比较法-办公'!$B$119:$M$119</definedName>
    <definedName name="办公层高">'比较法-办公'!$B$119:$M$119</definedName>
    <definedName name="办公朝向" localSheetId="20">'[1]比较法-办公'!$B$91:$M$91</definedName>
    <definedName name="办公朝向">'比较法-办公'!$B$91:$M$91</definedName>
    <definedName name="办公道路级别" localSheetId="20">'[1]比较法-办公'!$B$87:$M$87</definedName>
    <definedName name="办公道路级别">'比较法-办公'!$B$87:$M$87</definedName>
    <definedName name="办公公共部分装修" localSheetId="20">'[1]比较法-办公'!$B$108:$M$108</definedName>
    <definedName name="办公公共部分装修">'比较法-办公'!$B$108:$M$108</definedName>
    <definedName name="办公基础设施水平" localSheetId="20">'[1]比较法-办公'!$B$117:$M$117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'[1]比较法-办公'!$B$106:$M$106</definedName>
    <definedName name="办公建筑结构">'比较法-办公'!$B$106:$M$106</definedName>
    <definedName name="办公建筑类型" localSheetId="20">'[1]比较法-办公'!$B$101:$M$101</definedName>
    <definedName name="办公建筑类型">'比较法-办公'!$B$101:$M$101</definedName>
    <definedName name="办公交易情况" localSheetId="20">'[1]比较法-办公'!$A$62:$M$62</definedName>
    <definedName name="办公交易情况">'比较法-办公'!$A$62:$M$62</definedName>
    <definedName name="办公楼层" localSheetId="20">'[1]比较法-办公'!$B$89:$M$89</definedName>
    <definedName name="办公楼层">'比较法-办公'!$B$89:$M$89</definedName>
    <definedName name="办公内部装修" localSheetId="20">'[1]比较法-办公'!$B$123:$M$123</definedName>
    <definedName name="办公内部装修">'比较法-办公'!$B$123:$M$123</definedName>
    <definedName name="办公物业管理" localSheetId="20">'[1]比较法-办公'!$B$115:$M$115</definedName>
    <definedName name="办公物业管理">'比较法-办公'!$B$115:$M$115</definedName>
    <definedName name="办公用途" localSheetId="20">'[1]比较法-办公'!$B$64:$M$64</definedName>
    <definedName name="办公用途">'比较法-办公'!$B$64:$M$64</definedName>
    <definedName name="仓储公共部分装修" localSheetId="20">'[1]比较法-仓储'!$B$77:$M$77</definedName>
    <definedName name="仓储公共部分装修">'比较法-仓储'!$B$77:$M$77</definedName>
    <definedName name="仓储交易情况" localSheetId="20">'[1]比较法-仓储'!$A$49:$M$49</definedName>
    <definedName name="仓储交易情况">'比较法-仓储'!$A$49:$M$49</definedName>
    <definedName name="仓储楼层" localSheetId="20">'[1]比较法-仓储'!$B$69:$M$69</definedName>
    <definedName name="仓储楼层">'比较法-仓储'!$B$69:$M$69</definedName>
    <definedName name="仓储物业等级" localSheetId="20">'[1]比较法-仓储'!$B$82:$M$82</definedName>
    <definedName name="仓储物业等级">'比较法-仓储'!$B$82:$M$82</definedName>
    <definedName name="仓储用途" localSheetId="20">'[1]比较法-仓储'!$B$51:$M$51</definedName>
    <definedName name="仓储用途">'比较法-仓储'!$B$51:$M$51</definedName>
    <definedName name="产业集聚程度" localSheetId="20">[1]定义!$N$1:$N$6</definedName>
    <definedName name="产业集聚程度">定义!$N$1:$N$6</definedName>
    <definedName name="车位公共部分装修" localSheetId="20">'[1]比较法-车位'!$B$83:$M$83</definedName>
    <definedName name="车位公共部分装修">'比较法-车位'!$B$83:$M$83</definedName>
    <definedName name="车位交易情况" localSheetId="20">'[1]比较法-车位'!$A$51:$M$51</definedName>
    <definedName name="车位交易情况">'比较法-车位'!$A$51:$M$51</definedName>
    <definedName name="车位类型" localSheetId="20">'[1]比较法-车位'!$B$93:$M$93</definedName>
    <definedName name="车位类型">'比较法-车位'!$B$93:$M$93</definedName>
    <definedName name="车位楼层" localSheetId="20">'[1]比较法-车位'!$B$71:$M$71</definedName>
    <definedName name="车位楼层">'比较法-车位'!$B$71:$M$71</definedName>
    <definedName name="车位配套类型" localSheetId="20">'[1]比较法-车位'!$B$79:$M$79</definedName>
    <definedName name="车位配套类型">'比较法-车位'!$B$79:$M$79</definedName>
    <definedName name="车位物业等级" localSheetId="20">'[1]比较法-车位'!$B$88:$M$88</definedName>
    <definedName name="车位物业等级">'比较法-车位'!$B$88:$M$88</definedName>
    <definedName name="车位用途" localSheetId="20">'[1]比较法-车位'!$B$53:$M$53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区片价!$J$1:$J$21</definedName>
    <definedName name="二级分类" localSheetId="20">[1]修正!$C$19:$C$51</definedName>
    <definedName name="二级分类">修正!$C$19:$C$51</definedName>
    <definedName name="法定最高年限" localSheetId="20">[1]定义!$G$1:$G$6</definedName>
    <definedName name="法定最高年限">定义!$G$1:$G$6</definedName>
    <definedName name="工业公共部分装修" localSheetId="20">'[1]比较法-工业'!$B$95:$M$95</definedName>
    <definedName name="工业公共部分装修">'比较法-工业'!$B$95:$M$95</definedName>
    <definedName name="工业基础设施水平" localSheetId="20">'[1]比较法-工业'!$B$102:$M$102</definedName>
    <definedName name="工业基础设施水平">'比较法-工业'!$B$102:$M$102</definedName>
    <definedName name="工业建筑结构" localSheetId="20">'[1]比较法-工业'!$B$93:$M$93</definedName>
    <definedName name="工业建筑结构">'比较法-工业'!$B$93:$M$93</definedName>
    <definedName name="工业建筑类型" localSheetId="20">'[1]比较法-工业'!$B$88:$M$88</definedName>
    <definedName name="工业建筑类型">'比较法-工业'!$B$88:$M$88</definedName>
    <definedName name="工业交易情况" localSheetId="20">'[1]比较法-工业'!$A$55:$M$55</definedName>
    <definedName name="工业交易情况">'比较法-工业'!$A$55:$M$55</definedName>
    <definedName name="工业内部装修" localSheetId="20">'[1]比较法-工业'!$B$104:$M$104</definedName>
    <definedName name="工业内部装修">'比较法-工业'!$B$104:$M$104</definedName>
    <definedName name="工业物业管理" localSheetId="20">'[1]比较法-工业'!$B$100:$M$100</definedName>
    <definedName name="工业物业管理">'比较法-工业'!$B$100:$M$100</definedName>
    <definedName name="工业用途" localSheetId="20">'[1]比较法-工业'!$B$57:$M$57</definedName>
    <definedName name="工业用途">'比较法-工业'!$B$57:$M$57</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区片价!$N$1:$N$64</definedName>
    <definedName name="内部装修维护情况" localSheetId="20">[1]定义!$U$1:$U$6</definedName>
    <definedName name="内部装修维护情况">定义!$U$1:$U$6</definedName>
    <definedName name="七级">区片价!$O$1:$O$45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区片价!$K$1:$K$26</definedName>
    <definedName name="商业层高" localSheetId="20">'比较法-商业 (2)'!$B$116:$M$116</definedName>
    <definedName name="商业层高">'比较法-商业'!$B$116:$M$116</definedName>
    <definedName name="商业成新度" localSheetId="20">'比较法-商业 (2)'!$B$109:$M$109</definedName>
    <definedName name="商业成新度">'比较法-商业'!$B$109:$M$109</definedName>
    <definedName name="商业繁华度" localSheetId="20">[1]定义!$L$1:$L$6</definedName>
    <definedName name="商业繁华度">定义!$L$1:$L$6</definedName>
    <definedName name="商业公共部分装修" localSheetId="20">'比较法-商业 (2)'!$B$107:$M$107</definedName>
    <definedName name="商业公共部分装修">'比较法-商业'!$B$107:$M$107</definedName>
    <definedName name="商业基础设施水平" localSheetId="20">'比较法-商业 (2)'!$B$112:$M$112</definedName>
    <definedName name="商业基础设施水平">'比较法-商业'!$B$112:$M$112</definedName>
    <definedName name="商业建筑结构" localSheetId="20">'比较法-商业 (2)'!$B$105:$M$105</definedName>
    <definedName name="商业建筑结构">'比较法-商业'!$B$105:$M$105</definedName>
    <definedName name="商业交易情况" localSheetId="20">'比较法-商业 (2)'!$A$61:$M$61</definedName>
    <definedName name="商业交易情况">'比较法-商业'!$A$61:$M$61</definedName>
    <definedName name="商业街名称" localSheetId="20">[1]修正!$C$71:$C$138</definedName>
    <definedName name="商业街名称">修正!$C$71:$C$138</definedName>
    <definedName name="商业进深比" localSheetId="20">'比较法-商业 (2)'!$B$120:$M$120</definedName>
    <definedName name="商业进深比">'比较法-商业'!$B$120:$M$120</definedName>
    <definedName name="商业类型" localSheetId="20">'比较法-商业 (2)'!$B$100:$M$100</definedName>
    <definedName name="商业类型">'比较法-商业'!$B$100:$M$100</definedName>
    <definedName name="商业临街状况" localSheetId="20">'比较法-商业 (2)'!$B$86:$M$86</definedName>
    <definedName name="商业临街状况">'比较法-商业'!$B$86:$M$86</definedName>
    <definedName name="商业楼层" localSheetId="20">'比较法-商业 (2)'!$B$92:$M$92</definedName>
    <definedName name="商业楼层">'比较法-商业'!$B$92:$M$92</definedName>
    <definedName name="商业内部装修" localSheetId="20">'比较法-商业 (2)'!$B$122:$M$122</definedName>
    <definedName name="商业内部装修">'比较法-商业'!$B$122:$M$122</definedName>
    <definedName name="商业人流量" localSheetId="20">'比较法-商业 (2)'!$B$90:$M$90</definedName>
    <definedName name="商业人流量">'比较法-商业'!$B$90:$M$90</definedName>
    <definedName name="商业业态" localSheetId="20">'比较法-商业 (2)'!$B$114:$M$114</definedName>
    <definedName name="商业业态">'比较法-商业'!$B$114:$M$114</definedName>
    <definedName name="商业用途" localSheetId="20">'比较法-商业 (2)'!$B$63:$M$63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'比较法-仓储'!$B$89:$M$89</definedName>
    <definedName name="是否直接入户" localSheetId="20">'[1]比较法-车位'!$B$95:$M$95</definedName>
    <definedName name="是否直接入户">'比较法-车位'!$B$95:$M$95</definedName>
    <definedName name="四级">区片价!$L$1:$L$33</definedName>
    <definedName name="套工道路等级" localSheetId="20">'[1]土地比较法-工业'!$B$97:$M$97</definedName>
    <definedName name="套工道路等级">'土地比较法-工业'!$B$97:$M$97</definedName>
    <definedName name="套工地质条件" localSheetId="20">'[1]土地比较法-工业'!$B$114:$M$114</definedName>
    <definedName name="套工地质条件">'土地比较法-工业'!$B$114:$M$114</definedName>
    <definedName name="套工交易情况" localSheetId="20">'[1]土地比较法-住宅、综合'!$A$72:$M$72</definedName>
    <definedName name="套工交易情况">'土地比较法-住宅、综合'!$A$72:$M$72</definedName>
    <definedName name="套工土地级别" localSheetId="20">'[1]土地比较法-工业'!$B$99:$M$99</definedName>
    <definedName name="套工土地级别">'土地比较法-工业'!$B$99:$M$99</definedName>
    <definedName name="套工用途" localSheetId="20">'[1]土地比较法-工业'!$B$70:$M$70</definedName>
    <definedName name="套工用途">'土地比较法-工业'!$B$70:$M$70</definedName>
    <definedName name="套工宗地开发程度" localSheetId="20">'[1]土地比较法-工业'!$B$112:$M$112</definedName>
    <definedName name="套工宗地开发程度">'土地比较法-工业'!$B$112:$M$112</definedName>
    <definedName name="套工宗地形状" localSheetId="20">'[1]土地比较法-工业'!$B$110:$M$110</definedName>
    <definedName name="套工宗地形状">'土地比较法-工业'!$B$110:$M$110</definedName>
    <definedName name="套综道路等级" localSheetId="20">'[1]土地比较法-住宅、综合'!$B$105:$M$105</definedName>
    <definedName name="套综道路等级">'土地比较法-住宅、综合'!$B$105:$M$105</definedName>
    <definedName name="套综工程地质条件" localSheetId="20">'[1]土地比较法-住宅、综合'!$B$124:$M$124</definedName>
    <definedName name="套综工程地质条件">'土地比较法-住宅、综合'!$B$124:$M$124</definedName>
    <definedName name="套综交易情况" localSheetId="20">'[1]土地比较法-住宅、综合'!$A$72:$M$72</definedName>
    <definedName name="套综交易情况">'土地比较法-住宅、综合'!$A$72:$M$72</definedName>
    <definedName name="套综临街宽度及深度" localSheetId="20">'[1]土地比较法-住宅、综合'!$B$120:$M$120</definedName>
    <definedName name="套综临街宽度及深度">'土地比较法-住宅、综合'!$B$120:$M$120</definedName>
    <definedName name="套综土地级别" localSheetId="20">'[1]土地比较法-住宅、综合'!$B$107:$M$107</definedName>
    <definedName name="套综土地级别">'土地比较法-住宅、综合'!$B$107:$M$107</definedName>
    <definedName name="套综用途" localSheetId="20">'[1]土地比较法-住宅、综合'!$B$74:$M$74</definedName>
    <definedName name="套综用途">'土地比较法-住宅、综合'!$B$74:$M$74</definedName>
    <definedName name="套综宗地内开发程度" localSheetId="20">'[1]土地比较法-住宅、综合'!$B$122:$M$122</definedName>
    <definedName name="套综宗地内开发程度">'土地比较法-住宅、综合'!$B$122:$M$122</definedName>
    <definedName name="套综宗地形状" localSheetId="20">'[1]土地比较法-住宅、综合'!$B$118:$M$118</definedName>
    <definedName name="套综宗地形状">'土地比较法-住宅、综合'!$B$118:$M$118</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区片价!$M$1:$M$41</definedName>
    <definedName name="项目类型" localSheetId="20">'[1]数据-汇总表'!$C$17:$C$26</definedName>
    <definedName name="项目类型" localSheetId="27">'[2]数据-汇总表'!$C$17:$C$26</definedName>
    <definedName name="项目类型">'数据-汇总表'!$C$17:$C$26</definedName>
    <definedName name="写字楼等级" localSheetId="20">'[1]比较法-办公'!$B$113:$M$113</definedName>
    <definedName name="写字楼等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明细" localSheetId="20">[1]定义!$A$1:$A$50</definedName>
    <definedName name="用途明细">定义!$A$1:$A$50</definedName>
    <definedName name="有无电梯" localSheetId="20">'[1]比较法-仓储'!$B$84:$M$84</definedName>
    <definedName name="有无电梯">'比较法-仓储'!$B$84:$M$84</definedName>
    <definedName name="主用途" localSheetId="20">[1]定义!$F$1:$F$12</definedName>
    <definedName name="主用途">定义!$F$1:$F$12</definedName>
    <definedName name="住宅朝向" localSheetId="20">'[1]比较法-住宅'!$B$88:$M$88</definedName>
    <definedName name="住宅朝向">'比较法-住宅'!$B$88:$M$88</definedName>
    <definedName name="住宅房型" localSheetId="20">'[1]比较法-住宅'!$B$118:$M$118</definedName>
    <definedName name="住宅房型">'比较法-住宅'!$B$118:$M$118</definedName>
    <definedName name="住宅公共部分装修" localSheetId="20">'[1]比较法-住宅'!$B$109:$M$109</definedName>
    <definedName name="住宅公共部分装修">'比较法-住宅'!$B$109:$M$109</definedName>
    <definedName name="住宅基础设施水平" localSheetId="20">'[1]比较法-住宅'!$B$116:$M$116</definedName>
    <definedName name="住宅基础设施水平">'比较法-住宅'!$B$116:$M$116</definedName>
    <definedName name="住宅建筑结构" localSheetId="20">'[1]比较法-住宅'!$B$105:$M$105</definedName>
    <definedName name="住宅建筑结构">'比较法-住宅'!$B$105:$M$105</definedName>
    <definedName name="住宅建筑类型" localSheetId="20">'[1]比较法-住宅'!$B$100:$M$100</definedName>
    <definedName name="住宅建筑类型">'比较法-住宅'!$B$100:$M$100</definedName>
    <definedName name="住宅建筑品质" localSheetId="20">'[1]比较法-住宅'!$B$107:$M$107</definedName>
    <definedName name="住宅建筑品质">'比较法-住宅'!$B$107:$M$107</definedName>
    <definedName name="住宅交易情况" localSheetId="20">'[1]比较法-住宅'!$A$61:$M$61</definedName>
    <definedName name="住宅交易情况">'比较法-住宅'!$A$61:$M$61</definedName>
    <definedName name="住宅楼层" localSheetId="20">'[1]比较法-住宅'!$B$86:$M$86</definedName>
    <definedName name="住宅楼层">'比较法-住宅'!$B$86:$M$86</definedName>
    <definedName name="住宅内部装修" localSheetId="20">'[1]比较法-住宅'!$B$122:$M$122</definedName>
    <definedName name="住宅内部装修">'比较法-住宅'!$B$122:$M$122</definedName>
    <definedName name="住宅物业管理" localSheetId="20">'[1]比较法-住宅'!$B$114:$M$114</definedName>
    <definedName name="住宅物业管理">'比较法-住宅'!$B$114:$M$114</definedName>
    <definedName name="住宅用途" localSheetId="20">'[1]比较法-住宅'!$B$63:$M$63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6" i="68" l="1"/>
  <c r="K8" i="68" l="1"/>
  <c r="L23" i="9"/>
  <c r="G36" i="6"/>
  <c r="F36" i="6"/>
  <c r="E36" i="6" s="1"/>
  <c r="I37" i="34" l="1"/>
  <c r="G37" i="34"/>
  <c r="E37" i="34"/>
  <c r="C37" i="34"/>
  <c r="AN59" i="34"/>
  <c r="AO59" i="34" s="1"/>
  <c r="AP59" i="34" s="1"/>
  <c r="AQ59" i="34" s="1"/>
  <c r="AR59" i="34" s="1"/>
  <c r="AS59" i="34" s="1"/>
  <c r="AN60" i="34"/>
  <c r="AO60" i="34"/>
  <c r="AP60" i="34"/>
  <c r="AQ60" i="34" s="1"/>
  <c r="AR60" i="34" s="1"/>
  <c r="AS60" i="34" s="1"/>
  <c r="AM60" i="34"/>
  <c r="AL60" i="34"/>
  <c r="AK60" i="34"/>
  <c r="AJ60" i="34"/>
  <c r="AI60" i="34"/>
  <c r="E60" i="34"/>
  <c r="F60" i="34"/>
  <c r="G60" i="34"/>
  <c r="H60" i="34"/>
  <c r="I60" i="34"/>
  <c r="J60" i="34"/>
  <c r="K60" i="34"/>
  <c r="L60" i="34"/>
  <c r="M60" i="34"/>
  <c r="N60" i="34"/>
  <c r="O60" i="34"/>
  <c r="P60" i="34"/>
  <c r="Q60" i="34"/>
  <c r="R60" i="34"/>
  <c r="S60" i="34"/>
  <c r="T60" i="34"/>
  <c r="U60" i="34"/>
  <c r="V60" i="34"/>
  <c r="W60" i="34"/>
  <c r="X60" i="34"/>
  <c r="Y60" i="34"/>
  <c r="Z60" i="34"/>
  <c r="AA60" i="34"/>
  <c r="AB60" i="34"/>
  <c r="AC60" i="34"/>
  <c r="AD60" i="34"/>
  <c r="AE60" i="34"/>
  <c r="AF60" i="34"/>
  <c r="AG60" i="34"/>
  <c r="AH60" i="34"/>
  <c r="D60" i="34"/>
  <c r="AC59" i="34"/>
  <c r="AD59" i="34" s="1"/>
  <c r="AE59" i="34" s="1"/>
  <c r="AF59" i="34" s="1"/>
  <c r="AG59" i="34" s="1"/>
  <c r="AH59" i="34" s="1"/>
  <c r="AI59" i="34" s="1"/>
  <c r="AJ59" i="34" s="1"/>
  <c r="AK59" i="34" s="1"/>
  <c r="AL59" i="34" s="1"/>
  <c r="AM59" i="34" s="1"/>
  <c r="P59" i="34"/>
  <c r="Q59" i="34" s="1"/>
  <c r="R59" i="34" s="1"/>
  <c r="S59" i="34" s="1"/>
  <c r="T59" i="34" s="1"/>
  <c r="U59" i="34" s="1"/>
  <c r="V59" i="34" s="1"/>
  <c r="W59" i="34" s="1"/>
  <c r="X59" i="34" s="1"/>
  <c r="Y59" i="34" s="1"/>
  <c r="Z59" i="34" s="1"/>
  <c r="AA59" i="34" s="1"/>
  <c r="AB59" i="34" s="1"/>
  <c r="I7" i="34"/>
  <c r="G7" i="34"/>
  <c r="E7" i="34"/>
  <c r="D3" i="81"/>
  <c r="C7" i="81"/>
  <c r="F8" i="81"/>
  <c r="H8" i="81"/>
  <c r="U8" i="81" s="1"/>
  <c r="J8" i="81"/>
  <c r="AC8" i="81" s="1"/>
  <c r="S8" i="81"/>
  <c r="AA8" i="81"/>
  <c r="AB8" i="81"/>
  <c r="J9" i="81"/>
  <c r="W9" i="81" s="1"/>
  <c r="Q9" i="81"/>
  <c r="Z9" i="81"/>
  <c r="Q10" i="81"/>
  <c r="Z10" i="81"/>
  <c r="F11" i="81"/>
  <c r="H11" i="81"/>
  <c r="J11" i="81"/>
  <c r="Q11" i="81"/>
  <c r="S11" i="81"/>
  <c r="U11" i="81"/>
  <c r="W11" i="81"/>
  <c r="Z11" i="81"/>
  <c r="AA11" i="81"/>
  <c r="AB11" i="81"/>
  <c r="AC11" i="81"/>
  <c r="Q12" i="81"/>
  <c r="Z12" i="81"/>
  <c r="J13" i="81"/>
  <c r="W13" i="81" s="1"/>
  <c r="Q13" i="81"/>
  <c r="Z13" i="81"/>
  <c r="AC13" i="81"/>
  <c r="Q14" i="81"/>
  <c r="Z14" i="81" s="1"/>
  <c r="C15" i="81"/>
  <c r="Q15" i="81"/>
  <c r="Z15" i="81"/>
  <c r="C17" i="81"/>
  <c r="Q17" i="81"/>
  <c r="Z17" i="81"/>
  <c r="C19" i="81"/>
  <c r="Q19" i="81"/>
  <c r="Z19" i="81"/>
  <c r="C21" i="81"/>
  <c r="F21" i="81"/>
  <c r="H21" i="81"/>
  <c r="J21" i="81"/>
  <c r="Q21" i="81"/>
  <c r="S21" i="81"/>
  <c r="U21" i="81"/>
  <c r="W21" i="81"/>
  <c r="Z21" i="81"/>
  <c r="AA21" i="81"/>
  <c r="AB21" i="81"/>
  <c r="AC21" i="81"/>
  <c r="C23" i="81"/>
  <c r="Q23" i="81"/>
  <c r="Z23" i="81" s="1"/>
  <c r="F25" i="81"/>
  <c r="H25" i="81"/>
  <c r="J25" i="81"/>
  <c r="Q25" i="81"/>
  <c r="S25" i="81"/>
  <c r="U25" i="81"/>
  <c r="W25" i="81"/>
  <c r="Z25" i="81"/>
  <c r="AA25" i="81"/>
  <c r="AB25" i="81"/>
  <c r="AC25" i="81"/>
  <c r="H26" i="81"/>
  <c r="Q26" i="81"/>
  <c r="U26" i="81"/>
  <c r="Z26" i="81"/>
  <c r="AB26" i="81"/>
  <c r="Q27" i="81"/>
  <c r="Z27" i="81"/>
  <c r="Q28" i="81"/>
  <c r="Z28" i="81"/>
  <c r="Q29" i="81"/>
  <c r="Z29" i="81"/>
  <c r="Q30" i="81"/>
  <c r="Z30" i="81"/>
  <c r="J31" i="81"/>
  <c r="W31" i="81" s="1"/>
  <c r="Q31" i="81"/>
  <c r="Z31" i="81"/>
  <c r="AC31" i="81"/>
  <c r="F32" i="81"/>
  <c r="H32" i="81"/>
  <c r="J32" i="81"/>
  <c r="Q32" i="81"/>
  <c r="S32" i="81"/>
  <c r="U32" i="81"/>
  <c r="W32" i="81"/>
  <c r="Z32" i="81"/>
  <c r="AA32" i="81"/>
  <c r="AB32" i="81"/>
  <c r="AC32" i="81"/>
  <c r="F33" i="81"/>
  <c r="H33" i="81"/>
  <c r="J33" i="81"/>
  <c r="Q33" i="81"/>
  <c r="S33" i="81"/>
  <c r="U33" i="81"/>
  <c r="W33" i="81"/>
  <c r="Z33" i="81"/>
  <c r="AA33" i="81"/>
  <c r="AB33" i="81"/>
  <c r="AC33" i="81"/>
  <c r="F34" i="81"/>
  <c r="H34" i="81"/>
  <c r="J34" i="81"/>
  <c r="Q34" i="81"/>
  <c r="S34" i="81"/>
  <c r="U34" i="81"/>
  <c r="W34" i="81"/>
  <c r="Z34" i="81"/>
  <c r="AA34" i="81"/>
  <c r="AB34" i="81"/>
  <c r="AC34" i="81"/>
  <c r="F35" i="81"/>
  <c r="H35" i="81"/>
  <c r="J35" i="81"/>
  <c r="W35" i="81" s="1"/>
  <c r="Q35" i="81"/>
  <c r="S35" i="81"/>
  <c r="U35" i="81"/>
  <c r="Z35" i="81"/>
  <c r="AA35" i="81"/>
  <c r="AB35" i="81"/>
  <c r="J36" i="81"/>
  <c r="AC36" i="81" s="1"/>
  <c r="Q36" i="81"/>
  <c r="Z36" i="81"/>
  <c r="Q37" i="81"/>
  <c r="Z37" i="81"/>
  <c r="F38" i="81"/>
  <c r="H38" i="81"/>
  <c r="J38" i="81"/>
  <c r="Q38" i="81"/>
  <c r="S38" i="81"/>
  <c r="U38" i="81"/>
  <c r="W38" i="81"/>
  <c r="Z38" i="81"/>
  <c r="AA38" i="81"/>
  <c r="AB38" i="81"/>
  <c r="AC38" i="81"/>
  <c r="F39" i="81"/>
  <c r="H39" i="81"/>
  <c r="J39" i="81"/>
  <c r="Q39" i="81"/>
  <c r="S39" i="81"/>
  <c r="U39" i="81"/>
  <c r="W39" i="81"/>
  <c r="Z39" i="81"/>
  <c r="AA39" i="81"/>
  <c r="AB39" i="81"/>
  <c r="AC39" i="81"/>
  <c r="F40" i="81"/>
  <c r="H40" i="81"/>
  <c r="J40" i="81"/>
  <c r="Q40" i="81"/>
  <c r="S40" i="81"/>
  <c r="U40" i="81"/>
  <c r="W40" i="81"/>
  <c r="Z40" i="81"/>
  <c r="AA40" i="81"/>
  <c r="AB40" i="81"/>
  <c r="AC40" i="81"/>
  <c r="F41" i="81"/>
  <c r="S41" i="81" s="1"/>
  <c r="H41" i="81"/>
  <c r="J41" i="81"/>
  <c r="Q41" i="81"/>
  <c r="U41" i="81"/>
  <c r="W41" i="81"/>
  <c r="Z41" i="81"/>
  <c r="AB41" i="81"/>
  <c r="AC41" i="81"/>
  <c r="F42" i="81"/>
  <c r="H42" i="81"/>
  <c r="U42" i="81" s="1"/>
  <c r="J42" i="81"/>
  <c r="Q42" i="81"/>
  <c r="S42" i="81"/>
  <c r="W42" i="81"/>
  <c r="Z42" i="81"/>
  <c r="AA42" i="81"/>
  <c r="AC42" i="81"/>
  <c r="F43" i="81"/>
  <c r="H43" i="81"/>
  <c r="U43" i="81" s="1"/>
  <c r="J43" i="81"/>
  <c r="W43" i="81" s="1"/>
  <c r="Q43" i="81"/>
  <c r="S43" i="81"/>
  <c r="Z43" i="81"/>
  <c r="AA43" i="81"/>
  <c r="H44" i="81"/>
  <c r="AB44" i="81" s="1"/>
  <c r="Q44" i="81"/>
  <c r="Z44" i="81" s="1"/>
  <c r="Q45" i="81"/>
  <c r="Z45" i="81" s="1"/>
  <c r="F46" i="81"/>
  <c r="AA46" i="81" s="1"/>
  <c r="Q46" i="81"/>
  <c r="Z46" i="81" s="1"/>
  <c r="E47" i="81"/>
  <c r="R47" i="81" s="1"/>
  <c r="G47" i="81"/>
  <c r="G48" i="34" s="1"/>
  <c r="I47" i="81"/>
  <c r="P47" i="81"/>
  <c r="T47" i="81"/>
  <c r="V47" i="81"/>
  <c r="K48" i="81"/>
  <c r="L48" i="81"/>
  <c r="M48" i="81"/>
  <c r="N48" i="81"/>
  <c r="P48" i="81"/>
  <c r="P49" i="81"/>
  <c r="L50" i="81"/>
  <c r="C58" i="81"/>
  <c r="O59" i="81"/>
  <c r="P59" i="81"/>
  <c r="Q59" i="81"/>
  <c r="R59" i="81" s="1"/>
  <c r="S59" i="81" s="1"/>
  <c r="T59" i="81" s="1"/>
  <c r="U59" i="81" s="1"/>
  <c r="V59" i="81" s="1"/>
  <c r="W59" i="81" s="1"/>
  <c r="X59" i="81" s="1"/>
  <c r="Y59" i="81" s="1"/>
  <c r="AA59" i="81"/>
  <c r="AB59" i="81" s="1"/>
  <c r="AC59" i="81"/>
  <c r="AD59" i="81" s="1"/>
  <c r="AE59" i="81" s="1"/>
  <c r="AF59" i="81" s="1"/>
  <c r="AG59" i="81" s="1"/>
  <c r="AH59" i="81" s="1"/>
  <c r="C63" i="81"/>
  <c r="D66" i="81"/>
  <c r="F10" i="81" s="1"/>
  <c r="E66" i="81"/>
  <c r="J10" i="81" s="1"/>
  <c r="C67" i="81"/>
  <c r="D67" i="81"/>
  <c r="E67" i="81"/>
  <c r="F67" i="81"/>
  <c r="G67" i="81"/>
  <c r="H67" i="81"/>
  <c r="I67" i="81"/>
  <c r="J67" i="81"/>
  <c r="K67" i="81"/>
  <c r="L67" i="81"/>
  <c r="M67" i="81"/>
  <c r="D69" i="81"/>
  <c r="E69" i="81"/>
  <c r="F69" i="81" s="1"/>
  <c r="G69" i="81" s="1"/>
  <c r="H69" i="81" s="1"/>
  <c r="I69" i="81" s="1"/>
  <c r="J69" i="81" s="1"/>
  <c r="K69" i="81" s="1"/>
  <c r="L69" i="81" s="1"/>
  <c r="M69" i="81" s="1"/>
  <c r="B70" i="81"/>
  <c r="B72" i="81"/>
  <c r="F13" i="81" s="1"/>
  <c r="B74" i="81"/>
  <c r="D77" i="81"/>
  <c r="E77" i="81"/>
  <c r="D79" i="81"/>
  <c r="E79" i="81"/>
  <c r="F79" i="81" s="1"/>
  <c r="G79" i="81"/>
  <c r="D81" i="81"/>
  <c r="D83" i="81"/>
  <c r="E83" i="81"/>
  <c r="F83" i="81" s="1"/>
  <c r="G83" i="81" s="1"/>
  <c r="D85" i="81"/>
  <c r="E85" i="81"/>
  <c r="D87" i="81"/>
  <c r="E87" i="81"/>
  <c r="F87" i="81" s="1"/>
  <c r="G87" i="81"/>
  <c r="H87" i="81"/>
  <c r="I87" i="81" s="1"/>
  <c r="J87" i="81" s="1"/>
  <c r="K87" i="81" s="1"/>
  <c r="L87" i="81" s="1"/>
  <c r="M87" i="81" s="1"/>
  <c r="B88" i="81"/>
  <c r="J26" i="81" s="1"/>
  <c r="B90" i="81"/>
  <c r="J27" i="81" s="1"/>
  <c r="D91" i="81"/>
  <c r="E91" i="81"/>
  <c r="F91" i="81" s="1"/>
  <c r="G91" i="81" s="1"/>
  <c r="H91" i="81" s="1"/>
  <c r="I91" i="81" s="1"/>
  <c r="J91" i="81" s="1"/>
  <c r="K91" i="81" s="1"/>
  <c r="L91" i="81" s="1"/>
  <c r="M91" i="81" s="1"/>
  <c r="B92" i="81"/>
  <c r="B94" i="81"/>
  <c r="B96" i="81"/>
  <c r="H30" i="81" s="1"/>
  <c r="B98" i="81"/>
  <c r="D101" i="81"/>
  <c r="E101" i="81"/>
  <c r="F101" i="81" s="1"/>
  <c r="G101" i="81" s="1"/>
  <c r="H101" i="81" s="1"/>
  <c r="I101" i="81" s="1"/>
  <c r="J101" i="81" s="1"/>
  <c r="K101" i="81" s="1"/>
  <c r="L101" i="81" s="1"/>
  <c r="M101" i="81" s="1"/>
  <c r="C102" i="81"/>
  <c r="D102" i="81"/>
  <c r="E102" i="81"/>
  <c r="F102" i="81"/>
  <c r="G102" i="81"/>
  <c r="H102" i="81"/>
  <c r="I102" i="81"/>
  <c r="J102" i="81"/>
  <c r="K102" i="81"/>
  <c r="L102" i="81"/>
  <c r="M102" i="81"/>
  <c r="D106" i="81"/>
  <c r="E106" i="81" s="1"/>
  <c r="F106" i="81" s="1"/>
  <c r="G106" i="81" s="1"/>
  <c r="H106" i="81" s="1"/>
  <c r="I106" i="81" s="1"/>
  <c r="J106" i="81" s="1"/>
  <c r="K106" i="81" s="1"/>
  <c r="L106" i="81" s="1"/>
  <c r="M106" i="81" s="1"/>
  <c r="D108" i="81"/>
  <c r="E108" i="81"/>
  <c r="F108" i="81"/>
  <c r="G108" i="81" s="1"/>
  <c r="H108" i="81" s="1"/>
  <c r="I108" i="81" s="1"/>
  <c r="J108" i="81" s="1"/>
  <c r="K108" i="81" s="1"/>
  <c r="L108" i="81" s="1"/>
  <c r="M108" i="81" s="1"/>
  <c r="C109" i="81"/>
  <c r="D109" i="81"/>
  <c r="E109" i="81"/>
  <c r="F109" i="81"/>
  <c r="G109" i="81"/>
  <c r="D111" i="81"/>
  <c r="E111" i="81"/>
  <c r="F111" i="81"/>
  <c r="G111" i="81"/>
  <c r="H111" i="81" s="1"/>
  <c r="I111" i="81" s="1"/>
  <c r="J111" i="81" s="1"/>
  <c r="K111" i="81" s="1"/>
  <c r="L111" i="81" s="1"/>
  <c r="M111" i="81" s="1"/>
  <c r="D113" i="81"/>
  <c r="E113" i="81"/>
  <c r="F113" i="81" s="1"/>
  <c r="G113" i="81" s="1"/>
  <c r="H113" i="81" s="1"/>
  <c r="I113" i="81" s="1"/>
  <c r="J113" i="81" s="1"/>
  <c r="K113" i="81" s="1"/>
  <c r="L113" i="81" s="1"/>
  <c r="M113" i="81" s="1"/>
  <c r="D115" i="81"/>
  <c r="E115" i="81"/>
  <c r="F115" i="81"/>
  <c r="G115" i="81"/>
  <c r="H115" i="81" s="1"/>
  <c r="I115" i="81" s="1"/>
  <c r="J115" i="81" s="1"/>
  <c r="K115" i="81" s="1"/>
  <c r="L115" i="81" s="1"/>
  <c r="M115" i="81" s="1"/>
  <c r="D117" i="81"/>
  <c r="E117" i="81"/>
  <c r="F117" i="81" s="1"/>
  <c r="G117" i="81" s="1"/>
  <c r="D121" i="81"/>
  <c r="E121" i="81"/>
  <c r="F121" i="81" s="1"/>
  <c r="G121" i="81" s="1"/>
  <c r="H121" i="81" s="1"/>
  <c r="I121" i="81" s="1"/>
  <c r="J121" i="81" s="1"/>
  <c r="K121" i="81" s="1"/>
  <c r="L121" i="81" s="1"/>
  <c r="M121" i="81" s="1"/>
  <c r="D123" i="81"/>
  <c r="E123" i="81"/>
  <c r="F123" i="81"/>
  <c r="G123" i="81"/>
  <c r="H123" i="81" s="1"/>
  <c r="I123" i="81" s="1"/>
  <c r="J123" i="81" s="1"/>
  <c r="K123" i="81" s="1"/>
  <c r="L123" i="81" s="1"/>
  <c r="M123" i="81" s="1"/>
  <c r="D125" i="81"/>
  <c r="E125" i="81"/>
  <c r="F125" i="81" s="1"/>
  <c r="G125" i="81" s="1"/>
  <c r="B126" i="81"/>
  <c r="F44" i="81" s="1"/>
  <c r="B128" i="81"/>
  <c r="H45" i="81" s="1"/>
  <c r="B130" i="81"/>
  <c r="J46" i="81" s="1"/>
  <c r="K26" i="9"/>
  <c r="D2" i="81"/>
  <c r="E48" i="34" l="1"/>
  <c r="G54" i="81"/>
  <c r="H54" i="81" s="1"/>
  <c r="I54" i="81"/>
  <c r="J54" i="81" s="1"/>
  <c r="I48" i="34"/>
  <c r="AC27" i="81"/>
  <c r="W27" i="81"/>
  <c r="AB30" i="81"/>
  <c r="U30" i="81"/>
  <c r="H29" i="81"/>
  <c r="J29" i="81"/>
  <c r="S13" i="81"/>
  <c r="AA13" i="81"/>
  <c r="F45" i="81"/>
  <c r="AC9" i="81"/>
  <c r="S44" i="81"/>
  <c r="AA44" i="81"/>
  <c r="H37" i="81"/>
  <c r="J37" i="81"/>
  <c r="F28" i="81"/>
  <c r="H28" i="81"/>
  <c r="J28" i="81"/>
  <c r="F23" i="81"/>
  <c r="F85" i="81"/>
  <c r="G85" i="81" s="1"/>
  <c r="H23" i="81"/>
  <c r="J23" i="81"/>
  <c r="F15" i="81"/>
  <c r="F77" i="81"/>
  <c r="G77" i="81" s="1"/>
  <c r="H15" i="81"/>
  <c r="J15" i="81"/>
  <c r="J12" i="81"/>
  <c r="F12" i="81"/>
  <c r="AB42" i="81"/>
  <c r="AC35" i="81"/>
  <c r="W36" i="81"/>
  <c r="H12" i="81"/>
  <c r="U45" i="81"/>
  <c r="AB45" i="81"/>
  <c r="F19" i="81"/>
  <c r="H19" i="81"/>
  <c r="J19" i="81"/>
  <c r="W10" i="81"/>
  <c r="AC10" i="81"/>
  <c r="D58" i="81"/>
  <c r="E58" i="81" s="1"/>
  <c r="F58" i="81" s="1"/>
  <c r="G58" i="81" s="1"/>
  <c r="H58" i="81" s="1"/>
  <c r="I58" i="81" s="1"/>
  <c r="J58" i="81" s="1"/>
  <c r="K58" i="81" s="1"/>
  <c r="L58" i="81" s="1"/>
  <c r="M58" i="81" s="1"/>
  <c r="N58" i="81" s="1"/>
  <c r="O58" i="81" s="1"/>
  <c r="P58" i="81" s="1"/>
  <c r="Q58" i="81" s="1"/>
  <c r="R58" i="81" s="1"/>
  <c r="S58" i="81" s="1"/>
  <c r="T58" i="81" s="1"/>
  <c r="U58" i="81" s="1"/>
  <c r="V58" i="81" s="1"/>
  <c r="W58" i="81" s="1"/>
  <c r="X58" i="81" s="1"/>
  <c r="Y58" i="81" s="1"/>
  <c r="Z58" i="81" s="1"/>
  <c r="AA58" i="81" s="1"/>
  <c r="AB58" i="81" s="1"/>
  <c r="AC58" i="81" s="1"/>
  <c r="AD58" i="81" s="1"/>
  <c r="AE58" i="81" s="1"/>
  <c r="AF58" i="81" s="1"/>
  <c r="AG58" i="81" s="1"/>
  <c r="AH58" i="81" s="1"/>
  <c r="AI58" i="81" s="1"/>
  <c r="AJ58" i="81" s="1"/>
  <c r="AK58" i="81" s="1"/>
  <c r="AL58" i="81" s="1"/>
  <c r="AM58" i="81" s="1"/>
  <c r="AN58" i="81" s="1"/>
  <c r="AO58" i="81" s="1"/>
  <c r="AP58" i="81" s="1"/>
  <c r="AQ58" i="81" s="1"/>
  <c r="S46" i="81"/>
  <c r="U44" i="81"/>
  <c r="AC43" i="81"/>
  <c r="AA41" i="81"/>
  <c r="F36" i="81"/>
  <c r="H36" i="81"/>
  <c r="F31" i="81"/>
  <c r="H31" i="81"/>
  <c r="F27" i="81"/>
  <c r="H27" i="81"/>
  <c r="S10" i="81"/>
  <c r="AA10" i="81"/>
  <c r="E54" i="81"/>
  <c r="F54" i="81" s="1"/>
  <c r="AB43" i="81"/>
  <c r="W46" i="81"/>
  <c r="AC46" i="81"/>
  <c r="J30" i="81"/>
  <c r="F30" i="81"/>
  <c r="W26" i="81"/>
  <c r="AC26" i="81"/>
  <c r="E81" i="81"/>
  <c r="F81" i="81" s="1"/>
  <c r="G81" i="81" s="1"/>
  <c r="F17" i="81"/>
  <c r="H17" i="81"/>
  <c r="J17" i="81"/>
  <c r="F14" i="81"/>
  <c r="H14" i="81"/>
  <c r="J14" i="81"/>
  <c r="F9" i="81"/>
  <c r="H9" i="81"/>
  <c r="N50" i="81"/>
  <c r="H46" i="81"/>
  <c r="J45" i="81"/>
  <c r="J44" i="81"/>
  <c r="F37" i="81"/>
  <c r="F29" i="81"/>
  <c r="F26" i="81"/>
  <c r="H13" i="81"/>
  <c r="H10" i="81"/>
  <c r="W8" i="81"/>
  <c r="U15" i="81" l="1"/>
  <c r="AB15" i="81"/>
  <c r="U28" i="81"/>
  <c r="AB28" i="81"/>
  <c r="AA37" i="81"/>
  <c r="S37" i="81"/>
  <c r="U14" i="81"/>
  <c r="AB14" i="81"/>
  <c r="H7" i="81"/>
  <c r="S28" i="81"/>
  <c r="AA28" i="81"/>
  <c r="U13" i="81"/>
  <c r="AB13" i="81"/>
  <c r="AC44" i="81"/>
  <c r="W44" i="81"/>
  <c r="U9" i="81"/>
  <c r="AB9" i="81"/>
  <c r="S14" i="81"/>
  <c r="AA14" i="81"/>
  <c r="W30" i="81"/>
  <c r="AC30" i="81"/>
  <c r="S27" i="81"/>
  <c r="AA27" i="81"/>
  <c r="S36" i="81"/>
  <c r="AA36" i="81"/>
  <c r="S19" i="81"/>
  <c r="AA19" i="81"/>
  <c r="W12" i="81"/>
  <c r="AC12" i="81"/>
  <c r="S15" i="81"/>
  <c r="AA15" i="81"/>
  <c r="S23" i="81"/>
  <c r="AA23" i="81"/>
  <c r="W37" i="81"/>
  <c r="AC37" i="81"/>
  <c r="W29" i="81"/>
  <c r="AC29" i="81"/>
  <c r="AA29" i="81"/>
  <c r="S29" i="81"/>
  <c r="AB46" i="81"/>
  <c r="U46" i="81"/>
  <c r="W14" i="81"/>
  <c r="AC14" i="81"/>
  <c r="U17" i="81"/>
  <c r="AB17" i="81"/>
  <c r="S31" i="81"/>
  <c r="AA31" i="81"/>
  <c r="W19" i="81"/>
  <c r="AC19" i="81"/>
  <c r="U23" i="81"/>
  <c r="AB23" i="81"/>
  <c r="U10" i="81"/>
  <c r="AB10" i="81"/>
  <c r="S17" i="81"/>
  <c r="AA17" i="81"/>
  <c r="S30" i="81"/>
  <c r="AA30" i="81"/>
  <c r="U27" i="81"/>
  <c r="AB27" i="81"/>
  <c r="U36" i="81"/>
  <c r="AB36" i="81"/>
  <c r="U19" i="81"/>
  <c r="AB19" i="81"/>
  <c r="AB12" i="81"/>
  <c r="U12" i="81"/>
  <c r="S12" i="81"/>
  <c r="AA12" i="81"/>
  <c r="S26" i="81"/>
  <c r="AA26" i="81"/>
  <c r="AC45" i="81"/>
  <c r="W45" i="81"/>
  <c r="S9" i="81"/>
  <c r="AA9" i="81"/>
  <c r="W17" i="81"/>
  <c r="AC17" i="81"/>
  <c r="U31" i="81"/>
  <c r="AB31" i="81"/>
  <c r="J7" i="81"/>
  <c r="W15" i="81"/>
  <c r="AC15" i="81"/>
  <c r="W23" i="81"/>
  <c r="AC23" i="81"/>
  <c r="W28" i="81"/>
  <c r="AC28" i="81"/>
  <c r="U37" i="81"/>
  <c r="AB37" i="81"/>
  <c r="AA45" i="81"/>
  <c r="S45" i="81"/>
  <c r="U29" i="81"/>
  <c r="AB29" i="81"/>
  <c r="F7" i="81"/>
  <c r="AA7" i="81" l="1"/>
  <c r="R48" i="81" s="1"/>
  <c r="S7" i="81"/>
  <c r="W7" i="81"/>
  <c r="AC7" i="81"/>
  <c r="V48" i="81" s="1"/>
  <c r="I48" i="81" s="1"/>
  <c r="AB7" i="81"/>
  <c r="T48" i="81" s="1"/>
  <c r="G48" i="81" s="1"/>
  <c r="U7" i="81"/>
  <c r="I52" i="81" l="1"/>
  <c r="J52" i="81" s="1"/>
  <c r="G52" i="81"/>
  <c r="H52" i="81" s="1"/>
  <c r="G53" i="81"/>
  <c r="H53" i="81" s="1"/>
  <c r="E48" i="81"/>
  <c r="R49" i="81"/>
  <c r="C48" i="81" l="1"/>
  <c r="C49" i="81"/>
  <c r="E53" i="81"/>
  <c r="F53" i="81" s="1"/>
  <c r="E52" i="81"/>
  <c r="F52" i="81" s="1"/>
  <c r="I53" i="81"/>
  <c r="J53" i="81" s="1"/>
  <c r="B2" i="81" l="1"/>
  <c r="B3" i="81"/>
  <c r="L8" i="68" l="1"/>
  <c r="L9" i="68"/>
  <c r="L7" i="68"/>
  <c r="J49" i="15"/>
  <c r="B5" i="77"/>
  <c r="B4" i="77"/>
  <c r="C36" i="77"/>
  <c r="D40" i="43" l="1"/>
  <c r="N6" i="1"/>
  <c r="A3" i="3"/>
  <c r="K14" i="3"/>
  <c r="I13" i="3"/>
  <c r="D34" i="80"/>
  <c r="F13" i="4"/>
  <c r="C42" i="80" l="1"/>
  <c r="H52" i="80"/>
  <c r="H54" i="80" s="1"/>
  <c r="D45" i="80"/>
  <c r="E45" i="80" s="1"/>
  <c r="E42" i="80"/>
  <c r="D3" i="4" l="1"/>
  <c r="Y6" i="1" l="1"/>
  <c r="B21" i="1"/>
  <c r="C41" i="80"/>
  <c r="E41" i="80" l="1"/>
  <c r="E40" i="80" s="1"/>
  <c r="C40" i="80"/>
  <c r="G14" i="73"/>
  <c r="F14" i="73"/>
  <c r="E14" i="73"/>
  <c r="G15" i="73"/>
  <c r="F15" i="73"/>
  <c r="E15" i="73"/>
  <c r="C43" i="80" l="1"/>
  <c r="E43" i="80" s="1"/>
  <c r="C46" i="80"/>
  <c r="C44" i="80"/>
  <c r="E44" i="80" s="1"/>
  <c r="D40" i="80"/>
  <c r="AB28" i="79"/>
  <c r="AA28" i="79"/>
  <c r="Z28" i="79"/>
  <c r="N28" i="79"/>
  <c r="M28" i="79"/>
  <c r="P28" i="79" s="1"/>
  <c r="L28" i="79"/>
  <c r="I28" i="79"/>
  <c r="AD28" i="79" s="1"/>
  <c r="AC5" i="79"/>
  <c r="AB5" i="79"/>
  <c r="AA5" i="79"/>
  <c r="AD5" i="79" s="1"/>
  <c r="Z5" i="79"/>
  <c r="Y5" i="79"/>
  <c r="O5" i="79"/>
  <c r="N5" i="79"/>
  <c r="M5" i="79"/>
  <c r="P5" i="79" s="1"/>
  <c r="L5" i="79"/>
  <c r="K5" i="79"/>
  <c r="I5" i="79"/>
  <c r="E46" i="80" l="1"/>
  <c r="D46" i="80" s="1"/>
  <c r="I8" i="79"/>
  <c r="G46" i="80" l="1"/>
  <c r="I31" i="79"/>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R11" i="77"/>
  <c r="R10" i="77"/>
  <c r="D10" i="77"/>
  <c r="R9" i="77"/>
  <c r="D9" i="77"/>
  <c r="R8" i="77"/>
  <c r="R7" i="77"/>
  <c r="R4" i="77"/>
  <c r="R3" i="77"/>
  <c r="R14" i="77" l="1"/>
  <c r="R24" i="77" s="1"/>
  <c r="R25" i="77"/>
  <c r="D29" i="77"/>
  <c r="D32" i="77"/>
  <c r="E23" i="77"/>
  <c r="D26" i="77"/>
  <c r="C29" i="77"/>
  <c r="R35" i="77"/>
  <c r="U34" i="77" s="1"/>
  <c r="AH9" i="71"/>
  <c r="AG9" i="71"/>
  <c r="AE9" i="71"/>
  <c r="AF9" i="71" s="1"/>
  <c r="AD9" i="71"/>
  <c r="Q9" i="71"/>
  <c r="P9" i="71"/>
  <c r="O9" i="71"/>
  <c r="N9" i="71"/>
  <c r="R19" i="77" l="1"/>
  <c r="R5" i="77" s="1"/>
  <c r="U5" i="77" s="1"/>
  <c r="E26" i="77"/>
  <c r="E29" i="77"/>
  <c r="E32" i="77" s="1"/>
  <c r="AH10" i="7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s="1"/>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6"/>
  <c r="C46" i="36" s="1"/>
  <c r="D46" i="36" s="1"/>
  <c r="E46" i="36" s="1"/>
  <c r="F46" i="36" s="1"/>
  <c r="G46" i="36" s="1"/>
  <c r="H46" i="36" s="1"/>
  <c r="I46" i="36" s="1"/>
  <c r="W35" i="40"/>
  <c r="A118" i="9"/>
  <c r="A4" i="52"/>
  <c r="B41" i="72" s="1"/>
  <c r="J11" i="39"/>
  <c r="W11" i="39"/>
  <c r="F11" i="39"/>
  <c r="S11" i="39" s="1"/>
  <c r="AA11" i="39"/>
  <c r="G4" i="4"/>
  <c r="I4" i="4"/>
  <c r="A2" i="9"/>
  <c r="F61" i="43"/>
  <c r="H64" i="43" s="1"/>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BL13" i="3"/>
  <c r="J56" i="9"/>
  <c r="J57" i="9" s="1"/>
  <c r="J59" i="9" s="1"/>
  <c r="J61" i="9" s="1"/>
  <c r="A24" i="51"/>
  <c r="B18" i="72" s="1"/>
  <c r="U29" i="34"/>
  <c r="E5" i="6"/>
  <c r="E32" i="6"/>
  <c r="G1" i="68"/>
  <c r="K1" i="12"/>
  <c r="E19" i="11"/>
  <c r="G26" i="12"/>
  <c r="C6" i="43"/>
  <c r="B19" i="53"/>
  <c r="B37" i="72" s="1"/>
  <c r="C7" i="35"/>
  <c r="C48" i="35" s="1"/>
  <c r="D48" i="35" s="1"/>
  <c r="C7" i="21"/>
  <c r="M47" i="9"/>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A31" i="34"/>
  <c r="AA30"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2" i="68"/>
  <c r="M29" i="67"/>
  <c r="F37" i="67"/>
  <c r="F16" i="15"/>
  <c r="F36" i="15"/>
  <c r="F8" i="67"/>
  <c r="M23" i="15"/>
  <c r="F26" i="15"/>
  <c r="F7" i="73"/>
  <c r="F4" i="73"/>
  <c r="M24" i="15"/>
  <c r="L47" i="67"/>
  <c r="B13" i="76"/>
  <c r="F42" i="15"/>
  <c r="F40" i="67"/>
  <c r="M24" i="67"/>
  <c r="C76" i="67"/>
  <c r="F13" i="15"/>
  <c r="F3" i="73"/>
  <c r="M28" i="15"/>
  <c r="F9" i="15"/>
  <c r="F38" i="15"/>
  <c r="F7" i="67"/>
  <c r="F36" i="67"/>
  <c r="B10" i="76"/>
  <c r="M8" i="15"/>
  <c r="E7" i="76"/>
  <c r="L48" i="67"/>
  <c r="E10" i="76"/>
  <c r="F16" i="67"/>
  <c r="M23" i="67"/>
  <c r="J15" i="67"/>
  <c r="F6" i="73"/>
  <c r="E12" i="76"/>
  <c r="M6" i="67"/>
  <c r="M22" i="15"/>
  <c r="B12" i="76"/>
  <c r="B9" i="76"/>
  <c r="F13" i="67"/>
  <c r="F20" i="31"/>
  <c r="M9" i="67"/>
  <c r="C76" i="15"/>
  <c r="M22" i="67"/>
  <c r="M28" i="67"/>
  <c r="M26" i="15"/>
  <c r="B11" i="76"/>
  <c r="F26" i="67"/>
  <c r="E2" i="69"/>
  <c r="F43" i="67"/>
  <c r="M9" i="15"/>
  <c r="M26" i="67"/>
  <c r="F6" i="15"/>
  <c r="E11" i="76"/>
  <c r="L47" i="15"/>
  <c r="F8" i="15"/>
  <c r="M6" i="15"/>
  <c r="F37" i="15"/>
  <c r="F6" i="67"/>
  <c r="F40" i="15"/>
  <c r="F5" i="73"/>
  <c r="F42" i="67"/>
  <c r="B8" i="76"/>
  <c r="L48" i="15"/>
  <c r="M8" i="67"/>
  <c r="E8" i="76"/>
  <c r="F9" i="67"/>
  <c r="J15" i="15"/>
  <c r="AO13" i="1"/>
  <c r="F38" i="67"/>
  <c r="B7" i="76"/>
  <c r="E9" i="76"/>
  <c r="E13" i="76"/>
  <c r="C18" i="9" l="1"/>
  <c r="D18" i="9" s="1"/>
  <c r="AC45" i="34"/>
  <c r="AB45" i="34"/>
  <c r="AA45" i="34"/>
  <c r="G29" i="6"/>
  <c r="BL21" i="3"/>
  <c r="AZ21" i="3" s="1"/>
  <c r="BL18" i="3"/>
  <c r="BL19" i="3"/>
  <c r="BA20" i="3"/>
  <c r="AZ20" i="3" s="1"/>
  <c r="BA19" i="3"/>
  <c r="BA18" i="3"/>
  <c r="AZ17" i="3"/>
  <c r="E19" i="6"/>
  <c r="K6" i="1" s="1"/>
  <c r="H5" i="3"/>
  <c r="C21" i="68"/>
  <c r="J1" i="73"/>
  <c r="C7" i="40"/>
  <c r="C63" i="40" s="1"/>
  <c r="C65" i="40" s="1"/>
  <c r="C7" i="39"/>
  <c r="C67" i="39" s="1"/>
  <c r="C7" i="34"/>
  <c r="J51" i="15"/>
  <c r="J57" i="15" s="1"/>
  <c r="J55" i="15" s="1"/>
  <c r="J58" i="15" s="1"/>
  <c r="Q50" i="15" s="1"/>
  <c r="G23" i="43"/>
  <c r="C23" i="43" s="1"/>
  <c r="F8" i="1"/>
  <c r="G8" i="1" s="1"/>
  <c r="G44" i="43"/>
  <c r="H69" i="43"/>
  <c r="C40" i="69"/>
  <c r="E19" i="68"/>
  <c r="G22" i="68"/>
  <c r="G22" i="69"/>
  <c r="G22" i="11"/>
  <c r="E1" i="73"/>
  <c r="G16" i="3"/>
  <c r="BL15" i="3"/>
  <c r="AZ15" i="3" s="1"/>
  <c r="AZ14" i="3"/>
  <c r="BL16" i="3"/>
  <c r="AZ16" i="3" s="1"/>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J26" i="43"/>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B20" i="31"/>
  <c r="B21" i="31" s="1"/>
  <c r="I1" i="73"/>
  <c r="B39" i="1" s="1"/>
  <c r="F51" i="67"/>
  <c r="F65" i="67"/>
  <c r="J53" i="67"/>
  <c r="J57" i="67"/>
  <c r="J55" i="67" s="1"/>
  <c r="J58" i="67" s="1"/>
  <c r="Q50" i="67" s="1"/>
  <c r="L56" i="67"/>
  <c r="I54" i="67"/>
  <c r="F51" i="15"/>
  <c r="F66" i="67"/>
  <c r="L58" i="15"/>
  <c r="F66" i="15"/>
  <c r="Q71" i="67"/>
  <c r="F64" i="15"/>
  <c r="C27" i="67"/>
  <c r="F71" i="67"/>
  <c r="C27" i="15"/>
  <c r="F65" i="15"/>
  <c r="N59" i="67"/>
  <c r="L59" i="67"/>
  <c r="L58" i="67"/>
  <c r="M59" i="67"/>
  <c r="B13" i="70"/>
  <c r="M7" i="67"/>
  <c r="J6" i="67" s="1"/>
  <c r="F50" i="67"/>
  <c r="F68" i="67"/>
  <c r="F64" i="67"/>
  <c r="F68" i="15"/>
  <c r="C36" i="68"/>
  <c r="D9" i="69"/>
  <c r="D9" i="68"/>
  <c r="D3" i="73"/>
  <c r="D6" i="73"/>
  <c r="D5" i="73"/>
  <c r="M29" i="15"/>
  <c r="C16" i="67"/>
  <c r="F7" i="15"/>
  <c r="F43" i="15"/>
  <c r="C16" i="15"/>
  <c r="D7" i="73"/>
  <c r="D4" i="73"/>
  <c r="I54" i="15" l="1"/>
  <c r="N59" i="15"/>
  <c r="L59" i="15"/>
  <c r="Q74" i="15" s="1"/>
  <c r="M59" i="15"/>
  <c r="J53" i="15"/>
  <c r="L56" i="15" s="1"/>
  <c r="AZ19" i="3"/>
  <c r="M7" i="15"/>
  <c r="J6" i="15" s="1"/>
  <c r="J18" i="15" s="1"/>
  <c r="C6" i="15"/>
  <c r="C32" i="15" s="1"/>
  <c r="F50" i="15"/>
  <c r="C49" i="15" s="1"/>
  <c r="F71" i="15"/>
  <c r="AP6" i="1"/>
  <c r="C36" i="69" s="1"/>
  <c r="A1" i="79"/>
  <c r="J7" i="36"/>
  <c r="P26" i="43"/>
  <c r="G16" i="1"/>
  <c r="F10" i="39" s="1"/>
  <c r="S10" i="39" s="1"/>
  <c r="J7" i="37"/>
  <c r="G26" i="43"/>
  <c r="K16" i="1"/>
  <c r="B29" i="1" s="1"/>
  <c r="C8" i="68" s="1"/>
  <c r="N94" i="46"/>
  <c r="N370" i="46"/>
  <c r="P6" i="1"/>
  <c r="C13" i="12" s="1"/>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AE11" i="1"/>
  <c r="AE9" i="1"/>
  <c r="F27" i="68"/>
  <c r="AE7" i="1"/>
  <c r="AE8" i="1"/>
  <c r="AE12" i="1"/>
  <c r="AE10" i="1"/>
  <c r="G1" i="73"/>
  <c r="AE6" i="1"/>
  <c r="F41" i="67"/>
  <c r="Q61" i="15" l="1"/>
  <c r="AC6" i="3"/>
  <c r="J5" i="15"/>
  <c r="J24" i="15" s="1"/>
  <c r="H10" i="39"/>
  <c r="U10" i="39" s="1"/>
  <c r="AA10" i="39"/>
  <c r="H10" i="40"/>
  <c r="AB10" i="40" s="1"/>
  <c r="J10" i="40"/>
  <c r="AC10" i="40" s="1"/>
  <c r="J10" i="39"/>
  <c r="W10" i="39" s="1"/>
  <c r="F10" i="40"/>
  <c r="S10" i="40" s="1"/>
  <c r="F67" i="39"/>
  <c r="D26" i="43"/>
  <c r="C25" i="43" s="1"/>
  <c r="H6" i="3"/>
  <c r="E6" i="3" s="1"/>
  <c r="E3" i="6"/>
  <c r="D3" i="21"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4" i="12"/>
  <c r="M18" i="9"/>
  <c r="B118" i="9" s="1"/>
  <c r="D19" i="11"/>
  <c r="C19" i="11" s="1"/>
  <c r="C17" i="4"/>
  <c r="B4" i="52" s="1"/>
  <c r="B43" i="72" s="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R50" i="34" l="1"/>
  <c r="D3" i="37"/>
  <c r="D3" i="34"/>
  <c r="E6" i="6"/>
  <c r="D3" i="33"/>
  <c r="B14" i="74"/>
  <c r="B1" i="74" s="1"/>
  <c r="F22" i="68"/>
  <c r="C44" i="68" s="1"/>
  <c r="D41" i="68" s="1"/>
  <c r="D116" i="43"/>
  <c r="E49" i="34"/>
  <c r="I54" i="34" s="1"/>
  <c r="J54" i="34" s="1"/>
  <c r="F24" i="15"/>
  <c r="C24" i="15" s="1"/>
  <c r="F24" i="67"/>
  <c r="C24" i="67" s="1"/>
  <c r="F25" i="12"/>
  <c r="C26" i="12" s="1"/>
  <c r="D25" i="12" s="1"/>
  <c r="F22" i="69"/>
  <c r="F41" i="69" s="1"/>
  <c r="F22" i="11"/>
  <c r="C24"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C30" i="43" l="1"/>
  <c r="E54" i="34"/>
  <c r="F54" i="34" s="1"/>
  <c r="F41" i="68"/>
  <c r="C14" i="74"/>
  <c r="B2" i="74" s="1"/>
  <c r="C26" i="68"/>
  <c r="D22" i="68" s="1"/>
  <c r="H25" i="6"/>
  <c r="C26" i="11"/>
  <c r="D22" i="11" s="1"/>
  <c r="C23" i="11"/>
  <c r="C44" i="11"/>
  <c r="D41" i="11" s="1"/>
  <c r="C25"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K24"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7" i="74" l="1"/>
  <c r="B3" i="43"/>
  <c r="C7" i="68"/>
  <c r="C5" i="68" s="1"/>
  <c r="C23" i="68"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15"/>
  <c r="F35" i="67"/>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C52" i="68" s="1"/>
  <c r="B2" i="68" s="1"/>
  <c r="B3" i="68" s="1"/>
  <c r="D13" i="77"/>
  <c r="D12" i="77" s="1"/>
  <c r="D11" i="77"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C20" i="9"/>
  <c r="D2" i="21"/>
  <c r="C57" i="68" l="1"/>
  <c r="C21" i="9"/>
  <c r="C102" i="9"/>
  <c r="E11" i="77"/>
  <c r="E7" i="77" s="1"/>
  <c r="C27" i="77" s="1"/>
  <c r="D7" i="77"/>
  <c r="C26" i="77" s="1"/>
  <c r="C32" i="77" s="1"/>
  <c r="C38" i="77" s="1"/>
  <c r="C39" i="77" s="1"/>
  <c r="C40" i="77" s="1"/>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D35" i="9"/>
  <c r="C56" i="68" l="1"/>
  <c r="C41" i="77"/>
  <c r="Q69" i="15"/>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34" i="9"/>
  <c r="D2" i="37"/>
  <c r="D2" i="35"/>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1" i="1"/>
  <c r="AO10" i="1"/>
  <c r="AO9" i="1"/>
  <c r="AO12" i="1"/>
  <c r="C7" i="71" l="1"/>
  <c r="D8" i="71"/>
  <c r="L46" i="15"/>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B3" i="15" s="1"/>
  <c r="E2" i="77"/>
  <c r="B2" i="77"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0" i="9"/>
  <c r="AO6" i="1"/>
  <c r="B3" i="77" l="1"/>
  <c r="M23" i="9"/>
  <c r="B6" i="70"/>
  <c r="B2" i="70" s="1"/>
  <c r="B3" i="70" s="1"/>
  <c r="D22" i="9"/>
  <c r="G19" i="9"/>
  <c r="D102" i="9"/>
  <c r="D21" i="9"/>
  <c r="D103" i="9"/>
  <c r="G20" i="9"/>
  <c r="C32" i="9" s="1"/>
  <c r="D6" i="71"/>
  <c r="C5" i="71"/>
  <c r="D5" i="71" s="1"/>
  <c r="M24" i="43" s="1"/>
  <c r="C42" i="40"/>
  <c r="C43" i="40"/>
  <c r="E47" i="40"/>
  <c r="F47" i="40" s="1"/>
  <c r="E46" i="40"/>
  <c r="F46" i="40" s="1"/>
  <c r="I47" i="40"/>
  <c r="J47" i="40" s="1"/>
  <c r="G21" i="9" l="1"/>
  <c r="D28" i="9"/>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119" i="9" s="1"/>
  <c r="D5" i="52" s="1"/>
  <c r="B49" i="72" s="1"/>
  <c r="H118" i="9"/>
  <c r="H4" i="52" l="1"/>
  <c r="D14" i="74"/>
  <c r="G14" i="74" s="1"/>
  <c r="B6" i="74" s="1"/>
  <c r="D6" i="74" s="1"/>
  <c r="I118" i="9"/>
  <c r="C105" i="9" s="1"/>
  <c r="D4" i="52"/>
  <c r="B47" i="72" s="1"/>
  <c r="F119" i="9"/>
  <c r="F5" i="52" s="1"/>
  <c r="B53" i="72" s="1"/>
  <c r="G118" i="9"/>
  <c r="G4" i="52" s="1"/>
  <c r="B52" i="72" s="1"/>
  <c r="C104" i="9"/>
  <c r="H101" i="9"/>
  <c r="H119" i="9"/>
  <c r="H5" i="52" s="1"/>
  <c r="H102" i="9" l="1"/>
  <c r="D7" i="53" s="1"/>
  <c r="B21" i="72" s="1"/>
  <c r="I4" i="52"/>
  <c r="E14" i="74"/>
  <c r="F14" i="74"/>
  <c r="B5" i="74"/>
  <c r="D5" i="74" s="1"/>
  <c r="E118" i="9"/>
  <c r="E4" i="52" s="1"/>
  <c r="B48" i="72" s="1"/>
  <c r="D5" i="53"/>
  <c r="H107" i="9"/>
  <c r="M49" i="9" s="1"/>
  <c r="D45" i="9"/>
  <c r="M48" i="9"/>
  <c r="L68" i="9" l="1"/>
  <c r="M68" i="9" s="1"/>
  <c r="L63" i="9"/>
  <c r="M63" i="9" s="1"/>
  <c r="L65" i="9"/>
  <c r="M65" i="9" s="1"/>
  <c r="L67" i="9"/>
  <c r="M67" i="9" s="1"/>
  <c r="L66" i="9"/>
  <c r="M66" i="9" s="1"/>
  <c r="L64" i="9"/>
  <c r="M64" i="9" s="1"/>
  <c r="C5" i="74"/>
  <c r="B20" i="72"/>
  <c r="D6" i="53"/>
  <c r="B22" i="72" s="1"/>
  <c r="D53" i="9"/>
  <c r="D48" i="9" s="1"/>
  <c r="M52" i="9" s="1"/>
  <c r="C93" i="9"/>
  <c r="C86" i="9" s="1"/>
  <c r="C85" i="9"/>
  <c r="D52" i="9"/>
  <c r="D55" i="9"/>
  <c r="M53" i="9" s="1"/>
  <c r="C72" i="9"/>
  <c r="C64" i="9"/>
  <c r="C63" i="9" s="1"/>
  <c r="C67" i="9" s="1"/>
  <c r="C78" i="9"/>
  <c r="C73" i="9" s="1"/>
  <c r="D122" i="9"/>
  <c r="H108" i="9"/>
  <c r="D13" i="53"/>
  <c r="M69" i="9" l="1"/>
  <c r="N69" i="9" s="1"/>
  <c r="C79" i="9"/>
  <c r="C80" i="9" s="1"/>
  <c r="E80" i="9" s="1"/>
  <c r="E81" i="9" s="1"/>
  <c r="C6" i="74"/>
  <c r="D15" i="53"/>
  <c r="B31" i="72" s="1"/>
  <c r="D123" i="9"/>
  <c r="D9" i="52" s="1"/>
  <c r="D8" i="52"/>
  <c r="D14" i="53"/>
  <c r="B32" i="72" s="1"/>
  <c r="B30" i="72"/>
  <c r="C68" i="9"/>
  <c r="D54" i="9" s="1"/>
  <c r="D59" i="9"/>
  <c r="M55" i="9" s="1"/>
  <c r="C95" i="9"/>
  <c r="C96" i="9" l="1"/>
  <c r="E96" i="9" s="1"/>
  <c r="E97" i="9" s="1"/>
  <c r="C81" i="9"/>
  <c r="C97" i="9" l="1"/>
  <c r="D58" i="9" s="1"/>
  <c r="D56" i="9" s="1"/>
  <c r="M54" i="9" s="1"/>
  <c r="N57" i="9" s="1"/>
  <c r="N59" i="9" l="1"/>
  <c r="P57" i="9"/>
  <c r="N58" i="9"/>
  <c r="H111" i="9" l="1"/>
  <c r="I14" i="74"/>
  <c r="B8" i="74" s="1"/>
  <c r="D8" i="74" s="1"/>
  <c r="D126" i="9"/>
  <c r="D19" i="53"/>
  <c r="N61" i="9"/>
  <c r="H112" i="9" s="1"/>
  <c r="N60" i="9"/>
  <c r="D21" i="53" l="1"/>
  <c r="B39" i="72" s="1"/>
  <c r="C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<sst xmlns="http://schemas.openxmlformats.org/spreadsheetml/2006/main" count="8239" uniqueCount="3563">
  <si>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</si>
  <si>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</si>
  <si>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</si>
  <si>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</si>
  <si>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</si>
  <si>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</si>
  <si>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</si>
  <si>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</si>
  <si>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</si>
  <si>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</si>
  <si>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</si>
  <si>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</si>
  <si>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</si>
  <si>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</si>
  <si>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</si>
  <si>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</si>
  <si>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</si>
  <si>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</si>
  <si>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</si>
  <si>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</si>
  <si>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</si>
  <si>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</si>
  <si>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</si>
  <si>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</si>
  <si>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</si>
  <si>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</si>
  <si>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</si>
  <si>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</si>
  <si>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</si>
  <si>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</si>
  <si>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</si>
  <si>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</si>
  <si>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</si>
  <si>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</si>
  <si>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</si>
  <si>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</si>
  <si>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</si>
  <si>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</si>
  <si>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</si>
  <si>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</si>
  <si>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</si>
  <si>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</si>
  <si>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</si>
  <si>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</si>
  <si>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</si>
  <si>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</si>
  <si>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</si>
  <si>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</si>
  <si>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</si>
  <si>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</si>
  <si>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</si>
  <si>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</si>
  <si>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</si>
  <si>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</si>
  <si>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</si>
  <si>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</si>
  <si>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</si>
  <si>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</si>
  <si>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</si>
  <si>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</si>
  <si>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</si>
  <si>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</si>
  <si>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</si>
  <si>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</si>
  <si>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</si>
  <si>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</si>
  <si>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</si>
  <si>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</si>
  <si>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</si>
  <si>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</si>
  <si>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</si>
  <si>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</si>
  <si>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</si>
  <si>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</si>
  <si>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</si>
  <si>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</si>
  <si>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</si>
  <si>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</si>
  <si>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</si>
  <si>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</si>
  <si>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</si>
  <si>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</si>
  <si>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</si>
  <si>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</si>
  <si>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</si>
  <si>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</si>
  <si>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</si>
  <si>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</si>
  <si>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</si>
  <si>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</si>
  <si>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</si>
  <si>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</si>
  <si>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</si>
  <si>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</si>
  <si>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</si>
  <si>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</si>
  <si>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</si>
  <si>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</si>
  <si>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</si>
  <si>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</si>
  <si>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</si>
  <si>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</si>
  <si>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</si>
  <si>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</si>
  <si>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</si>
  <si>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</si>
  <si>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</si>
  <si>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</si>
  <si>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</si>
  <si>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</si>
  <si>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</si>
  <si>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</si>
  <si>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</si>
  <si>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</si>
  <si>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</si>
  <si>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</si>
  <si>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</si>
  <si>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</si>
  <si>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</si>
  <si>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</si>
  <si>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</si>
  <si>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</si>
  <si>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</si>
  <si>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</si>
  <si>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</si>
  <si>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</si>
  <si>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</si>
  <si>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</si>
  <si>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</si>
  <si>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</si>
  <si>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</si>
  <si>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</si>
  <si>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</si>
  <si>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</si>
  <si>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</si>
  <si>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</si>
  <si>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</si>
  <si>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</si>
  <si>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</si>
  <si>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</si>
  <si>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</si>
  <si>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</si>
  <si>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</si>
  <si>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</si>
  <si>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</si>
  <si>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</si>
  <si>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</si>
  <si>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</si>
  <si>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</si>
  <si>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</si>
  <si>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</si>
  <si>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</si>
  <si>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</si>
  <si>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</si>
  <si>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</si>
  <si>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</si>
  <si>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</si>
  <si>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</si>
  <si>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</si>
  <si>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</si>
  <si>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</si>
  <si>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</si>
  <si>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</si>
  <si>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</si>
  <si>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</si>
  <si>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</si>
  <si>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</si>
  <si>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</si>
  <si>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</si>
  <si>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</si>
  <si>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</si>
  <si>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</si>
  <si>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</si>
  <si>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</si>
  <si>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</si>
  <si>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</si>
  <si>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</si>
  <si>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</si>
  <si>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</si>
  <si>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</si>
  <si>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</si>
  <si>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</si>
  <si>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</si>
  <si>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</si>
  <si>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</si>
  <si>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</si>
  <si>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</si>
  <si>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</si>
  <si>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</si>
  <si>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</si>
  <si>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</si>
  <si>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</si>
  <si>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</si>
  <si>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</si>
  <si>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</si>
  <si>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</si>
  <si>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</si>
  <si>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</si>
  <si>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</si>
  <si>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</si>
  <si>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</si>
  <si>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</si>
  <si>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</si>
  <si>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</si>
  <si>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</si>
  <si>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</si>
  <si>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</si>
  <si>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</si>
  <si>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</si>
  <si>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</si>
  <si>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</si>
  <si>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</si>
  <si>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</si>
  <si>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</si>
  <si>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</si>
  <si>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</si>
  <si>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</si>
  <si>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</si>
  <si>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</si>
  <si>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</si>
  <si>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</si>
  <si>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</si>
  <si>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</si>
  <si>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</si>
  <si>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</si>
  <si>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</si>
  <si>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</si>
  <si>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</si>
  <si>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</si>
  <si>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</si>
  <si>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</si>
  <si>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</si>
  <si>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</si>
  <si>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</si>
  <si>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</si>
  <si>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</si>
  <si>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</si>
  <si>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</si>
  <si>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</si>
  <si>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</si>
  <si>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</si>
  <si>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</si>
  <si>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</si>
  <si>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</si>
  <si>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</si>
  <si>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</si>
  <si>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</si>
  <si>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</si>
  <si>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</si>
  <si>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</si>
  <si>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</si>
  <si>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</si>
  <si>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</si>
  <si>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</si>
  <si>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</si>
  <si>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</si>
  <si>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</si>
  <si>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</si>
  <si>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</si>
  <si>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</si>
  <si>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</si>
  <si>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</si>
  <si>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</si>
  <si>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</si>
  <si>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</si>
  <si>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</si>
  <si>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</si>
  <si>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</si>
  <si>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</si>
  <si>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</si>
  <si>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</si>
  <si>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</si>
  <si>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</si>
  <si>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</si>
  <si>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</si>
  <si>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</si>
  <si>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</si>
  <si>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</si>
  <si>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</si>
  <si>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</si>
  <si>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</si>
  <si>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</si>
  <si>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</si>
  <si>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</si>
  <si>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</si>
  <si>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</si>
  <si>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</si>
  <si>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</si>
  <si>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</si>
  <si>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</si>
  <si>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</si>
  <si>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</si>
  <si>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</si>
  <si>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</si>
  <si>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</si>
  <si>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</si>
  <si>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</si>
  <si>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</si>
  <si>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</si>
  <si>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</si>
  <si>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</si>
  <si>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</si>
  <si>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</si>
  <si>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</si>
  <si>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</si>
  <si>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</si>
  <si>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</si>
  <si>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</si>
  <si>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</si>
  <si>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</si>
  <si>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</si>
  <si>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</si>
  <si>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</si>
  <si>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</si>
  <si>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</si>
  <si>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</si>
  <si>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</si>
  <si>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</si>
  <si>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</si>
  <si>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</si>
  <si>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</si>
  <si>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</si>
  <si>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</si>
  <si>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</si>
  <si>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</si>
  <si>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</si>
  <si>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</si>
  <si>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</si>
  <si>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</si>
  <si>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</si>
  <si>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</si>
  <si>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</si>
  <si>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</si>
  <si>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</si>
  <si>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</si>
  <si>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</si>
  <si>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</si>
  <si>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</si>
  <si>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</si>
  <si>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</si>
  <si>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</si>
  <si>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</si>
  <si>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</si>
  <si>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</si>
  <si>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</si>
  <si>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</si>
  <si>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</si>
  <si>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</si>
  <si>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</si>
  <si>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</si>
  <si>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</si>
  <si>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</si>
  <si>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</si>
  <si>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</si>
  <si>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</si>
  <si>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</si>
  <si>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</si>
  <si>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</si>
  <si>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</si>
  <si>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</si>
  <si>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</si>
  <si>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</si>
  <si>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</si>
  <si>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</si>
  <si>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</si>
  <si>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</si>
  <si>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</si>
  <si>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</si>
  <si>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</si>
  <si>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</si>
  <si>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</si>
  <si>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</si>
  <si>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</si>
  <si>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</si>
  <si>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</si>
  <si>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</si>
  <si>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</si>
  <si>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</si>
  <si>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</si>
  <si>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</si>
  <si>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</si>
  <si>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</si>
  <si>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</si>
  <si>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</si>
  <si>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</si>
  <si>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</si>
  <si>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</si>
  <si>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</si>
  <si>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</si>
  <si>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</si>
  <si>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</si>
  <si>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</si>
  <si>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</si>
  <si>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</si>
  <si>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</si>
  <si>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</si>
  <si>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</si>
  <si>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</si>
  <si>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</si>
  <si>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</si>
  <si>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</si>
  <si>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</si>
  <si>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</si>
  <si>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</si>
  <si>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</si>
  <si>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</si>
  <si>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</si>
  <si>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</si>
  <si>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</si>
  <si>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</si>
  <si>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</si>
  <si>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</si>
  <si>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</si>
  <si>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</si>
  <si>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</si>
  <si>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</si>
  <si>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</si>
  <si>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</si>
  <si>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</si>
  <si>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</si>
  <si>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</si>
  <si>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</si>
  <si>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</si>
  <si>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</si>
  <si>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</si>
  <si>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</si>
  <si>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</si>
  <si>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</si>
  <si>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</si>
  <si>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</si>
  <si>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</si>
  <si>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</si>
  <si>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</si>
  <si>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</si>
  <si>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</si>
  <si>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</si>
  <si>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</si>
  <si>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</si>
  <si>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</si>
  <si>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</si>
  <si>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</si>
  <si>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</si>
  <si>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</si>
  <si>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</si>
  <si>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</si>
  <si>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</si>
  <si>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</si>
  <si>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</si>
  <si>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</si>
  <si>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</si>
  <si>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</si>
  <si>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</si>
  <si>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</si>
  <si>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</si>
  <si>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</si>
  <si>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</si>
  <si>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</si>
  <si>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</si>
  <si>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</si>
  <si>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</si>
  <si>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</si>
  <si>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</si>
  <si>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</si>
  <si>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</si>
  <si>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</si>
  <si>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</si>
  <si>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</si>
  <si>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</si>
  <si>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</si>
  <si>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</si>
  <si>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</si>
  <si>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</si>
  <si>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</si>
  <si>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</si>
  <si>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</si>
  <si>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</si>
  <si>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</si>
  <si>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</si>
  <si>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</si>
  <si>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</si>
  <si>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</si>
  <si>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</si>
  <si>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</si>
  <si>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</si>
  <si>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</si>
  <si>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</si>
  <si>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</si>
  <si>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</si>
  <si>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</si>
  <si>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</si>
  <si>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</si>
  <si>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</si>
  <si>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</si>
  <si>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</si>
  <si>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</si>
  <si>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</si>
  <si>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</si>
  <si>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</si>
  <si>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</si>
  <si>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</si>
  <si>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</si>
  <si>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</si>
  <si>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</si>
  <si>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</si>
  <si>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</si>
  <si>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</si>
  <si>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</si>
  <si>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</si>
  <si>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</si>
  <si>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</si>
  <si>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</si>
  <si>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</si>
  <si>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</si>
  <si>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</si>
  <si>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</si>
  <si>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</si>
  <si>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</si>
  <si>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</si>
  <si>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</si>
  <si>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</si>
  <si>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</si>
  <si>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</si>
  <si>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</si>
  <si>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</si>
  <si>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</si>
  <si>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</si>
  <si>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</si>
  <si>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</si>
  <si>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</si>
  <si>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</si>
  <si>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</si>
  <si>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</si>
  <si>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</si>
  <si>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</si>
  <si>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</si>
  <si>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</si>
  <si>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</si>
  <si>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</si>
  <si>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</si>
  <si>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</si>
  <si>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</si>
  <si>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</si>
  <si>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</si>
  <si>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</si>
  <si>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</si>
  <si>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</si>
  <si>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</si>
  <si>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</si>
  <si>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</si>
  <si>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</si>
  <si>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</si>
  <si>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</si>
  <si>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</si>
  <si>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</si>
  <si>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</si>
  <si>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</si>
  <si>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</si>
  <si>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</si>
  <si>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</si>
  <si>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</si>
  <si>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</si>
  <si>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</si>
  <si>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</si>
  <si>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</si>
  <si>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</si>
  <si>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</si>
  <si>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</si>
  <si>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</si>
  <si>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</si>
  <si>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</si>
  <si>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</si>
  <si>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</si>
  <si>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</si>
  <si>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</si>
  <si>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</si>
  <si>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</si>
  <si>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</si>
  <si>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</si>
  <si>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</si>
  <si>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</si>
  <si>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</si>
  <si>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</si>
  <si>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</si>
  <si>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</si>
  <si>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</si>
  <si>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</si>
  <si>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</si>
  <si>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</si>
  <si>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</si>
  <si>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</si>
  <si>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</si>
  <si>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</si>
  <si>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</si>
  <si>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</si>
  <si>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</si>
  <si>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</si>
  <si>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</si>
  <si>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</si>
  <si>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</si>
  <si>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</si>
  <si>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</si>
  <si>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</si>
  <si>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</si>
  <si>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</si>
  <si>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</si>
  <si>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</si>
  <si>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</si>
  <si>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</si>
  <si>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</si>
  <si>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</si>
  <si>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</si>
  <si>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</si>
  <si>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</si>
  <si>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</si>
  <si>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</si>
  <si>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</si>
  <si>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</si>
  <si>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</si>
  <si>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</si>
  <si>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</si>
  <si>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</si>
  <si>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</si>
  <si>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</si>
  <si>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</si>
  <si>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</si>
  <si>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</si>
  <si>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</si>
  <si>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</si>
  <si>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</si>
  <si>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</si>
  <si>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</si>
  <si>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</si>
  <si>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</si>
  <si>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</si>
  <si>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</si>
  <si>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</si>
  <si>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</si>
  <si>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</si>
  <si>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</si>
  <si>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</si>
  <si>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</si>
  <si>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</si>
  <si>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</si>
  <si>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</si>
  <si>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</si>
  <si>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</si>
  <si>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</si>
  <si>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</si>
  <si>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</si>
  <si>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</si>
  <si>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</si>
  <si>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</si>
  <si>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</si>
  <si>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</si>
  <si>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</si>
  <si>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</si>
  <si>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</si>
  <si>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</si>
  <si>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</si>
  <si>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</si>
  <si>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</si>
  <si>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</si>
  <si>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</si>
  <si>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</si>
  <si>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</si>
  <si>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</si>
  <si>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</si>
  <si>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</si>
  <si>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</si>
  <si>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</si>
  <si>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</si>
  <si>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</si>
  <si>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</si>
  <si>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</si>
  <si>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</si>
  <si>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</si>
  <si>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</si>
  <si>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</si>
  <si>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</si>
  <si>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</si>
  <si>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</si>
  <si>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</si>
  <si>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</si>
  <si>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</si>
  <si>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</si>
  <si>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</si>
  <si>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</si>
  <si>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</si>
  <si>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</si>
  <si>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</si>
  <si>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</si>
  <si>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</si>
  <si>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</si>
  <si>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</si>
  <si>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</si>
  <si>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</si>
  <si>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</si>
  <si>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</si>
  <si>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</si>
  <si>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</si>
  <si>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</si>
  <si>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</si>
  <si>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</si>
  <si>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</si>
  <si>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</si>
  <si>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</si>
  <si>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</si>
  <si>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</si>
  <si>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</si>
  <si>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</si>
  <si>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</si>
  <si>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</si>
  <si>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</si>
  <si>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</si>
  <si>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</si>
  <si>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</si>
  <si>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</si>
  <si>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</si>
  <si>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</si>
  <si>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</si>
  <si>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</si>
  <si>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</si>
  <si>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</si>
  <si>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</si>
  <si>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</si>
  <si>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</si>
  <si>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</si>
  <si>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</si>
  <si>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</si>
  <si>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</si>
  <si>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</si>
  <si>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</si>
  <si>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</si>
  <si>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</si>
  <si>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</si>
  <si>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</si>
  <si>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</si>
  <si>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</si>
  <si>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</si>
  <si>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</si>
  <si>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</si>
  <si>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</si>
  <si>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</si>
  <si>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</si>
  <si>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</si>
  <si>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</si>
  <si>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</si>
  <si>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</si>
  <si>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</si>
  <si>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</si>
  <si>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</si>
  <si>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</si>
  <si>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</si>
  <si>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</si>
  <si>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</si>
  <si>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</si>
  <si>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</si>
  <si>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</si>
  <si>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</si>
  <si>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</si>
  <si>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</si>
  <si>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</si>
  <si>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</si>
  <si>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</si>
  <si>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</si>
  <si>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</si>
  <si>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</si>
  <si>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</si>
  <si>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</si>
  <si>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</si>
  <si>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</si>
  <si>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</si>
  <si>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</si>
  <si>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</si>
  <si>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</si>
  <si>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</si>
  <si>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</si>
  <si>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</si>
  <si>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</si>
  <si>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</si>
  <si>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</si>
  <si>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</si>
  <si>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</si>
  <si>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</si>
  <si>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</si>
  <si>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</si>
  <si>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</si>
  <si>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</si>
  <si>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</si>
  <si>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</si>
  <si>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</si>
  <si>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</si>
  <si>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</si>
  <si>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</si>
  <si>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</si>
  <si>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</si>
  <si>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</si>
  <si>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</si>
  <si>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</si>
  <si>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</si>
  <si>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</si>
  <si>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</si>
  <si>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</si>
  <si>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</si>
  <si>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</si>
  <si>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</si>
  <si>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</si>
  <si>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</si>
  <si>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</si>
  <si>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</si>
  <si>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</si>
  <si>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</si>
  <si>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</si>
  <si>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</si>
  <si>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</si>
  <si>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</si>
  <si>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</si>
  <si>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</si>
  <si>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</si>
  <si>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</si>
  <si>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</si>
  <si>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</si>
  <si>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</si>
  <si>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</si>
  <si>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</si>
  <si>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</si>
  <si>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</si>
  <si>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</si>
  <si>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</si>
  <si>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</si>
  <si>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</si>
  <si>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</si>
  <si>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</si>
  <si>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</si>
  <si>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</si>
  <si>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</si>
  <si>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</si>
  <si>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</si>
  <si>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</si>
  <si>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</si>
  <si>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</si>
  <si>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</si>
  <si>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</si>
  <si>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</si>
  <si>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</si>
  <si>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</si>
  <si>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</si>
  <si>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</si>
  <si>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</si>
  <si>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</si>
  <si>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</si>
  <si>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</si>
  <si>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</si>
  <si>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</si>
  <si>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</si>
  <si>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</si>
  <si>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</si>
  <si>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</si>
  <si>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</si>
  <si>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</si>
  <si>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</si>
  <si>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</si>
  <si>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</si>
  <si>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</si>
  <si>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</si>
  <si>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</si>
  <si>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</si>
  <si>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</si>
  <si>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</si>
  <si>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</si>
  <si>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</si>
  <si>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</si>
  <si>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</si>
  <si>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</si>
  <si>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</si>
  <si>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</si>
  <si>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</si>
  <si>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</si>
  <si>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</si>
  <si>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</si>
  <si>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</si>
  <si>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</si>
  <si>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</si>
  <si>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</si>
  <si>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</si>
  <si>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</si>
  <si>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</si>
  <si>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</si>
  <si>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</si>
  <si>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</si>
  <si>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</si>
  <si>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</si>
  <si>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</si>
  <si>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</si>
  <si>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</si>
  <si>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</si>
  <si>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</si>
  <si>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</si>
  <si>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</si>
  <si>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</si>
  <si>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</si>
  <si>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</si>
  <si>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</si>
  <si>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</si>
  <si>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</si>
  <si>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</si>
  <si>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</si>
  <si>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</si>
  <si>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</si>
  <si>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</si>
  <si>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</si>
  <si>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</si>
  <si>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</si>
  <si>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</si>
  <si>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</si>
  <si>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</si>
  <si>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</si>
  <si>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</si>
  <si>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</si>
  <si>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</si>
  <si>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</si>
  <si>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</si>
  <si>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</si>
  <si>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</si>
  <si>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</si>
  <si>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</si>
  <si>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</si>
  <si>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</si>
  <si>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</si>
  <si>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</si>
  <si>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</si>
  <si>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</si>
  <si>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</si>
  <si>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</si>
  <si>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</si>
  <si>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</si>
  <si>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</si>
  <si>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</si>
  <si>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</si>
  <si>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</si>
  <si>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</si>
  <si>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</si>
  <si>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</si>
  <si>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</si>
  <si>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</si>
  <si>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</si>
  <si>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</si>
  <si>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</si>
  <si>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</si>
  <si>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</si>
  <si>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</si>
  <si>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</si>
  <si>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</si>
  <si>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</si>
  <si>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</si>
  <si>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</si>
  <si>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</si>
  <si>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</si>
  <si>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</si>
  <si>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</si>
  <si>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</si>
  <si>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</si>
  <si>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</si>
  <si>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</si>
  <si>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</si>
  <si>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</si>
  <si>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</si>
  <si>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</si>
  <si>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</si>
  <si>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</si>
  <si>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</si>
  <si>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</si>
  <si>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</si>
  <si>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</si>
  <si>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</si>
  <si>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</si>
  <si>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</si>
  <si>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</si>
  <si>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</si>
  <si>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</si>
  <si>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</si>
  <si>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</si>
  <si>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</si>
  <si>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</si>
  <si>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</si>
  <si>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</si>
  <si>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</si>
  <si>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</si>
  <si>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</si>
  <si>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</si>
  <si>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</si>
  <si>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</si>
  <si>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</si>
  <si>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</si>
  <si>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</si>
  <si>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</si>
  <si>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</si>
  <si>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</si>
  <si>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</si>
  <si>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</si>
  <si>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</si>
  <si>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</si>
  <si>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</si>
  <si>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</si>
  <si>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</si>
  <si>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</si>
  <si>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</si>
  <si>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</si>
  <si>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</si>
  <si>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</si>
  <si>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</si>
  <si>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</si>
  <si>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</si>
  <si>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</si>
  <si>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</si>
  <si>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</si>
  <si>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</si>
  <si>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</si>
  <si>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</si>
  <si>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</si>
  <si>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</si>
  <si>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</si>
  <si>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</si>
  <si>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</si>
  <si>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</si>
  <si>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</si>
  <si>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</si>
  <si>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</si>
  <si>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</si>
  <si>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</si>
  <si>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</si>
  <si>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</si>
  <si>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</si>
  <si>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</si>
  <si>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</si>
  <si>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</si>
  <si>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</si>
  <si>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</si>
  <si>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</si>
  <si>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</si>
  <si>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</si>
  <si>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</si>
  <si>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</si>
  <si>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</si>
  <si>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</si>
  <si>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</si>
  <si>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</si>
  <si>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</si>
  <si>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</si>
  <si>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</si>
  <si>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</si>
  <si>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</si>
  <si>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</si>
  <si>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</si>
  <si>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</si>
  <si>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</si>
  <si>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</si>
  <si>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</si>
  <si>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</si>
  <si>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</si>
  <si>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</si>
  <si>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</si>
  <si>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</si>
  <si>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</si>
  <si>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</si>
  <si>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</si>
  <si>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</si>
  <si>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</si>
  <si>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</si>
  <si>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</si>
  <si>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</si>
  <si>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</si>
  <si>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</si>
  <si>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</si>
  <si>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</si>
  <si>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</si>
  <si>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</si>
  <si>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</si>
  <si>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</si>
  <si>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</si>
  <si>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</si>
  <si>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</si>
  <si>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</si>
  <si>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</si>
  <si>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</si>
  <si>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</si>
  <si>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</si>
  <si>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</si>
  <si>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</si>
  <si>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</si>
  <si>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</si>
  <si>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</si>
  <si>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</si>
  <si>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</si>
  <si>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</si>
  <si>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</si>
  <si>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</si>
  <si>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</si>
  <si>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</si>
  <si>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</si>
  <si>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</si>
  <si>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</si>
  <si>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</si>
  <si>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</si>
  <si>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</si>
  <si>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</si>
  <si>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</si>
  <si>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</si>
  <si>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</si>
  <si>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</si>
  <si>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</si>
  <si>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</si>
  <si>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</si>
  <si>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</si>
  <si>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</si>
  <si>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</si>
  <si>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</si>
  <si>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</si>
  <si>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</si>
  <si>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</si>
  <si>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</si>
  <si>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</si>
  <si>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</si>
  <si>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</si>
  <si>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</si>
  <si>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</si>
  <si>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</si>
  <si>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</si>
  <si>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</si>
  <si>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</si>
  <si>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</si>
  <si>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</si>
  <si>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</si>
  <si>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</si>
  <si>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</si>
  <si>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</si>
  <si>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</si>
  <si>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</si>
  <si>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</si>
  <si>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</si>
  <si>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</si>
  <si>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</si>
  <si>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</si>
  <si>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</si>
  <si>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</si>
  <si>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</si>
  <si>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</si>
  <si>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</si>
  <si>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</si>
  <si>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</si>
  <si>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</si>
  <si>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</si>
  <si>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</si>
  <si>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</si>
  <si>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</si>
  <si>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</si>
  <si>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</si>
  <si>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</si>
  <si>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</si>
  <si>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</si>
  <si>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</si>
  <si>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</si>
  <si>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</si>
  <si>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</si>
  <si>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</si>
  <si>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</si>
  <si>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</si>
  <si>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</si>
  <si>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</si>
  <si>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</si>
  <si>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</si>
  <si>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</si>
  <si>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</si>
  <si>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</si>
  <si>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</si>
  <si>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</si>
  <si>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</si>
  <si>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</si>
  <si>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</si>
  <si>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</si>
  <si>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</si>
  <si>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</si>
  <si>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</si>
  <si>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</si>
  <si>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</si>
  <si>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</si>
  <si>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</si>
  <si>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</si>
  <si>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</si>
  <si>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</si>
  <si>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</si>
  <si>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</si>
  <si>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</si>
  <si>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</si>
  <si>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</si>
  <si>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</si>
  <si>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</si>
  <si>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</si>
  <si>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</si>
  <si>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</si>
  <si>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</si>
  <si>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</si>
  <si>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</si>
  <si>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</si>
  <si>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</si>
  <si>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</si>
  <si>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</si>
  <si>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</si>
  <si>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</si>
  <si>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</si>
  <si>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</si>
  <si>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</si>
  <si>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</si>
  <si>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</si>
  <si>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</si>
  <si>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</si>
  <si>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</si>
  <si>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</si>
  <si>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</si>
  <si>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</si>
  <si>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</si>
  <si>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</si>
  <si>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</si>
  <si>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</si>
  <si>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</si>
  <si>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</si>
  <si>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</si>
  <si>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</si>
  <si>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</si>
  <si>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</si>
  <si>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</si>
  <si>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</si>
  <si>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</si>
  <si>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</si>
  <si>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</si>
  <si>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</si>
  <si>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</si>
  <si>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</si>
  <si>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</si>
  <si>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</si>
  <si>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</si>
  <si>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</si>
  <si>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</si>
  <si>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</si>
  <si>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</si>
  <si>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</si>
  <si>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</si>
  <si>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</si>
  <si>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</si>
  <si>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</si>
  <si>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</si>
  <si>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</si>
  <si>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</si>
  <si>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</si>
  <si>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</si>
  <si>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</si>
  <si>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</si>
  <si>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</si>
  <si>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</si>
  <si>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</si>
  <si>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</si>
  <si>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</si>
  <si>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</si>
  <si>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</si>
  <si>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</si>
  <si>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</si>
  <si>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</si>
  <si>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</si>
  <si>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</si>
  <si>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</si>
  <si>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</si>
  <si>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</si>
  <si>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</si>
  <si>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</si>
  <si>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</si>
  <si>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</si>
  <si>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</si>
  <si>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</si>
  <si>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</si>
  <si>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</si>
  <si>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</si>
  <si>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</si>
  <si>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</si>
  <si>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</si>
  <si>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</si>
  <si>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</si>
  <si>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</si>
  <si>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</si>
  <si>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</si>
  <si>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</si>
  <si>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</si>
  <si>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</si>
  <si>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</si>
  <si>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</si>
  <si>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</si>
  <si>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</si>
  <si>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</si>
  <si>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</si>
  <si>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</si>
  <si>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</si>
  <si>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</si>
  <si>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</si>
  <si>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</si>
  <si>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</si>
  <si>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</si>
  <si>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</si>
  <si>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</si>
  <si>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</si>
  <si>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</si>
  <si>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</si>
  <si>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</si>
  <si>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</si>
  <si>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</si>
  <si>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</si>
  <si>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</si>
  <si>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</si>
  <si>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</si>
  <si>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</si>
  <si>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</si>
  <si>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</si>
  <si>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</si>
  <si>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</si>
  <si>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</si>
  <si>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</si>
  <si>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</si>
  <si>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</si>
  <si>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</si>
  <si>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</si>
  <si>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</si>
  <si>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</si>
  <si>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</si>
  <si>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</si>
  <si>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</si>
  <si>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</si>
  <si>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</si>
  <si>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</si>
  <si>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</si>
  <si>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</si>
  <si>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</si>
  <si>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</si>
  <si>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</si>
  <si>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</si>
  <si>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</si>
  <si>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</si>
  <si>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</si>
  <si>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</si>
  <si>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</si>
  <si>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</si>
  <si>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</si>
  <si>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</si>
  <si>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</si>
  <si>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</si>
  <si>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</si>
  <si>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</si>
  <si>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</si>
  <si>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</si>
  <si>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</si>
  <si>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</si>
  <si>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</si>
  <si>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</si>
  <si>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</si>
  <si>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</si>
  <si>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</si>
  <si>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</si>
  <si>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</si>
  <si>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</si>
  <si>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</si>
  <si>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</si>
  <si>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</si>
  <si>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</si>
  <si>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</si>
  <si>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</si>
  <si>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</si>
  <si>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</si>
  <si>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</si>
  <si>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</si>
  <si>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</si>
  <si>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</si>
  <si>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</si>
  <si>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</si>
  <si>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</si>
  <si>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</si>
  <si>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</si>
  <si>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</si>
  <si>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</si>
  <si>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</si>
  <si>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</si>
  <si>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</si>
  <si>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</si>
  <si>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</si>
  <si>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</si>
  <si>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</si>
  <si>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</si>
  <si>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</si>
  <si>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</si>
  <si>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</si>
  <si>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</si>
  <si>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</si>
  <si>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</si>
  <si>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</si>
  <si>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</si>
  <si>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</si>
  <si>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</si>
  <si>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</si>
  <si>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</si>
  <si>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</si>
  <si>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</si>
  <si>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</si>
  <si>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</si>
  <si>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</si>
  <si>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</si>
  <si>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</si>
  <si>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</si>
  <si>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</si>
  <si>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</si>
  <si>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</si>
  <si>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</si>
  <si>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</si>
  <si>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</si>
  <si>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</si>
  <si>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</si>
  <si>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</si>
  <si>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</si>
  <si>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</si>
  <si>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</si>
  <si>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</si>
  <si>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</si>
  <si>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</si>
  <si>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</si>
  <si>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</si>
  <si>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</si>
  <si>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</si>
  <si>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</si>
  <si>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</si>
  <si>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</si>
  <si>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</si>
  <si>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</si>
  <si>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</si>
  <si>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</si>
  <si>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</si>
  <si>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</si>
  <si>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</si>
  <si>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</si>
  <si>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</si>
  <si>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</si>
  <si>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</si>
  <si>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</si>
  <si>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</si>
  <si>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</si>
  <si>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</si>
  <si>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</si>
  <si>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</si>
  <si>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</si>
  <si>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</si>
  <si>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</si>
  <si>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</si>
  <si>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</si>
  <si>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</si>
  <si>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</si>
  <si>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</si>
  <si>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</si>
  <si>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</si>
  <si>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</si>
  <si>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</si>
  <si>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</si>
  <si>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</si>
  <si>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</si>
  <si>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</si>
  <si>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</si>
  <si>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</si>
  <si>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</si>
  <si>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</si>
  <si>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</si>
  <si>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</si>
  <si>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</si>
  <si>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</si>
  <si>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</si>
  <si>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</si>
  <si>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</si>
  <si>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</si>
  <si>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</si>
  <si>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</si>
  <si>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</si>
  <si>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</si>
  <si>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</si>
  <si>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</si>
  <si>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</si>
  <si>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</si>
  <si>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</si>
  <si>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</si>
  <si>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</si>
  <si>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</si>
  <si>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</si>
  <si>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</si>
  <si>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</si>
  <si>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</si>
  <si>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</si>
  <si>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</si>
  <si>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</si>
  <si>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</si>
  <si>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</si>
  <si>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</si>
  <si>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</si>
  <si>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</si>
  <si>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</si>
  <si>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</si>
  <si>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</si>
  <si>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</si>
  <si>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</si>
  <si>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</si>
  <si>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</si>
  <si>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</si>
  <si>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</si>
  <si>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</si>
  <si>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</si>
  <si>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</si>
  <si>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</si>
  <si>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</si>
  <si>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</si>
  <si>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</si>
  <si>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</si>
  <si>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</si>
  <si>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</si>
  <si>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</si>
  <si>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</si>
  <si>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</si>
  <si>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</si>
  <si>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</si>
  <si>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</si>
  <si>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</si>
  <si>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</si>
  <si>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</si>
  <si>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</si>
  <si>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</si>
  <si>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</si>
  <si>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</si>
  <si>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</si>
  <si>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</si>
  <si>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</si>
  <si>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</si>
  <si>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</si>
  <si>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</si>
  <si>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</si>
  <si>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</si>
  <si>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</si>
  <si>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</si>
  <si>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</si>
  <si>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</si>
  <si>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</si>
  <si>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</si>
  <si>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</si>
  <si>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</si>
  <si>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</si>
  <si>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</si>
  <si>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</si>
  <si>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</si>
  <si>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</si>
  <si>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</si>
  <si>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</si>
  <si>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</si>
  <si>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</si>
  <si>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</si>
  <si>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</si>
  <si>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</si>
  <si>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</si>
  <si>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</si>
  <si>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</si>
  <si>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</si>
  <si>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</si>
  <si>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</si>
  <si>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</si>
  <si>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</si>
  <si>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</si>
  <si>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</si>
  <si>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</si>
  <si>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</si>
  <si>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</si>
  <si>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</si>
  <si>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</si>
  <si>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</si>
  <si>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</si>
  <si>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</si>
  <si>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</si>
  <si>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</si>
  <si>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</si>
  <si>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</si>
  <si>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</si>
  <si>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</si>
  <si>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</si>
  <si>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</si>
  <si>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</si>
  <si>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</si>
  <si>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</si>
  <si>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</si>
  <si>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</si>
  <si>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</si>
  <si>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</si>
  <si>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</si>
  <si>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</si>
  <si>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</si>
  <si>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</si>
  <si>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</si>
  <si>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</si>
  <si>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</si>
  <si>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</si>
  <si>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</si>
  <si>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</si>
  <si>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</si>
  <si>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</si>
  <si>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</si>
  <si>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</si>
  <si>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</si>
  <si>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</si>
  <si>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</si>
  <si>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</si>
  <si>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</si>
  <si>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</si>
  <si>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</si>
  <si>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</si>
  <si>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</si>
  <si>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</si>
  <si>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</si>
  <si>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</si>
  <si>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</si>
  <si>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</si>
  <si>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</si>
  <si>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</si>
  <si>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</si>
  <si>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</si>
  <si>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</si>
  <si>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</si>
  <si>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</si>
  <si>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</si>
  <si>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</si>
  <si>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</si>
  <si>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</si>
  <si>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</si>
  <si>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</si>
  <si>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</si>
  <si>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</si>
  <si>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</si>
  <si>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</si>
  <si>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</si>
  <si>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</si>
  <si>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</si>
  <si>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</si>
  <si>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</si>
  <si>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</si>
  <si>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</si>
  <si>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</si>
  <si>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</si>
  <si>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</si>
  <si>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</si>
  <si>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</si>
  <si>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</si>
  <si>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</si>
  <si>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</si>
  <si>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</si>
  <si>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</si>
  <si>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</si>
  <si>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</si>
  <si>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</si>
  <si>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</si>
  <si>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</si>
  <si>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</si>
  <si>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</si>
  <si>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</si>
  <si>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</si>
  <si>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</si>
  <si>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</si>
  <si>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</si>
  <si>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</si>
  <si>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</si>
  <si>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</si>
  <si>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</si>
  <si>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</si>
  <si>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</si>
  <si>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</si>
  <si>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</si>
  <si>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</si>
  <si>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</si>
  <si>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</si>
  <si>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</si>
  <si>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</si>
  <si>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</si>
  <si>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</si>
  <si>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</si>
  <si>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</si>
  <si>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</si>
  <si>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</si>
  <si>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</si>
  <si>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</si>
  <si>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</si>
  <si>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</si>
  <si>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</si>
  <si>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</si>
  <si>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</si>
  <si>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</si>
  <si>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</si>
  <si>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</si>
  <si>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</si>
  <si>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</si>
  <si>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</si>
  <si>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</si>
  <si>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</si>
  <si>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</si>
  <si>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</si>
  <si>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</si>
  <si>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</si>
  <si>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</si>
  <si>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</si>
  <si>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</si>
  <si>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</si>
  <si>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</si>
  <si>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</si>
  <si>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</si>
  <si>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</si>
  <si>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</si>
  <si>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</si>
  <si>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</si>
  <si>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</si>
  <si>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</si>
  <si>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</si>
  <si>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</si>
  <si>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</si>
  <si>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</si>
  <si>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</si>
  <si>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</si>
  <si>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</si>
  <si>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</si>
  <si>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</si>
  <si>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</si>
  <si>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</si>
  <si>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</si>
  <si>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</si>
  <si>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</si>
  <si>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</si>
  <si>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</si>
  <si>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</si>
  <si>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</si>
  <si>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</si>
  <si>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</si>
  <si>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</si>
  <si>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</si>
  <si>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</si>
  <si>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</si>
  <si>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</si>
  <si>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</si>
  <si>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</si>
  <si>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</si>
  <si>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</si>
  <si>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</si>
  <si>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</si>
  <si>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</si>
  <si>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</si>
  <si>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</si>
  <si>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</si>
  <si>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</si>
  <si>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</si>
  <si>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</si>
  <si>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</si>
  <si>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</si>
  <si>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</si>
  <si>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</si>
  <si>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</si>
  <si>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</si>
  <si>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</si>
  <si>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</si>
  <si>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</si>
  <si>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</si>
  <si>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</si>
  <si>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</si>
  <si>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</si>
  <si>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</si>
  <si>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</si>
  <si>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</si>
  <si>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</si>
  <si>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</si>
  <si>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</si>
  <si>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</si>
  <si>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</si>
  <si>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</si>
  <si>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</si>
  <si>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</si>
  <si>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</si>
  <si>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</si>
  <si>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</si>
  <si>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</si>
  <si>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</si>
  <si>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</si>
  <si>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</si>
  <si>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</si>
  <si>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</si>
  <si>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</si>
  <si>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</si>
  <si>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</si>
  <si>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</si>
  <si>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</si>
  <si>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</si>
  <si>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</si>
  <si>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</si>
  <si>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</si>
  <si>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</si>
  <si>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</si>
  <si>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</si>
  <si>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</si>
  <si>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</si>
  <si>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</si>
  <si>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</si>
  <si>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</si>
  <si>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</si>
  <si>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</si>
  <si>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</si>
  <si>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</si>
  <si>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</si>
  <si>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</si>
  <si>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</si>
  <si>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</si>
  <si>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</si>
  <si>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</si>
  <si>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</si>
  <si>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</si>
  <si>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</si>
  <si>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</si>
  <si>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</si>
  <si>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</si>
  <si>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</si>
  <si>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</si>
  <si>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</si>
  <si>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</si>
  <si>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</si>
  <si>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</si>
  <si>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</si>
  <si>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</si>
  <si>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</si>
  <si>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</si>
  <si>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</si>
  <si>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</si>
  <si>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</si>
  <si>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</si>
  <si>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</si>
  <si>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</si>
  <si>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</si>
  <si>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</si>
  <si>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</si>
  <si>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</si>
  <si>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</si>
  <si>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</si>
  <si>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</si>
  <si>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</si>
  <si>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</si>
  <si>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</si>
  <si>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</si>
  <si>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</si>
  <si>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</si>
  <si>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</si>
  <si>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</si>
  <si>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</si>
  <si>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</si>
  <si>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</si>
  <si>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</si>
  <si>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</si>
  <si>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</si>
  <si>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</si>
  <si>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</si>
  <si>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</si>
  <si>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</si>
  <si>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</si>
  <si>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</si>
  <si>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</si>
  <si>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</si>
  <si>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</si>
  <si>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</si>
  <si>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</si>
  <si>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</si>
  <si>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</si>
  <si>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</si>
  <si>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</si>
  <si>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</si>
  <si>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</si>
  <si>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</si>
  <si>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</si>
  <si>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</si>
  <si>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</si>
  <si>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</si>
  <si>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</si>
  <si>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</si>
  <si>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</si>
  <si>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</si>
  <si>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</si>
  <si>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</si>
  <si>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</si>
  <si>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</si>
  <si>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</si>
  <si>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</si>
  <si>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</si>
  <si>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</si>
  <si>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</si>
  <si>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</si>
  <si>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</si>
  <si>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</si>
  <si>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</si>
  <si>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</si>
  <si>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</si>
  <si>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</si>
  <si>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</si>
  <si>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</si>
  <si>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</si>
  <si>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</si>
  <si>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</si>
  <si>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</si>
  <si>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</si>
  <si>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</si>
  <si>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</si>
  <si>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</si>
  <si>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</si>
  <si>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</si>
  <si>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</si>
  <si>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</si>
  <si>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</si>
  <si>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</si>
  <si>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</si>
  <si>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</si>
  <si>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</si>
  <si>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</si>
  <si>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</si>
  <si>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</si>
  <si>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</si>
  <si>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</si>
  <si>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</si>
  <si>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</si>
  <si>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</si>
  <si>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</si>
  <si>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</si>
  <si>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</si>
  <si>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</si>
  <si>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</si>
  <si>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</si>
  <si>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</si>
  <si>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</si>
  <si>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</si>
  <si>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</si>
  <si>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</si>
  <si>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</si>
  <si>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</si>
  <si>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</si>
  <si>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</si>
  <si>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</si>
  <si>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</si>
  <si>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</si>
  <si>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</si>
  <si>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</si>
  <si>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</si>
  <si>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</si>
  <si>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</si>
  <si>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</si>
  <si>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</si>
  <si>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</si>
  <si>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</si>
  <si>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</si>
  <si>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</si>
  <si>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</si>
  <si>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</si>
  <si>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</si>
  <si>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</si>
  <si>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</si>
  <si>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</si>
  <si>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</si>
  <si>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</si>
  <si>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</si>
  <si>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</si>
  <si>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</si>
  <si>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</si>
  <si>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</si>
  <si>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</si>
  <si>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</si>
  <si>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</si>
  <si>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</si>
  <si>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</si>
  <si>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</si>
  <si>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</si>
  <si>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</si>
  <si>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</si>
  <si>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</si>
  <si>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</si>
  <si>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</si>
  <si>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</si>
  <si>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</si>
  <si>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</si>
  <si>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</si>
  <si>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</si>
  <si>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</si>
  <si>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</si>
  <si>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</si>
  <si>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</si>
  <si>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</si>
  <si>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</si>
  <si>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</si>
  <si>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</si>
  <si>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</si>
  <si>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</si>
  <si>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</si>
  <si>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</si>
  <si>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</si>
  <si>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</si>
  <si>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</si>
  <si>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</si>
  <si>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</si>
  <si>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</si>
  <si>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</si>
  <si>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</si>
  <si>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</si>
  <si>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</si>
  <si>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</si>
  <si>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</si>
  <si>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</si>
  <si>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</si>
  <si>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</si>
  <si>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</si>
  <si>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</si>
  <si>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</si>
  <si>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</si>
  <si>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</si>
  <si>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</si>
  <si>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</si>
  <si>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</si>
  <si>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</si>
  <si>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</si>
  <si>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</si>
  <si>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</si>
  <si>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</si>
  <si>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</si>
  <si>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</si>
  <si>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</si>
  <si>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</si>
  <si>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</si>
  <si>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</si>
  <si>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</si>
  <si>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</si>
  <si>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</si>
  <si>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</si>
  <si>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</si>
  <si>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</si>
  <si>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</si>
  <si>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</si>
  <si>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</si>
  <si>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</si>
  <si>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</si>
  <si>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</si>
  <si>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</si>
  <si>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</si>
  <si>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</si>
  <si>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</si>
  <si>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</si>
  <si>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</si>
  <si>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</si>
  <si>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</si>
  <si>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</si>
  <si>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</si>
  <si>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</si>
  <si>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</si>
  <si>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</si>
  <si>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</si>
  <si>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</si>
  <si>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</si>
  <si>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</si>
  <si>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</si>
  <si>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</si>
  <si>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</si>
  <si>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</si>
  <si>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</si>
  <si>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</si>
  <si>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</si>
  <si>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</si>
  <si>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</si>
  <si>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</si>
  <si>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</si>
  <si>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</si>
  <si>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</si>
  <si>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</si>
  <si>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</si>
  <si>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</si>
  <si>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</si>
  <si>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</si>
  <si>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</si>
  <si>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</si>
  <si>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</si>
  <si>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</si>
  <si>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</si>
  <si>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</si>
  <si>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</si>
  <si>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</si>
  <si>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</si>
  <si>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</si>
  <si>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</si>
  <si>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</si>
  <si>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</si>
  <si>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</si>
  <si>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</si>
  <si>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</si>
  <si>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</si>
  <si>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</si>
  <si>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</si>
  <si>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</si>
  <si>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</si>
  <si>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</si>
  <si>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</si>
  <si>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</si>
  <si>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</si>
  <si>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</si>
  <si>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</si>
  <si>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</si>
  <si>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</si>
  <si>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</si>
  <si>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</si>
  <si>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</si>
  <si>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</si>
  <si>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</si>
  <si>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</si>
  <si>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</si>
  <si>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</si>
  <si>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</si>
  <si>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</si>
  <si>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</si>
  <si>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</si>
  <si>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</si>
  <si>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</si>
  <si>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</si>
  <si>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</si>
  <si>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</si>
  <si>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</si>
  <si>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</si>
  <si>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</si>
  <si>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</si>
  <si>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</si>
  <si>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</si>
  <si>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</si>
  <si>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</si>
  <si>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</si>
  <si>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</si>
  <si>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</si>
  <si>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</si>
  <si>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</si>
  <si>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</si>
  <si>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</si>
  <si>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</si>
  <si>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</si>
  <si>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</si>
  <si>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</si>
  <si>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</si>
  <si>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</si>
  <si>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</si>
  <si>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</si>
  <si>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</si>
  <si>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</si>
  <si>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</si>
  <si>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</si>
  <si>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</si>
  <si>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</si>
  <si>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</si>
  <si>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</si>
  <si>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</si>
  <si>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</si>
  <si>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</si>
  <si>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</si>
  <si>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</si>
  <si>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</si>
  <si>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</si>
  <si>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</si>
  <si>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</si>
  <si>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</si>
  <si>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</si>
  <si>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</si>
  <si>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</si>
  <si>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</si>
  <si>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</si>
  <si>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</si>
  <si>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</si>
  <si>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</si>
  <si>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</si>
  <si>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</si>
  <si>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</si>
  <si>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</si>
  <si>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</si>
  <si>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</si>
  <si>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</si>
  <si>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</si>
  <si>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</si>
  <si>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</si>
  <si>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</si>
  <si>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</si>
  <si>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</si>
  <si>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</si>
  <si>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</si>
  <si>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</si>
  <si>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</si>
  <si>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</si>
  <si>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</si>
  <si>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</si>
  <si>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</si>
  <si>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</si>
  <si>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</si>
  <si>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</si>
  <si>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</si>
  <si>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</si>
  <si>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</si>
  <si>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</si>
  <si>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</si>
  <si>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</si>
  <si>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</si>
  <si>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</si>
  <si>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</si>
  <si>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</si>
  <si>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</si>
  <si>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</si>
  <si>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</si>
  <si>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</si>
  <si>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</si>
  <si>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</si>
  <si>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</si>
  <si>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</si>
  <si>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</si>
  <si>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</si>
  <si>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</si>
  <si>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</si>
  <si>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</si>
  <si>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</si>
  <si>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</si>
  <si>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</si>
  <si>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</si>
  <si>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</si>
  <si>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</si>
  <si>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</si>
  <si>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</si>
  <si>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</si>
  <si>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</si>
  <si>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</si>
  <si>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</si>
  <si>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</si>
  <si>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</si>
  <si>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</si>
  <si>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</si>
  <si>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</si>
  <si>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</si>
  <si>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</si>
  <si>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</si>
  <si>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</si>
  <si>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</si>
  <si>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</si>
  <si>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</si>
  <si>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</si>
  <si>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</si>
  <si>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</si>
  <si>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</si>
  <si>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</si>
  <si>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</si>
  <si>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</si>
  <si>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</si>
  <si>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</si>
  <si>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</si>
  <si>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</si>
  <si>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</si>
  <si>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</si>
  <si>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</si>
  <si>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</si>
  <si>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</si>
  <si>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</si>
  <si>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</si>
  <si>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</si>
  <si>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</si>
  <si>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</si>
  <si>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</si>
  <si>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</si>
  <si>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</si>
  <si>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</si>
  <si>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</si>
  <si>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</si>
  <si>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</si>
  <si>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</si>
  <si>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</si>
  <si>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</si>
  <si>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</si>
  <si>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</si>
  <si>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</si>
  <si>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</si>
  <si>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</si>
  <si>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</si>
  <si>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</si>
  <si>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</si>
  <si>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</si>
  <si>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</si>
  <si>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</si>
  <si>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</si>
  <si>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</si>
  <si>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</si>
  <si>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</si>
  <si>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</si>
  <si>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</si>
  <si>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</si>
  <si>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</si>
  <si>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</si>
  <si>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</si>
  <si>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</si>
  <si>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</si>
  <si>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</si>
  <si>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</si>
  <si>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</si>
  <si>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</si>
  <si>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</si>
  <si>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</si>
  <si>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</si>
  <si>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</si>
  <si>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</si>
  <si>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</si>
  <si>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</si>
  <si>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</si>
  <si>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</si>
  <si>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</si>
  <si>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</si>
  <si>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</si>
  <si>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</si>
  <si>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</si>
  <si>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</si>
  <si>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</si>
  <si>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</si>
  <si>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</si>
  <si>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</si>
  <si>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</si>
  <si>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</si>
  <si>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</si>
  <si>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</si>
  <si>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</si>
  <si>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</si>
  <si>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</si>
  <si>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</si>
  <si>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</si>
  <si>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</si>
  <si>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</si>
  <si>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</si>
  <si>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</si>
  <si>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</si>
  <si>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</si>
  <si>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</si>
  <si>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</si>
  <si>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</si>
  <si>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</si>
  <si>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</si>
  <si>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</si>
  <si>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</si>
  <si>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</si>
  <si>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</si>
  <si>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</si>
  <si>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</si>
  <si>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</si>
  <si>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</si>
  <si>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</si>
  <si>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</si>
  <si>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</si>
  <si>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</si>
  <si>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</si>
  <si>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</si>
  <si>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</si>
  <si>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</si>
  <si>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</si>
  <si>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</si>
  <si>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</si>
  <si>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</si>
  <si>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</si>
  <si>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</si>
  <si>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</si>
  <si>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</si>
  <si>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</si>
  <si>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</si>
  <si>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</si>
  <si>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</si>
  <si>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</si>
  <si>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</si>
  <si>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</si>
  <si>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</si>
  <si>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</si>
  <si>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</si>
  <si>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</si>
  <si>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</si>
  <si>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</si>
  <si>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</si>
  <si>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</si>
  <si>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</si>
  <si>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</si>
  <si>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</si>
  <si>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</si>
  <si>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</si>
  <si>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</si>
  <si>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</si>
  <si>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</si>
  <si>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</si>
  <si>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</si>
  <si>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</si>
  <si>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</si>
  <si>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</si>
  <si>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</si>
  <si>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</si>
  <si>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</si>
  <si>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</si>
  <si>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</si>
  <si>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</si>
  <si>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</si>
  <si>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</si>
  <si>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</si>
  <si>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</si>
  <si>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</si>
  <si>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</si>
  <si>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</si>
  <si>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</si>
  <si>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</si>
  <si>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</si>
  <si>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</si>
  <si>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</si>
  <si>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</si>
  <si>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</si>
  <si>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</si>
  <si>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</si>
  <si>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</si>
  <si>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</si>
  <si>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</si>
  <si>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</si>
  <si>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</si>
  <si>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</si>
  <si>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</si>
  <si>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</si>
  <si>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</si>
  <si>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</si>
  <si>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</si>
  <si>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</si>
  <si>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</si>
  <si>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</si>
  <si>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</si>
  <si>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</si>
  <si>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</si>
  <si>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</si>
  <si>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</si>
  <si>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</si>
  <si>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</si>
  <si>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</si>
  <si>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</si>
  <si>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</si>
  <si>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</si>
  <si>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</si>
  <si>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</si>
  <si>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</si>
  <si>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</si>
  <si>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</si>
  <si>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</si>
  <si>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</si>
  <si>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</si>
  <si>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</si>
  <si>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</si>
  <si>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</si>
  <si>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</si>
  <si>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</si>
  <si>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</si>
  <si>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</si>
  <si>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</si>
  <si>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</si>
  <si>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</si>
  <si>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</si>
  <si>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</si>
  <si>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</si>
  <si>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</si>
  <si>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</si>
  <si>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</si>
  <si>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</si>
  <si>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</si>
  <si>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</si>
  <si>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</si>
  <si>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</si>
  <si>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</si>
  <si>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</si>
  <si>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</si>
  <si>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</si>
  <si>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</si>
  <si>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</si>
  <si>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</si>
  <si>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</si>
  <si>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</si>
  <si>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</si>
  <si>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</si>
  <si>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</si>
  <si>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</si>
  <si>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</si>
  <si>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</si>
  <si>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</si>
  <si>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</si>
  <si>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</si>
  <si>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</si>
  <si>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</si>
  <si>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</si>
  <si>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</si>
  <si>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</si>
  <si>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</si>
  <si>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</si>
  <si>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</si>
  <si>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</si>
  <si>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</si>
  <si>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</si>
  <si>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</si>
  <si>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</si>
  <si>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</si>
  <si>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</si>
  <si>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</si>
  <si>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</si>
  <si>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</si>
  <si>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</si>
  <si>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</si>
  <si>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</si>
  <si>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</si>
  <si>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</si>
  <si>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</si>
  <si>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</si>
  <si>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</si>
  <si>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</si>
  <si>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</si>
  <si>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</si>
  <si>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</si>
  <si>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</si>
  <si>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</si>
  <si>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</si>
  <si>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</si>
  <si>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</si>
  <si>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</si>
  <si>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</si>
  <si>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</si>
  <si>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</si>
  <si>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</si>
  <si>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</si>
  <si>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</si>
  <si>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</si>
  <si>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</si>
  <si>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</si>
  <si>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</si>
  <si>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</si>
  <si>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</si>
  <si>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</si>
  <si>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</si>
  <si>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</si>
  <si>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</si>
  <si>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</si>
  <si>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</si>
  <si>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</si>
  <si>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</si>
  <si>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</si>
  <si>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</si>
  <si>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</si>
  <si>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</si>
  <si>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</si>
  <si>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</si>
  <si>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</si>
  <si>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</si>
  <si>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</si>
  <si>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</si>
  <si>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</si>
  <si>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</si>
  <si>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</si>
  <si>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</si>
  <si>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</si>
  <si>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</si>
  <si>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</si>
  <si>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</si>
  <si>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</si>
  <si>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</si>
  <si>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</si>
  <si>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</si>
  <si>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</si>
  <si>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</si>
  <si>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</si>
  <si>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</si>
  <si>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</si>
  <si>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</si>
  <si>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</si>
  <si>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</si>
  <si>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</si>
  <si>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</si>
  <si>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</si>
  <si>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</si>
  <si>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</si>
  <si>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</si>
  <si>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</si>
  <si>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</si>
  <si>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</si>
  <si>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</si>
  <si>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</si>
  <si>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</si>
  <si>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</si>
  <si>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</si>
  <si>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</si>
  <si>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</si>
  <si>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</si>
  <si>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</si>
  <si>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</si>
  <si>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</si>
  <si>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</si>
  <si>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</si>
  <si>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</si>
  <si>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</si>
  <si>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</si>
  <si>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</si>
  <si>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</si>
  <si>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</si>
  <si>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</si>
  <si>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</si>
  <si>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</si>
  <si>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</si>
  <si>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</si>
  <si>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</si>
  <si>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</si>
  <si>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</si>
  <si>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</si>
  <si>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</si>
  <si>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</si>
  <si>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</si>
  <si>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</si>
  <si>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</si>
  <si>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</si>
  <si>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</si>
  <si>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</si>
  <si>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</si>
  <si>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</si>
  <si>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</si>
  <si>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</si>
  <si>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</si>
  <si>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</si>
  <si>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</si>
  <si>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</si>
  <si>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</si>
  <si>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</si>
  <si>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</si>
  <si>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</si>
  <si>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</si>
  <si>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</si>
  <si>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</si>
  <si>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</si>
  <si>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</si>
  <si>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</si>
  <si>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</si>
  <si>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</si>
  <si>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</si>
  <si>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</si>
  <si>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</si>
  <si>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</si>
  <si>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</si>
  <si>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</si>
  <si>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</si>
  <si>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</si>
  <si>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</si>
  <si>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</si>
  <si>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</si>
  <si>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</si>
  <si>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</si>
  <si>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</si>
  <si>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</si>
  <si>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</si>
  <si>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</si>
  <si>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</si>
  <si>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</si>
  <si>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</si>
  <si>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</si>
  <si>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</si>
  <si>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</si>
  <si>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</si>
  <si>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</si>
  <si>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</si>
  <si>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</si>
  <si>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</si>
  <si>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</si>
  <si>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</si>
  <si>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</si>
  <si>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</si>
  <si>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</si>
  <si>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</si>
  <si>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</si>
  <si>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</si>
  <si>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</si>
  <si>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</si>
  <si>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</si>
  <si>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</si>
  <si>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</si>
  <si>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</si>
  <si>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</si>
  <si>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</si>
  <si>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</si>
  <si>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</si>
  <si>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</si>
  <si>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</si>
  <si>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</si>
  <si>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</si>
  <si>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</si>
  <si>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</si>
  <si>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</si>
  <si>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</si>
  <si>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</si>
  <si>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</si>
  <si>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</si>
  <si>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</si>
  <si>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</si>
  <si>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</si>
  <si>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</si>
  <si>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</si>
  <si>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</si>
  <si>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</si>
  <si>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</si>
  <si>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</si>
  <si>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</si>
  <si>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</si>
  <si>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</si>
  <si>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</si>
  <si>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</si>
  <si>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</si>
  <si>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</si>
  <si>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</si>
  <si>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</si>
  <si>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</si>
  <si>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</si>
  <si>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</si>
  <si>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</si>
  <si>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</si>
  <si>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</si>
  <si>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</si>
  <si>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</si>
  <si>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</si>
  <si>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</si>
  <si>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</si>
  <si>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</si>
  <si>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</si>
  <si>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</si>
  <si>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</si>
  <si>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</si>
  <si>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</si>
  <si>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</si>
  <si>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</si>
  <si>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</si>
  <si>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</si>
  <si>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</si>
  <si>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</si>
  <si>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</si>
  <si>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</si>
  <si>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</si>
  <si>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</si>
  <si>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</si>
  <si>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</si>
  <si>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</si>
  <si>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</si>
  <si>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</si>
  <si>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</si>
  <si>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</si>
  <si>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</si>
  <si>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</si>
  <si>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</si>
  <si>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</si>
  <si>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</si>
  <si>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</si>
  <si>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</si>
  <si>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</si>
  <si>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</si>
  <si>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</si>
  <si>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</si>
  <si>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</si>
  <si>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</si>
  <si>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</si>
  <si>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</si>
  <si>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</si>
  <si>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</si>
  <si>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</si>
  <si>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</si>
  <si>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</si>
  <si>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</si>
  <si>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</si>
  <si>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</si>
  <si>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</si>
  <si>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</si>
  <si>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</si>
  <si>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</si>
  <si>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</si>
  <si>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</si>
  <si>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</si>
  <si>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</si>
  <si>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</si>
  <si>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</si>
  <si>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</si>
  <si>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</si>
  <si>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</si>
  <si>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</si>
  <si>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</si>
  <si>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</si>
  <si>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</si>
  <si>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</si>
  <si>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</si>
  <si>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</si>
  <si>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</si>
  <si>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</si>
  <si>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</si>
  <si>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</si>
  <si>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</si>
  <si>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</si>
  <si>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</si>
  <si>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</si>
  <si>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</si>
  <si>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</si>
  <si>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</si>
  <si>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</si>
  <si>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</si>
  <si>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</si>
  <si>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</si>
  <si>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</si>
  <si>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</si>
  <si>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</si>
  <si>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</si>
  <si>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</si>
  <si>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</si>
  <si>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</si>
  <si>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</si>
  <si>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</si>
  <si>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</si>
  <si>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</si>
  <si>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</si>
  <si>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</si>
  <si>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</si>
  <si>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</si>
  <si>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</si>
  <si>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</si>
  <si>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</si>
  <si>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</si>
  <si>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</si>
  <si>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</si>
  <si>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</si>
  <si>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</si>
  <si>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</si>
  <si>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</si>
  <si>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</si>
  <si>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</si>
  <si>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</si>
  <si>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</si>
  <si>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</si>
  <si>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</si>
  <si>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</si>
  <si>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</si>
  <si>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</si>
  <si>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</si>
  <si>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</si>
  <si>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</si>
  <si>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</si>
  <si>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</si>
  <si>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</si>
  <si>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</si>
  <si>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</si>
  <si>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</si>
  <si>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</si>
  <si>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</si>
  <si>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</si>
  <si>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</si>
  <si>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</si>
  <si>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</si>
  <si>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</si>
  <si>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</si>
  <si>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</si>
  <si>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</si>
  <si>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</si>
  <si>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</si>
  <si>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</si>
  <si>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</si>
  <si>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</si>
  <si>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</si>
  <si>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</si>
  <si>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</si>
  <si>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</si>
  <si>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</si>
  <si>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</si>
  <si>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</si>
  <si>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</si>
  <si>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</si>
  <si>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</si>
  <si>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</si>
  <si>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</si>
  <si>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</si>
  <si>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</si>
  <si>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</si>
  <si>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</si>
  <si>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</si>
  <si>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</si>
  <si>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</si>
  <si>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</si>
  <si>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</si>
  <si>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</si>
  <si>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</si>
  <si>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</si>
  <si>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</si>
  <si>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</si>
  <si>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</si>
  <si>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</si>
  <si>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</si>
  <si>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</si>
  <si>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</si>
  <si>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</si>
  <si>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</si>
  <si>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</si>
  <si>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</si>
  <si>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</si>
  <si>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</si>
  <si>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</si>
  <si>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</si>
  <si>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</si>
  <si>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</si>
  <si>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</si>
  <si>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</si>
  <si>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</si>
  <si>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</si>
  <si>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</si>
  <si>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</si>
  <si>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</si>
  <si>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</si>
  <si>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</si>
  <si>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</si>
  <si>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</si>
  <si>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</si>
  <si>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</si>
  <si>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</si>
  <si>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</si>
  <si>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</si>
  <si>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</si>
  <si>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</si>
  <si>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</si>
  <si>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</si>
  <si>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</si>
  <si>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</si>
  <si>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</si>
  <si>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</si>
  <si>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</si>
  <si>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</si>
  <si>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</si>
  <si>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</si>
  <si>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</si>
  <si>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</si>
  <si>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</si>
  <si>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</si>
  <si>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</si>
  <si>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</si>
  <si>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</si>
  <si>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</si>
  <si>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</si>
  <si>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</si>
  <si>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</si>
  <si>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</si>
  <si>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</si>
  <si>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</si>
  <si>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</si>
  <si>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</si>
  <si>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</si>
  <si>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</si>
  <si>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</si>
  <si>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</si>
  <si>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</si>
  <si>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</si>
  <si>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</si>
  <si>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</si>
  <si>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</si>
  <si>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</si>
  <si>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</si>
  <si>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</si>
  <si>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</si>
  <si>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</si>
  <si>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</si>
  <si>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</si>
  <si>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</si>
  <si>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</si>
  <si>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</si>
  <si>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</si>
  <si>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</si>
  <si>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</si>
  <si>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</si>
  <si>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</si>
  <si>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</si>
  <si>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</si>
  <si>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</si>
  <si>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</si>
  <si>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</si>
  <si>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</si>
  <si>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</si>
  <si>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</si>
  <si>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</si>
  <si>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</si>
  <si>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</si>
  <si>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</si>
  <si>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</si>
  <si>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</si>
  <si>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</si>
  <si>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</si>
  <si>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</si>
  <si>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</si>
  <si>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</si>
  <si>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</si>
  <si>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</si>
  <si>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</si>
  <si>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</si>
  <si>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</si>
  <si>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</si>
  <si>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</si>
  <si>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</si>
  <si>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</si>
  <si>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</si>
  <si>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</si>
  <si>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</si>
  <si>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</si>
  <si>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</si>
  <si>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</si>
  <si>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</si>
  <si>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</si>
  <si>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</si>
  <si>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</si>
  <si>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</si>
  <si>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</si>
  <si>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</si>
  <si>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</si>
  <si>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</si>
  <si>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</si>
  <si>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</si>
  <si>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</si>
  <si>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</si>
  <si>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</si>
  <si>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</si>
  <si>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</si>
  <si>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</si>
  <si>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</si>
  <si>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</si>
  <si>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</si>
  <si>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</si>
  <si>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</si>
  <si>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</si>
  <si>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</si>
  <si>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</si>
  <si>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</si>
  <si>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</si>
  <si>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</si>
  <si>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</si>
  <si>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</si>
  <si>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</si>
  <si>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</si>
  <si>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</si>
  <si>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</si>
  <si>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</si>
  <si>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</si>
  <si>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</si>
  <si>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</si>
  <si>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</si>
  <si>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</si>
  <si>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</si>
  <si>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</si>
  <si>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</si>
  <si>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</si>
  <si>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</si>
  <si>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</si>
  <si>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</si>
  <si>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</si>
  <si>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</si>
  <si>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</si>
  <si>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</si>
  <si>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</si>
  <si>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</si>
  <si>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</si>
  <si>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</si>
  <si>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</si>
  <si>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</si>
  <si>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</si>
  <si>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</si>
  <si>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</si>
  <si>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</si>
  <si>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</si>
  <si>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</si>
  <si>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</si>
  <si>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</si>
  <si>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</si>
  <si>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</si>
  <si>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</si>
  <si>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</si>
  <si>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</si>
  <si>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</si>
  <si>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</si>
  <si>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</si>
  <si>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</si>
  <si>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</si>
  <si>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</si>
  <si>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</si>
  <si>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</si>
  <si>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</si>
  <si>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</si>
  <si>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</si>
  <si>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</si>
  <si>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</si>
  <si>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</si>
  <si>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</si>
  <si>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</si>
  <si>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</si>
  <si>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</si>
  <si>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</si>
  <si>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</si>
  <si>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</si>
  <si>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</si>
  <si>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</si>
  <si>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</si>
  <si>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</si>
  <si>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</si>
  <si>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</si>
  <si>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</si>
  <si>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</si>
  <si>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</si>
  <si>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</si>
  <si>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</si>
  <si>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</si>
  <si>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</si>
  <si>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</si>
  <si>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</si>
  <si>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</si>
  <si>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</si>
  <si>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</si>
  <si>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</si>
  <si>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</si>
  <si>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</si>
  <si>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</si>
  <si>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</si>
  <si>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</si>
  <si>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</si>
  <si>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</si>
  <si>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</si>
  <si>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</si>
  <si>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</si>
  <si>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</si>
  <si>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</si>
  <si>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</si>
  <si>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</si>
  <si>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</si>
  <si>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</si>
  <si>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</si>
  <si>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</si>
  <si>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</si>
  <si>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</si>
  <si>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</si>
  <si>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</si>
  <si>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</si>
  <si>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</si>
  <si>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</si>
  <si>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</si>
  <si>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</si>
  <si>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</si>
  <si>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</si>
  <si>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</si>
  <si>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</si>
  <si>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</si>
  <si>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</si>
  <si>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</si>
  <si>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</si>
  <si>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</si>
  <si>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</si>
  <si>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</si>
  <si>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</si>
  <si>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</si>
  <si>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</si>
  <si>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</si>
  <si>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</si>
  <si>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</si>
  <si>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</si>
  <si>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</si>
  <si>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</si>
  <si>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</si>
  <si>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</si>
  <si>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</si>
  <si>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</si>
  <si>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</si>
  <si>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</si>
  <si>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</si>
  <si>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</si>
  <si>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</si>
  <si>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</si>
  <si>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</si>
  <si>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</si>
  <si>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</si>
  <si>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</si>
  <si>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</si>
  <si>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</si>
  <si>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</si>
  <si>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</si>
  <si>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</si>
  <si>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</si>
  <si>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</si>
  <si>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</si>
  <si>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</si>
  <si>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</si>
  <si>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</si>
  <si>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</si>
  <si>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</si>
  <si>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</si>
  <si>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</si>
  <si>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</si>
  <si>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</si>
  <si>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</si>
  <si>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</si>
  <si>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</si>
  <si>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</si>
  <si>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</si>
  <si>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</si>
  <si>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</si>
  <si>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</si>
  <si>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</si>
  <si>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</si>
  <si>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</si>
  <si>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</si>
  <si>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</si>
  <si>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</si>
  <si>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</si>
  <si>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</si>
  <si>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</si>
  <si>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</si>
  <si>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</si>
  <si>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</si>
  <si>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</si>
  <si>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</si>
  <si>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</si>
  <si>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</si>
  <si>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</si>
  <si>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</si>
  <si>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</si>
  <si>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</si>
  <si>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</si>
  <si>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</si>
  <si>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</si>
  <si>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</si>
  <si>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</si>
  <si>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</si>
  <si>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</si>
  <si>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</si>
  <si>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</si>
  <si>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</si>
  <si>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</si>
  <si>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</si>
  <si>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</si>
  <si>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</si>
  <si>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</si>
  <si>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</si>
  <si>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</si>
  <si>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</si>
  <si>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</si>
  <si>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</si>
  <si>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</si>
  <si>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</si>
  <si>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</si>
  <si>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</si>
  <si>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</si>
  <si>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</si>
  <si>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</si>
  <si>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</si>
  <si>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</si>
  <si>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</si>
  <si>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</si>
  <si>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</si>
  <si>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</si>
  <si>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</si>
  <si>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</si>
  <si>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</si>
  <si>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</si>
  <si>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</si>
  <si>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</si>
  <si>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</si>
  <si>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</si>
  <si>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</si>
  <si>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</si>
  <si>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</si>
  <si>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</si>
  <si>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</si>
  <si>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</si>
  <si>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</si>
  <si>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</si>
  <si>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</si>
  <si>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</si>
  <si>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</si>
  <si>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</si>
  <si>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</si>
  <si>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</si>
  <si>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</si>
  <si>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</si>
  <si>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</si>
  <si>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</si>
  <si>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</si>
  <si>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</si>
  <si>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</si>
  <si>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</si>
  <si>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</si>
  <si>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</si>
  <si>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</si>
  <si>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</si>
  <si>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</si>
  <si>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</si>
  <si>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</si>
  <si>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</si>
  <si>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</si>
  <si>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</si>
  <si>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</si>
  <si>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</si>
  <si>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</si>
  <si>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</si>
  <si>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</si>
  <si>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</si>
  <si>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</si>
  <si>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</si>
  <si>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</si>
  <si>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</si>
  <si>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</si>
  <si>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</si>
  <si>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</si>
  <si>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</si>
  <si>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</si>
  <si>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</si>
  <si>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</si>
  <si>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</si>
  <si>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</si>
  <si>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</si>
  <si>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</si>
  <si>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</si>
  <si>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</si>
  <si>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</si>
  <si>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</si>
  <si>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</si>
  <si>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</si>
  <si>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</si>
  <si>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</si>
  <si>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</si>
  <si>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</si>
  <si>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</si>
  <si>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</si>
  <si>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</si>
  <si>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</si>
  <si>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</si>
  <si>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</si>
  <si>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</si>
  <si>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</si>
  <si>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</si>
  <si>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</si>
  <si>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</si>
  <si>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</si>
  <si>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</si>
  <si>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</si>
  <si>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</si>
  <si>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</si>
  <si>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</si>
  <si>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</si>
  <si>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</si>
  <si>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</si>
  <si>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</si>
  <si>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</si>
  <si>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</si>
  <si>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</si>
  <si>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</si>
  <si>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</si>
  <si>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</si>
  <si>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</si>
  <si>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</si>
  <si>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</si>
  <si>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</si>
  <si>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</si>
  <si>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</si>
  <si>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</si>
  <si>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</si>
  <si>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</si>
  <si>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</si>
  <si>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</si>
  <si>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</si>
  <si>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</si>
  <si>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</si>
  <si>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</si>
  <si>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</si>
  <si>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</si>
  <si>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</si>
  <si>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</si>
  <si>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</si>
  <si>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</si>
  <si>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</si>
  <si>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</si>
  <si>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</si>
  <si>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</si>
  <si>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</si>
  <si>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综合</t>
  </si>
  <si>
    <t>北京市</t>
  </si>
  <si>
    <t>企业</t>
  </si>
  <si>
    <t>抵押</t>
  </si>
  <si>
    <t>房地产抵押价值</t>
  </si>
  <si>
    <t>是</t>
  </si>
  <si>
    <t>地上</t>
  </si>
  <si>
    <t>地下</t>
  </si>
  <si>
    <t>综合</t>
    <phoneticPr fontId="7" type="noConversion"/>
  </si>
  <si>
    <t>成新度</t>
  </si>
  <si>
    <t>收益法</t>
  </si>
  <si>
    <t>商务金融用地</t>
  </si>
  <si>
    <t>不临65条商业街</t>
  </si>
  <si>
    <t>押一</t>
  </si>
  <si>
    <t>钢混</t>
  </si>
  <si>
    <t>非生产用房</t>
  </si>
  <si>
    <t>否</t>
  </si>
  <si>
    <t>现房</t>
  </si>
  <si>
    <t>项目局部</t>
  </si>
  <si>
    <t>成本法</t>
  </si>
  <si>
    <t>总价</t>
  </si>
  <si>
    <t>成本比率</t>
  </si>
  <si>
    <t>建安取值</t>
  </si>
  <si>
    <t>建筑面积</t>
  </si>
  <si>
    <t>单方建安</t>
  </si>
  <si>
    <t>合计</t>
  </si>
  <si>
    <t>工程进度</t>
  </si>
  <si>
    <t>主体</t>
  </si>
  <si>
    <t>装修</t>
  </si>
  <si>
    <t>设备</t>
  </si>
  <si>
    <t>人防</t>
  </si>
  <si>
    <t>综合平均</t>
  </si>
  <si>
    <t>建成年代</t>
  </si>
  <si>
    <t>砖混</t>
  </si>
  <si>
    <t>残值率</t>
  </si>
  <si>
    <t>直线折旧</t>
  </si>
  <si>
    <t>观察成新</t>
  </si>
  <si>
    <t>通路</t>
  </si>
  <si>
    <t>通电</t>
  </si>
  <si>
    <t>通讯</t>
  </si>
  <si>
    <t>通上水</t>
  </si>
  <si>
    <t>通下水</t>
  </si>
  <si>
    <t>燃气</t>
  </si>
  <si>
    <t>平整</t>
  </si>
  <si>
    <t>较好</t>
  </si>
  <si>
    <t>一般</t>
  </si>
  <si>
    <t>未包含在土地购买价格中</t>
  </si>
  <si>
    <t>全部缴纳</t>
  </si>
  <si>
    <t>已包含在土地取得成本中</t>
  </si>
  <si>
    <t>自定义容积率</t>
  </si>
  <si>
    <t>好</t>
  </si>
  <si>
    <t>与级别开发程度一致</t>
  </si>
  <si>
    <t>土地证</t>
    <phoneticPr fontId="134" type="noConversion"/>
  </si>
  <si>
    <t>用途</t>
    <phoneticPr fontId="134" type="noConversion"/>
  </si>
  <si>
    <t>综合、地下车库</t>
    <phoneticPr fontId="134" type="noConversion"/>
  </si>
  <si>
    <t>终止日期</t>
    <phoneticPr fontId="134" type="noConversion"/>
  </si>
  <si>
    <t>使用权面积</t>
    <phoneticPr fontId="134" type="noConversion"/>
  </si>
  <si>
    <t>房产证</t>
    <phoneticPr fontId="134" type="noConversion"/>
  </si>
  <si>
    <t>综合楼</t>
    <phoneticPr fontId="134" type="noConversion"/>
  </si>
  <si>
    <t>建筑面积</t>
    <phoneticPr fontId="134" type="noConversion"/>
  </si>
  <si>
    <t>楼层</t>
    <phoneticPr fontId="134" type="noConversion"/>
  </si>
  <si>
    <t>房号</t>
    <phoneticPr fontId="134" type="noConversion"/>
  </si>
  <si>
    <t>序号</t>
    <phoneticPr fontId="134" type="noConversion"/>
  </si>
  <si>
    <r>
      <t>-</t>
    </r>
    <r>
      <rPr>
        <sz val="11"/>
        <color theme="1"/>
        <rFont val="宋体"/>
        <family val="3"/>
        <charset val="134"/>
        <scheme val="minor"/>
      </rPr>
      <t>3层</t>
    </r>
    <phoneticPr fontId="134" type="noConversion"/>
  </si>
  <si>
    <r>
      <t>-</t>
    </r>
    <r>
      <rPr>
        <sz val="11"/>
        <color theme="1"/>
        <rFont val="宋体"/>
        <family val="3"/>
        <charset val="134"/>
        <scheme val="minor"/>
      </rPr>
      <t>2层</t>
    </r>
    <phoneticPr fontId="134" type="noConversion"/>
  </si>
  <si>
    <r>
      <t>-</t>
    </r>
    <r>
      <rPr>
        <sz val="11"/>
        <color theme="1"/>
        <rFont val="宋体"/>
        <family val="3"/>
        <charset val="134"/>
        <scheme val="minor"/>
      </rPr>
      <t>1层</t>
    </r>
    <phoneticPr fontId="134" type="noConversion"/>
  </si>
  <si>
    <t>1层（01）</t>
    <phoneticPr fontId="134" type="noConversion"/>
  </si>
  <si>
    <t>2层（02）</t>
    <phoneticPr fontId="134" type="noConversion"/>
  </si>
  <si>
    <t>3层（03）</t>
    <phoneticPr fontId="134" type="noConversion"/>
  </si>
  <si>
    <t>5层（04）</t>
    <phoneticPr fontId="134" type="noConversion"/>
  </si>
  <si>
    <t>6层（05）</t>
    <phoneticPr fontId="134" type="noConversion"/>
  </si>
  <si>
    <t>7层（06）</t>
    <phoneticPr fontId="134" type="noConversion"/>
  </si>
  <si>
    <t>8层（07）</t>
    <phoneticPr fontId="134" type="noConversion"/>
  </si>
  <si>
    <t>9层（08）</t>
    <phoneticPr fontId="134" type="noConversion"/>
  </si>
  <si>
    <t>10层（09）</t>
    <phoneticPr fontId="134" type="noConversion"/>
  </si>
  <si>
    <t>11层（10）</t>
    <phoneticPr fontId="134" type="noConversion"/>
  </si>
  <si>
    <t>12层（11）</t>
    <phoneticPr fontId="134" type="noConversion"/>
  </si>
  <si>
    <t>15层（12）</t>
    <phoneticPr fontId="134" type="noConversion"/>
  </si>
  <si>
    <t>16层（13）</t>
    <phoneticPr fontId="134" type="noConversion"/>
  </si>
  <si>
    <t>17层（14）</t>
    <phoneticPr fontId="134" type="noConversion"/>
  </si>
  <si>
    <t>18层（15）</t>
    <phoneticPr fontId="134" type="noConversion"/>
  </si>
  <si>
    <t>19层（16）</t>
    <phoneticPr fontId="134" type="noConversion"/>
  </si>
  <si>
    <t>20层（17）</t>
    <phoneticPr fontId="134" type="noConversion"/>
  </si>
  <si>
    <t>综合楼</t>
    <phoneticPr fontId="134" type="noConversion"/>
  </si>
  <si>
    <r>
      <t>1</t>
    </r>
    <r>
      <rPr>
        <sz val="11"/>
        <color theme="1"/>
        <rFont val="宋体"/>
        <family val="3"/>
        <charset val="134"/>
        <scheme val="minor"/>
      </rPr>
      <t>7（-3）</t>
    </r>
    <phoneticPr fontId="134" type="noConversion"/>
  </si>
  <si>
    <t>20-30%</t>
  </si>
  <si>
    <t>10-20%</t>
  </si>
  <si>
    <t>0-10%</t>
  </si>
  <si>
    <r>
      <rPr>
        <sz val="11"/>
        <color indexed="8"/>
        <rFont val="宋体"/>
        <family val="3"/>
        <charset val="134"/>
      </rPr>
      <t>差</t>
    </r>
  </si>
  <si>
    <r>
      <rPr>
        <sz val="11"/>
        <color indexed="8"/>
        <rFont val="宋体"/>
        <family val="3"/>
        <charset val="134"/>
      </rPr>
      <t>较差</t>
    </r>
  </si>
  <si>
    <r>
      <rPr>
        <sz val="11"/>
        <color indexed="8"/>
        <rFont val="宋体"/>
        <family val="3"/>
        <charset val="134"/>
      </rPr>
      <t>一般</t>
    </r>
  </si>
  <si>
    <r>
      <rPr>
        <sz val="11"/>
        <color indexed="8"/>
        <rFont val="宋体"/>
        <family val="3"/>
        <charset val="134"/>
      </rPr>
      <t>较好</t>
    </r>
  </si>
  <si>
    <r>
      <rPr>
        <sz val="11"/>
        <color indexed="8"/>
        <rFont val="宋体"/>
        <family val="3"/>
        <charset val="134"/>
      </rPr>
      <t>好</t>
    </r>
  </si>
  <si>
    <t>精装修</t>
  </si>
  <si>
    <r>
      <rPr>
        <sz val="11"/>
        <color indexed="8"/>
        <rFont val="宋体"/>
        <family val="3"/>
        <charset val="134"/>
      </rPr>
      <t>进深比</t>
    </r>
  </si>
  <si>
    <r>
      <rPr>
        <sz val="11"/>
        <color indexed="8"/>
        <rFont val="宋体"/>
        <family val="3"/>
        <charset val="134"/>
      </rPr>
      <t>单套建筑面积</t>
    </r>
  </si>
  <si>
    <r>
      <rPr>
        <sz val="11"/>
        <color indexed="8"/>
        <rFont val="宋体"/>
        <family val="3"/>
        <charset val="134"/>
      </rPr>
      <t>层高</t>
    </r>
  </si>
  <si>
    <t>酒店</t>
  </si>
  <si>
    <r>
      <rPr>
        <sz val="11"/>
        <color indexed="8"/>
        <rFont val="宋体"/>
        <family val="3"/>
        <charset val="134"/>
      </rPr>
      <t>业态</t>
    </r>
  </si>
  <si>
    <t>五通</t>
  </si>
  <si>
    <t>六通</t>
  </si>
  <si>
    <r>
      <rPr>
        <sz val="11"/>
        <color indexed="8"/>
        <rFont val="宋体"/>
        <family val="3"/>
        <charset val="134"/>
      </rPr>
      <t>市政基础设施</t>
    </r>
  </si>
  <si>
    <r>
      <rPr>
        <sz val="11"/>
        <color indexed="8"/>
        <rFont val="宋体"/>
        <family val="3"/>
        <charset val="134"/>
      </rPr>
      <t>商业类型</t>
    </r>
  </si>
  <si>
    <r>
      <rPr>
        <b/>
        <sz val="11"/>
        <rFont val="宋体"/>
        <family val="3"/>
        <charset val="134"/>
      </rPr>
      <t>实物状况</t>
    </r>
  </si>
  <si>
    <t>中高端消费人群</t>
  </si>
  <si>
    <t>高端消费人群</t>
  </si>
  <si>
    <r>
      <rPr>
        <sz val="11"/>
        <color indexed="8"/>
        <rFont val="宋体"/>
        <family val="3"/>
        <charset val="134"/>
      </rPr>
      <t>临街状况</t>
    </r>
  </si>
  <si>
    <r>
      <rPr>
        <sz val="11"/>
        <rFont val="宋体"/>
        <family val="3"/>
        <charset val="134"/>
      </rPr>
      <t>三通</t>
    </r>
  </si>
  <si>
    <r>
      <rPr>
        <sz val="11"/>
        <rFont val="宋体"/>
        <family val="3"/>
        <charset val="134"/>
      </rPr>
      <t>四通</t>
    </r>
  </si>
  <si>
    <r>
      <rPr>
        <sz val="11"/>
        <rFont val="宋体"/>
        <family val="3"/>
        <charset val="134"/>
      </rPr>
      <t>五通</t>
    </r>
  </si>
  <si>
    <r>
      <rPr>
        <sz val="11"/>
        <rFont val="宋体"/>
        <family val="3"/>
        <charset val="134"/>
      </rPr>
      <t>六通</t>
    </r>
  </si>
  <si>
    <r>
      <rPr>
        <sz val="11"/>
        <rFont val="宋体"/>
        <family val="3"/>
        <charset val="134"/>
      </rPr>
      <t>七通</t>
    </r>
  </si>
  <si>
    <r>
      <rPr>
        <sz val="11"/>
        <color indexed="8"/>
        <rFont val="宋体"/>
        <family val="3"/>
        <charset val="134"/>
      </rPr>
      <t>基础设施水平</t>
    </r>
  </si>
  <si>
    <r>
      <rPr>
        <sz val="11"/>
        <color indexed="8"/>
        <rFont val="宋体"/>
        <family val="3"/>
        <charset val="134"/>
      </rPr>
      <t>公共配套设施</t>
    </r>
  </si>
  <si>
    <r>
      <rPr>
        <b/>
        <sz val="11"/>
        <rFont val="宋体"/>
        <family val="3"/>
        <charset val="134"/>
      </rPr>
      <t>区位状况</t>
    </r>
  </si>
  <si>
    <r>
      <rPr>
        <sz val="11"/>
        <color indexed="8"/>
        <rFont val="宋体"/>
        <family val="3"/>
        <charset val="134"/>
      </rPr>
      <t>容积率</t>
    </r>
  </si>
  <si>
    <t>10-20</t>
  </si>
  <si>
    <t>20-30</t>
  </si>
  <si>
    <t>30-40</t>
  </si>
  <si>
    <r>
      <rPr>
        <sz val="11"/>
        <color indexed="8"/>
        <rFont val="宋体"/>
        <family val="3"/>
        <charset val="134"/>
      </rPr>
      <t>土地使用年限（年）</t>
    </r>
  </si>
  <si>
    <r>
      <rPr>
        <sz val="11"/>
        <color indexed="8"/>
        <rFont val="宋体"/>
        <family val="3"/>
        <charset val="134"/>
      </rPr>
      <t>用途</t>
    </r>
  </si>
  <si>
    <r>
      <rPr>
        <b/>
        <sz val="11"/>
        <rFont val="宋体"/>
        <family val="3"/>
        <charset val="134"/>
      </rPr>
      <t>权益状况</t>
    </r>
  </si>
  <si>
    <r>
      <rPr>
        <b/>
        <sz val="11"/>
        <color indexed="8"/>
        <rFont val="宋体"/>
        <family val="3"/>
        <charset val="134"/>
      </rPr>
      <t>交易情况</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</si>
  <si>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</si>
  <si>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color indexed="8"/>
        <rFont val="宋体"/>
        <family val="3"/>
        <charset val="134"/>
      </rPr>
      <t>交易时间</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</si>
  <si>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</si>
  <si>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rFont val="宋体"/>
        <family val="3"/>
        <charset val="134"/>
      </rPr>
      <t>各案例间不超过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</si>
  <si>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</si>
  <si>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总修正幅度不超过</t>
    </r>
    <r>
      <rPr>
        <b/>
        <sz val="11"/>
        <color indexed="10"/>
        <rFont val="Arial"/>
        <family val="2"/>
      </rPr>
      <t>30%</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</si>
  <si>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</si>
  <si>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</si>
  <si>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成交单价（元</t>
    </r>
    <r>
      <rPr>
        <b/>
        <sz val="11"/>
        <rFont val="Arial"/>
        <family val="2"/>
      </rPr>
      <t>/</t>
    </r>
    <r>
      <rPr>
        <b/>
        <sz val="11"/>
        <rFont val="宋体"/>
        <family val="3"/>
        <charset val="134"/>
      </rPr>
      <t>平方米）</t>
    </r>
  </si>
  <si>
    <t>100/</t>
  </si>
  <si>
    <t>地下占比</t>
  </si>
  <si>
    <r>
      <rPr>
        <sz val="11"/>
        <rFont val="宋体"/>
        <family val="3"/>
        <charset val="134"/>
      </rPr>
      <t>进深比</t>
    </r>
  </si>
  <si>
    <r>
      <rPr>
        <sz val="11"/>
        <rFont val="宋体"/>
        <family val="3"/>
        <charset val="134"/>
      </rPr>
      <t>实物状况</t>
    </r>
  </si>
  <si>
    <t>消费人群</t>
  </si>
  <si>
    <r>
      <rPr>
        <sz val="11"/>
        <color indexed="8"/>
        <rFont val="宋体"/>
        <family val="3"/>
        <charset val="134"/>
      </rPr>
      <t>楼层</t>
    </r>
  </si>
  <si>
    <r>
      <rPr>
        <sz val="11"/>
        <color indexed="8"/>
        <rFont val="宋体"/>
        <family val="3"/>
        <charset val="134"/>
      </rPr>
      <t>人流量</t>
    </r>
  </si>
  <si>
    <r>
      <rPr>
        <sz val="11"/>
        <color indexed="8"/>
        <rFont val="宋体"/>
        <family val="3"/>
        <charset val="134"/>
      </rPr>
      <t>平面位置</t>
    </r>
    <r>
      <rPr>
        <sz val="11"/>
        <color indexed="8"/>
        <rFont val="Arial"/>
        <family val="2"/>
      </rPr>
      <t>/</t>
    </r>
    <r>
      <rPr>
        <sz val="11"/>
        <color indexed="8"/>
        <rFont val="宋体"/>
        <family val="3"/>
        <charset val="134"/>
      </rPr>
      <t>可视性</t>
    </r>
  </si>
  <si>
    <t>七通</t>
  </si>
  <si>
    <r>
      <rPr>
        <sz val="11"/>
        <rFont val="宋体"/>
        <family val="3"/>
        <charset val="134"/>
      </rPr>
      <t>区位状况</t>
    </r>
  </si>
  <si>
    <r>
      <rPr>
        <sz val="11"/>
        <color indexed="8"/>
        <rFont val="宋体"/>
        <family val="3"/>
        <charset val="134"/>
      </rPr>
      <t>商业繁华度</t>
    </r>
  </si>
  <si>
    <r>
      <rPr>
        <sz val="11"/>
        <color indexed="8"/>
        <rFont val="宋体"/>
        <family val="3"/>
        <charset val="134"/>
      </rPr>
      <t>权益状况</t>
    </r>
  </si>
  <si>
    <r>
      <rPr>
        <sz val="11"/>
        <rFont val="宋体"/>
        <family val="3"/>
        <charset val="134"/>
      </rPr>
      <t>权益状况</t>
    </r>
  </si>
  <si>
    <r>
      <rPr>
        <b/>
        <sz val="11"/>
        <color indexed="8"/>
        <rFont val="宋体"/>
        <family val="3"/>
        <charset val="134"/>
      </rPr>
      <t>权益状况</t>
    </r>
  </si>
  <si>
    <r>
      <rPr>
        <sz val="11"/>
        <color indexed="8"/>
        <rFont val="宋体"/>
        <family val="3"/>
        <charset val="134"/>
      </rPr>
      <t>交易情况</t>
    </r>
  </si>
  <si>
    <t>正常</t>
  </si>
  <si>
    <r>
      <rPr>
        <sz val="11"/>
        <color indexed="8"/>
        <rFont val="宋体"/>
        <family val="3"/>
        <charset val="134"/>
      </rPr>
      <t>交易时间</t>
    </r>
  </si>
  <si>
    <r>
      <rPr>
        <sz val="11"/>
        <color indexed="8"/>
        <rFont val="宋体"/>
        <family val="3"/>
        <charset val="134"/>
      </rPr>
      <t>系数</t>
    </r>
    <r>
      <rPr>
        <sz val="11"/>
        <color indexed="8"/>
        <rFont val="Arial"/>
        <family val="2"/>
      </rPr>
      <t>%</t>
    </r>
  </si>
  <si>
    <r>
      <rPr>
        <sz val="11"/>
        <color theme="9" tint="-0.249977111117893"/>
        <rFont val="宋体"/>
        <family val="3"/>
        <charset val="134"/>
      </rPr>
      <t>项目位置</t>
    </r>
  </si>
  <si>
    <t>大地花园酒店</t>
    <phoneticPr fontId="134" type="noConversion"/>
  </si>
  <si>
    <r>
      <rPr>
        <sz val="11"/>
        <color theme="9" tint="-0.249977111117893"/>
        <rFont val="宋体"/>
        <family val="3"/>
        <charset val="134"/>
      </rPr>
      <t>三元</t>
    </r>
    <r>
      <rPr>
        <sz val="11"/>
        <color theme="9" tint="-0.249977111117893"/>
        <rFont val="Arial"/>
        <family val="2"/>
      </rPr>
      <t>NEO-CitiGo</t>
    </r>
    <r>
      <rPr>
        <sz val="11"/>
        <color theme="9" tint="-0.249977111117893"/>
        <rFont val="宋体"/>
        <family val="3"/>
        <charset val="134"/>
      </rPr>
      <t>酒店</t>
    </r>
    <phoneticPr fontId="134" type="noConversion"/>
  </si>
  <si>
    <t>北京金融街丽思卡尔顿酒店</t>
    <phoneticPr fontId="134" type="noConversion"/>
  </si>
  <si>
    <r>
      <rPr>
        <sz val="11"/>
        <color theme="9" tint="-0.249977111117893"/>
        <rFont val="宋体"/>
        <family val="3"/>
        <charset val="134"/>
      </rPr>
      <t>估价对象名称</t>
    </r>
  </si>
  <si>
    <r>
      <rPr>
        <sz val="11"/>
        <rFont val="宋体"/>
        <family val="3"/>
        <charset val="134"/>
      </rPr>
      <t>案例</t>
    </r>
    <r>
      <rPr>
        <sz val="11"/>
        <rFont val="Arial"/>
        <family val="2"/>
      </rPr>
      <t>C</t>
    </r>
  </si>
  <si>
    <r>
      <rPr>
        <sz val="11"/>
        <rFont val="宋体"/>
        <family val="3"/>
        <charset val="134"/>
      </rPr>
      <t>案例</t>
    </r>
    <r>
      <rPr>
        <sz val="11"/>
        <rFont val="Arial"/>
        <family val="2"/>
      </rPr>
      <t>B</t>
    </r>
  </si>
  <si>
    <r>
      <rPr>
        <sz val="11"/>
        <rFont val="宋体"/>
        <family val="3"/>
        <charset val="134"/>
      </rPr>
      <t>案例</t>
    </r>
    <r>
      <rPr>
        <sz val="11"/>
        <rFont val="Arial"/>
        <family val="2"/>
      </rPr>
      <t>A</t>
    </r>
  </si>
  <si>
    <r>
      <rPr>
        <sz val="11"/>
        <rFont val="宋体"/>
        <family val="3"/>
        <charset val="134"/>
      </rPr>
      <t>比较因素</t>
    </r>
  </si>
  <si>
    <r>
      <rPr>
        <sz val="11"/>
        <color indexed="8"/>
        <rFont val="宋体"/>
        <family val="3"/>
        <charset val="134"/>
      </rPr>
      <t>修正幅度</t>
    </r>
  </si>
  <si>
    <r>
      <rPr>
        <sz val="11"/>
        <rFont val="宋体"/>
        <family val="3"/>
        <charset val="134"/>
      </rPr>
      <t>估价对象</t>
    </r>
  </si>
  <si>
    <r>
      <rPr>
        <b/>
        <sz val="11"/>
        <rFont val="宋体"/>
        <family val="3"/>
        <charset val="134"/>
      </rPr>
      <t>比较因素</t>
    </r>
  </si>
  <si>
    <r>
      <rPr>
        <b/>
        <sz val="12"/>
        <rFont val="宋体"/>
        <family val="3"/>
        <charset val="134"/>
      </rPr>
      <t>建筑面积</t>
    </r>
  </si>
  <si>
    <r>
      <rPr>
        <b/>
        <sz val="12"/>
        <rFont val="宋体"/>
        <family val="3"/>
        <charset val="134"/>
      </rPr>
      <t>楼面单价</t>
    </r>
  </si>
  <si>
    <r>
      <rPr>
        <b/>
        <sz val="12"/>
        <rFont val="宋体"/>
        <family val="3"/>
        <charset val="134"/>
      </rPr>
      <t>万元</t>
    </r>
  </si>
  <si>
    <r>
      <rPr>
        <b/>
        <sz val="12"/>
        <rFont val="宋体"/>
        <family val="3"/>
        <charset val="134"/>
      </rPr>
      <t>总价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</si>
  <si>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</si>
  <si>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售价</t>
  </si>
  <si>
    <t>项目模式</t>
  </si>
  <si>
    <r>
      <rPr>
        <b/>
        <sz val="16"/>
        <rFont val="宋体"/>
        <family val="3"/>
        <charset val="134"/>
      </rPr>
      <t>─</t>
    </r>
  </si>
  <si>
    <r>
      <rPr>
        <b/>
        <sz val="16"/>
        <rFont val="宋体"/>
        <family val="3"/>
        <charset val="134"/>
      </rPr>
      <t>商业</t>
    </r>
  </si>
  <si>
    <r>
      <rPr>
        <b/>
        <sz val="16"/>
        <color rgb="FFFF0000"/>
        <rFont val="宋体"/>
        <family val="3"/>
        <charset val="134"/>
      </rPr>
      <t>比较法</t>
    </r>
  </si>
  <si>
    <t>比较法-办公</t>
  </si>
  <si>
    <t>情况3</t>
  </si>
  <si>
    <t>自行开发建设</t>
  </si>
  <si>
    <t>非个人房产</t>
  </si>
  <si>
    <t>出让金+开发费</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</si>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</sst>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b/>
      <sz val="9"/>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1" fontId="36" fillId="0" borderId="0"/>
    <xf numFmtId="191" fontId="36" fillId="0" borderId="0"/>
    <xf numFmtId="191" fontId="269" fillId="0" borderId="0"/>
    <xf numFmtId="191" fontId="95" fillId="0" borderId="0">
      <alignment vertical="center"/>
    </xf>
    <xf numFmtId="191" fontId="95" fillId="0" borderId="0">
      <alignment vertical="center"/>
    </xf>
    <xf numFmtId="191" fontId="95" fillId="0" borderId="0"/>
    <xf numFmtId="191" fontId="53" fillId="0" borderId="0"/>
    <xf numFmtId="0" fontId="221" fillId="0" borderId="0"/>
    <xf numFmtId="0" fontId="270" fillId="0" borderId="0"/>
    <xf numFmtId="0" fontId="95" fillId="0" borderId="0">
      <alignment vertical="center"/>
    </xf>
    <xf numFmtId="0" fontId="95" fillId="0" borderId="0">
      <alignment vertical="center"/>
    </xf>
    <xf numFmtId="191" fontId="95" fillId="0" borderId="0"/>
    <xf numFmtId="191" fontId="95" fillId="0" borderId="0">
      <alignment vertical="center"/>
    </xf>
    <xf numFmtId="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41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95" fillId="5" borderId="0" xfId="0" applyFont="1" applyFill="1">
      <alignmen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1" applyFont="1" applyFill="1" applyBorder="1" applyAlignment="1" applyProtection="1">
      <alignment horizontal="left" vertical="center"/>
      <protection locked="0"/>
    </xf>
    <xf numFmtId="181" fontId="47" fillId="12" borderId="1" xfId="21" applyNumberFormat="1" applyFont="1" applyFill="1" applyBorder="1" applyAlignment="1" applyProtection="1">
      <alignment horizontal="left" vertical="center"/>
      <protection locked="0"/>
    </xf>
    <xf numFmtId="0" fontId="99" fillId="16" borderId="1" xfId="0" applyFont="1" applyFill="1" applyBorder="1" applyAlignment="1" applyProtection="1">
      <alignment horizontal="center" vertical="center" wrapText="1"/>
      <protection locked="0"/>
    </xf>
    <xf numFmtId="14" fontId="0" fillId="0" borderId="0" xfId="0" applyNumberFormat="1">
      <alignment vertical="center"/>
    </xf>
    <xf numFmtId="49" fontId="95" fillId="0" borderId="0" xfId="0" applyNumberFormat="1" applyFont="1">
      <alignment vertical="center"/>
    </xf>
    <xf numFmtId="10" fontId="47" fillId="7" borderId="0" xfId="17" applyNumberFormat="1" applyFont="1" applyFill="1" applyProtection="1">
      <alignment vertical="center"/>
      <protection locked="0"/>
    </xf>
    <xf numFmtId="0" fontId="51" fillId="0" borderId="0" xfId="40" applyFont="1" applyFill="1" applyAlignment="1" applyProtection="1">
      <alignment horizontal="center" vertical="center"/>
      <protection locked="0"/>
    </xf>
    <xf numFmtId="0" fontId="51" fillId="0" borderId="18" xfId="40" applyFont="1" applyFill="1" applyBorder="1" applyAlignment="1" applyProtection="1">
      <alignment horizontal="center" vertical="center"/>
      <protection locked="0"/>
    </xf>
    <xf numFmtId="181" fontId="51" fillId="0" borderId="0" xfId="40" applyNumberFormat="1" applyFont="1" applyFill="1" applyAlignment="1" applyProtection="1">
      <alignment horizontal="center" vertical="center"/>
      <protection locked="0"/>
    </xf>
    <xf numFmtId="188" fontId="51" fillId="0" borderId="0" xfId="40" applyNumberFormat="1" applyFont="1" applyFill="1" applyAlignment="1" applyProtection="1">
      <alignment horizontal="center" vertical="center"/>
      <protection locked="0"/>
    </xf>
    <xf numFmtId="0" fontId="51" fillId="12" borderId="0" xfId="40" applyFont="1" applyFill="1" applyAlignment="1" applyProtection="1">
      <alignment horizontal="center" vertical="center"/>
      <protection locked="0"/>
    </xf>
    <xf numFmtId="9" fontId="44" fillId="12" borderId="0" xfId="40" applyNumberFormat="1" applyFont="1" applyFill="1" applyBorder="1" applyAlignment="1" applyProtection="1">
      <alignment horizontal="center" vertical="center" wrapText="1"/>
      <protection locked="0"/>
    </xf>
    <xf numFmtId="0" fontId="44" fillId="12" borderId="18" xfId="40" applyFont="1" applyFill="1" applyBorder="1" applyAlignment="1" applyProtection="1">
      <alignment horizontal="center" vertical="center" wrapText="1"/>
      <protection locked="0"/>
    </xf>
    <xf numFmtId="0" fontId="51" fillId="12" borderId="0" xfId="40" applyNumberFormat="1" applyFont="1" applyFill="1" applyBorder="1" applyAlignment="1" applyProtection="1">
      <alignment horizontal="center" vertical="center" wrapText="1"/>
      <protection locked="0"/>
    </xf>
    <xf numFmtId="0" fontId="51" fillId="0" borderId="49" xfId="40" applyNumberFormat="1" applyFont="1" applyFill="1" applyBorder="1" applyAlignment="1" applyProtection="1">
      <alignment horizontal="center" vertical="center" wrapText="1"/>
      <protection locked="0"/>
    </xf>
    <xf numFmtId="0" fontId="51" fillId="0" borderId="32" xfId="40" applyNumberFormat="1" applyFont="1" applyFill="1" applyBorder="1" applyAlignment="1" applyProtection="1">
      <alignment horizontal="center" vertical="center" wrapText="1"/>
      <protection locked="0"/>
    </xf>
    <xf numFmtId="0" fontId="44" fillId="0" borderId="32" xfId="40" applyNumberFormat="1" applyFont="1" applyFill="1" applyBorder="1" applyAlignment="1" applyProtection="1">
      <alignment horizontal="center" vertical="center" wrapText="1"/>
      <protection locked="0"/>
    </xf>
    <xf numFmtId="0" fontId="44" fillId="6" borderId="74" xfId="40" applyNumberFormat="1" applyFont="1" applyFill="1" applyBorder="1" applyAlignment="1" applyProtection="1">
      <alignment horizontal="center" vertical="center" wrapText="1"/>
    </xf>
    <xf numFmtId="0" fontId="50" fillId="6" borderId="12" xfId="40" applyNumberFormat="1" applyFont="1" applyFill="1" applyBorder="1" applyAlignment="1" applyProtection="1">
      <alignment vertical="center" wrapText="1"/>
    </xf>
    <xf numFmtId="0" fontId="68" fillId="12" borderId="0" xfId="40" applyNumberFormat="1" applyFont="1" applyFill="1" applyBorder="1" applyAlignment="1" applyProtection="1">
      <alignment horizontal="center" vertical="center" wrapText="1"/>
      <protection locked="0"/>
    </xf>
    <xf numFmtId="0" fontId="68" fillId="0" borderId="8" xfId="40" applyNumberFormat="1" applyFont="1" applyFill="1" applyBorder="1" applyAlignment="1" applyProtection="1">
      <alignment horizontal="center" vertical="center" wrapText="1"/>
      <protection locked="0"/>
    </xf>
    <xf numFmtId="0" fontId="44" fillId="0" borderId="2" xfId="40" applyNumberFormat="1" applyFont="1" applyFill="1" applyBorder="1" applyAlignment="1" applyProtection="1">
      <alignment horizontal="left" vertical="center" wrapText="1"/>
      <protection locked="0"/>
    </xf>
    <xf numFmtId="0" fontId="44" fillId="0" borderId="2" xfId="40" applyNumberFormat="1" applyFont="1" applyFill="1" applyBorder="1" applyAlignment="1" applyProtection="1">
      <alignment horizontal="center" vertical="center" wrapText="1"/>
      <protection locked="0"/>
    </xf>
    <xf numFmtId="0" fontId="51" fillId="0" borderId="2" xfId="40" applyNumberFormat="1" applyFont="1" applyFill="1" applyBorder="1" applyAlignment="1" applyProtection="1">
      <alignment horizontal="center" vertical="center" wrapText="1"/>
      <protection locked="0"/>
    </xf>
    <xf numFmtId="0" fontId="44" fillId="0" borderId="44" xfId="40" applyNumberFormat="1" applyFont="1" applyFill="1" applyBorder="1" applyAlignment="1" applyProtection="1">
      <alignment horizontal="center" vertical="center" wrapText="1"/>
      <protection locked="0"/>
    </xf>
    <xf numFmtId="0" fontId="44" fillId="6" borderId="15" xfId="40" applyNumberFormat="1" applyFont="1" applyFill="1" applyBorder="1" applyAlignment="1" applyProtection="1">
      <alignment horizontal="center" vertical="center" wrapText="1"/>
    </xf>
    <xf numFmtId="0" fontId="50" fillId="6" borderId="14" xfId="40" applyNumberFormat="1" applyFont="1" applyFill="1" applyBorder="1" applyAlignment="1" applyProtection="1">
      <alignment vertical="center" textRotation="255" wrapText="1"/>
    </xf>
    <xf numFmtId="0" fontId="51" fillId="0" borderId="79" xfId="40" applyNumberFormat="1" applyFont="1" applyFill="1" applyBorder="1" applyAlignment="1" applyProtection="1">
      <alignment horizontal="center" vertical="center" wrapText="1"/>
      <protection locked="0"/>
    </xf>
    <xf numFmtId="0" fontId="51" fillId="0" borderId="78" xfId="40" applyNumberFormat="1" applyFont="1" applyFill="1" applyBorder="1" applyAlignment="1" applyProtection="1">
      <alignment horizontal="center" vertical="center" wrapText="1"/>
      <protection locked="0"/>
    </xf>
    <xf numFmtId="0" fontId="44" fillId="0" borderId="78" xfId="40" applyNumberFormat="1" applyFont="1" applyFill="1" applyBorder="1" applyAlignment="1" applyProtection="1">
      <alignment horizontal="center" vertical="center" wrapText="1"/>
      <protection locked="0"/>
    </xf>
    <xf numFmtId="0" fontId="44" fillId="6" borderId="77" xfId="40" applyNumberFormat="1" applyFont="1" applyFill="1" applyBorder="1" applyAlignment="1" applyProtection="1">
      <alignment horizontal="center" vertical="center" wrapText="1"/>
    </xf>
    <xf numFmtId="0" fontId="50" fillId="6" borderId="14" xfId="40" applyNumberFormat="1" applyFont="1" applyFill="1" applyBorder="1" applyAlignment="1" applyProtection="1">
      <alignment vertical="center" wrapText="1"/>
    </xf>
    <xf numFmtId="0" fontId="68" fillId="0" borderId="45" xfId="40" applyNumberFormat="1" applyFont="1" applyFill="1" applyBorder="1" applyAlignment="1" applyProtection="1">
      <alignment horizontal="center" vertical="center" wrapText="1"/>
      <protection locked="0"/>
    </xf>
    <xf numFmtId="0" fontId="68" fillId="0" borderId="44" xfId="40" applyNumberFormat="1" applyFont="1" applyFill="1" applyBorder="1" applyAlignment="1" applyProtection="1">
      <alignment horizontal="left" vertical="center" wrapText="1"/>
      <protection locked="0"/>
    </xf>
    <xf numFmtId="0" fontId="68" fillId="0" borderId="44" xfId="40" applyNumberFormat="1" applyFont="1" applyFill="1" applyBorder="1" applyAlignment="1" applyProtection="1">
      <alignment horizontal="center" vertical="center" wrapText="1"/>
      <protection locked="0"/>
    </xf>
    <xf numFmtId="0" fontId="51" fillId="0" borderId="44" xfId="40" applyNumberFormat="1" applyFont="1" applyFill="1" applyBorder="1" applyAlignment="1" applyProtection="1">
      <alignment horizontal="center" vertical="center" wrapText="1"/>
      <protection locked="0"/>
    </xf>
    <xf numFmtId="0" fontId="44" fillId="6" borderId="57" xfId="40" applyNumberFormat="1" applyFont="1" applyFill="1" applyBorder="1" applyAlignment="1" applyProtection="1">
      <alignment horizontal="center" vertical="center" wrapText="1"/>
    </xf>
    <xf numFmtId="0" fontId="49" fillId="0" borderId="0" xfId="40" applyFont="1" applyFill="1" applyAlignment="1" applyProtection="1">
      <alignment horizontal="center" vertical="center"/>
      <protection locked="0"/>
    </xf>
    <xf numFmtId="0" fontId="49" fillId="12" borderId="0" xfId="40" applyFont="1" applyFill="1" applyAlignment="1" applyProtection="1">
      <alignment horizontal="center" vertical="center"/>
      <protection locked="0"/>
    </xf>
    <xf numFmtId="9" fontId="49" fillId="12" borderId="0" xfId="40" applyNumberFormat="1" applyFont="1" applyFill="1" applyBorder="1" applyAlignment="1" applyProtection="1">
      <alignment horizontal="center" vertical="center" wrapText="1"/>
      <protection locked="0"/>
    </xf>
    <xf numFmtId="0" fontId="49" fillId="12" borderId="18" xfId="40" applyFont="1" applyFill="1" applyBorder="1" applyAlignment="1" applyProtection="1">
      <alignment horizontal="center" vertical="center" wrapText="1"/>
      <protection locked="0"/>
    </xf>
    <xf numFmtId="0" fontId="49" fillId="12" borderId="0" xfId="40" applyNumberFormat="1" applyFont="1" applyFill="1" applyBorder="1" applyAlignment="1" applyProtection="1">
      <alignment horizontal="center" vertical="center" wrapText="1"/>
      <protection locked="0"/>
    </xf>
    <xf numFmtId="0" fontId="49" fillId="0" borderId="79" xfId="40" applyNumberFormat="1" applyFont="1" applyFill="1" applyBorder="1" applyAlignment="1" applyProtection="1">
      <alignment horizontal="center" vertical="center" wrapText="1"/>
      <protection locked="0"/>
    </xf>
    <xf numFmtId="0" fontId="49" fillId="0" borderId="78" xfId="40" applyNumberFormat="1" applyFont="1" applyFill="1" applyBorder="1" applyAlignment="1" applyProtection="1">
      <alignment horizontal="center" vertical="center" wrapText="1"/>
      <protection locked="0"/>
    </xf>
    <xf numFmtId="0" fontId="69" fillId="6" borderId="14" xfId="40" applyNumberFormat="1" applyFont="1" applyFill="1" applyBorder="1" applyAlignment="1" applyProtection="1">
      <alignment vertical="center" wrapText="1"/>
    </xf>
    <xf numFmtId="0" fontId="49" fillId="0" borderId="45" xfId="40" applyNumberFormat="1" applyFont="1" applyFill="1" applyBorder="1" applyAlignment="1" applyProtection="1">
      <alignment horizontal="center" vertical="center" wrapText="1"/>
      <protection locked="0"/>
    </xf>
    <xf numFmtId="0" fontId="49" fillId="0" borderId="44" xfId="40" applyNumberFormat="1" applyFont="1" applyFill="1" applyBorder="1" applyAlignment="1" applyProtection="1">
      <alignment horizontal="left" vertical="center" wrapText="1"/>
      <protection locked="0"/>
    </xf>
    <xf numFmtId="0" fontId="49" fillId="0" borderId="44" xfId="40" applyNumberFormat="1" applyFont="1" applyFill="1" applyBorder="1" applyAlignment="1" applyProtection="1">
      <alignment horizontal="center" vertical="center" wrapText="1"/>
      <protection locked="0"/>
    </xf>
    <xf numFmtId="0" fontId="69" fillId="6" borderId="14" xfId="40" applyNumberFormat="1" applyFont="1" applyFill="1" applyBorder="1" applyAlignment="1" applyProtection="1">
      <alignment vertical="center" textRotation="255" wrapText="1"/>
    </xf>
    <xf numFmtId="0" fontId="51" fillId="6" borderId="79" xfId="40" applyNumberFormat="1" applyFont="1" applyFill="1" applyBorder="1" applyAlignment="1" applyProtection="1">
      <alignment horizontal="center" vertical="center" wrapText="1"/>
    </xf>
    <xf numFmtId="0" fontId="51" fillId="6" borderId="78" xfId="40" applyNumberFormat="1" applyFont="1" applyFill="1" applyBorder="1" applyAlignment="1" applyProtection="1">
      <alignment horizontal="center" vertical="center" wrapText="1"/>
    </xf>
    <xf numFmtId="0" fontId="68" fillId="6" borderId="45" xfId="40" applyNumberFormat="1" applyFont="1" applyFill="1" applyBorder="1" applyAlignment="1" applyProtection="1">
      <alignment horizontal="center" vertical="center" wrapText="1"/>
    </xf>
    <xf numFmtId="0" fontId="68" fillId="6" borderId="44" xfId="40" applyNumberFormat="1" applyFont="1" applyFill="1" applyBorder="1" applyAlignment="1" applyProtection="1">
      <alignment horizontal="left" vertical="center" wrapText="1"/>
    </xf>
    <xf numFmtId="0" fontId="68" fillId="6" borderId="44" xfId="40" applyNumberFormat="1" applyFont="1" applyFill="1" applyBorder="1" applyAlignment="1" applyProtection="1">
      <alignment horizontal="center" vertical="center" wrapText="1"/>
    </xf>
    <xf numFmtId="0" fontId="51" fillId="6" borderId="44" xfId="40" applyNumberFormat="1" applyFont="1" applyFill="1" applyBorder="1" applyAlignment="1" applyProtection="1">
      <alignment horizontal="center" vertical="center" wrapText="1"/>
    </xf>
    <xf numFmtId="0" fontId="44" fillId="6" borderId="44" xfId="40" applyNumberFormat="1" applyFont="1" applyFill="1" applyBorder="1" applyAlignment="1" applyProtection="1">
      <alignment horizontal="center" vertical="center" wrapText="1"/>
    </xf>
    <xf numFmtId="0" fontId="128" fillId="0" borderId="44" xfId="40" applyNumberFormat="1" applyFont="1" applyFill="1" applyBorder="1" applyAlignment="1" applyProtection="1">
      <alignment horizontal="center" vertical="center" wrapText="1"/>
      <protection locked="0"/>
    </xf>
    <xf numFmtId="0" fontId="44" fillId="6" borderId="78" xfId="40" applyNumberFormat="1" applyFont="1" applyFill="1" applyBorder="1" applyAlignment="1" applyProtection="1">
      <alignment horizontal="center" vertical="center" wrapText="1"/>
    </xf>
    <xf numFmtId="0" fontId="49" fillId="6" borderId="77" xfId="40" applyNumberFormat="1" applyFont="1" applyFill="1" applyBorder="1" applyAlignment="1" applyProtection="1">
      <alignment horizontal="center" vertical="center" wrapText="1"/>
    </xf>
    <xf numFmtId="0" fontId="98" fillId="0" borderId="44" xfId="40" applyNumberFormat="1" applyFont="1" applyFill="1" applyBorder="1" applyAlignment="1" applyProtection="1">
      <alignment horizontal="center" vertical="center" wrapText="1"/>
      <protection locked="0"/>
    </xf>
    <xf numFmtId="0" fontId="68" fillId="0" borderId="53" xfId="40" applyNumberFormat="1" applyFont="1" applyFill="1" applyBorder="1" applyAlignment="1" applyProtection="1">
      <alignment horizontal="center" vertical="center" wrapText="1"/>
      <protection locked="0"/>
    </xf>
    <xf numFmtId="0" fontId="68" fillId="0" borderId="15" xfId="40" applyNumberFormat="1" applyFont="1" applyFill="1" applyBorder="1" applyAlignment="1" applyProtection="1">
      <alignment horizontal="left" vertical="center" wrapText="1"/>
      <protection locked="0"/>
    </xf>
    <xf numFmtId="0" fontId="68" fillId="0" borderId="15" xfId="40" applyNumberFormat="1" applyFont="1" applyFill="1" applyBorder="1" applyAlignment="1" applyProtection="1">
      <alignment horizontal="center" vertical="center" wrapText="1"/>
      <protection locked="0"/>
    </xf>
    <xf numFmtId="0" fontId="51" fillId="0" borderId="15" xfId="40" applyNumberFormat="1" applyFont="1" applyFill="1" applyBorder="1" applyAlignment="1" applyProtection="1">
      <alignment horizontal="center" vertical="center" wrapText="1"/>
      <protection locked="0"/>
    </xf>
    <xf numFmtId="0" fontId="44" fillId="6" borderId="1" xfId="40" applyNumberFormat="1" applyFont="1" applyFill="1" applyBorder="1" applyAlignment="1" applyProtection="1">
      <alignment horizontal="center" vertical="center" wrapText="1"/>
    </xf>
    <xf numFmtId="0" fontId="49" fillId="0" borderId="24" xfId="40" applyNumberFormat="1" applyFont="1" applyFill="1" applyBorder="1" applyAlignment="1" applyProtection="1">
      <alignment horizontal="center" vertical="center" wrapText="1"/>
      <protection locked="0"/>
    </xf>
    <xf numFmtId="0" fontId="49" fillId="0" borderId="1" xfId="40" applyNumberFormat="1" applyFont="1" applyFill="1" applyBorder="1" applyAlignment="1" applyProtection="1">
      <alignment horizontal="left" vertical="center" wrapText="1"/>
      <protection locked="0"/>
    </xf>
    <xf numFmtId="0" fontId="49" fillId="0" borderId="1" xfId="40" applyNumberFormat="1" applyFont="1" applyFill="1" applyBorder="1" applyAlignment="1" applyProtection="1">
      <alignment horizontal="center" vertical="center" wrapText="1"/>
      <protection locked="0"/>
    </xf>
    <xf numFmtId="0" fontId="44" fillId="0" borderId="1" xfId="40" applyNumberFormat="1" applyFont="1" applyFill="1" applyBorder="1" applyAlignment="1" applyProtection="1">
      <alignment horizontal="center" vertical="center" wrapText="1"/>
      <protection locked="0"/>
    </xf>
    <xf numFmtId="0" fontId="44" fillId="6" borderId="58" xfId="40" applyNumberFormat="1" applyFont="1" applyFill="1" applyBorder="1" applyAlignment="1" applyProtection="1">
      <alignment horizontal="center" vertical="center"/>
    </xf>
    <xf numFmtId="0" fontId="44" fillId="12" borderId="0" xfId="40" applyNumberFormat="1" applyFont="1" applyFill="1" applyBorder="1" applyAlignment="1" applyProtection="1">
      <alignment horizontal="center" vertical="center" wrapText="1"/>
      <protection locked="0"/>
    </xf>
    <xf numFmtId="0" fontId="44" fillId="6" borderId="45" xfId="40" applyNumberFormat="1" applyFont="1" applyFill="1" applyBorder="1" applyAlignment="1" applyProtection="1">
      <alignment horizontal="center" vertical="center" wrapText="1"/>
    </xf>
    <xf numFmtId="0" fontId="68" fillId="0" borderId="10" xfId="40" applyNumberFormat="1" applyFont="1" applyFill="1" applyBorder="1" applyAlignment="1" applyProtection="1">
      <alignment horizontal="center" vertical="center" wrapText="1"/>
      <protection locked="0"/>
    </xf>
    <xf numFmtId="0" fontId="68" fillId="0" borderId="9" xfId="40" applyNumberFormat="1" applyFont="1" applyFill="1" applyBorder="1" applyAlignment="1" applyProtection="1">
      <alignment horizontal="left" vertical="center" wrapText="1"/>
      <protection locked="0"/>
    </xf>
    <xf numFmtId="0" fontId="68" fillId="0" borderId="9" xfId="40" applyNumberFormat="1" applyFont="1" applyFill="1" applyBorder="1" applyAlignment="1" applyProtection="1">
      <alignment horizontal="center" vertical="center" wrapText="1"/>
      <protection locked="0"/>
    </xf>
    <xf numFmtId="0" fontId="51" fillId="0" borderId="9" xfId="40" applyNumberFormat="1" applyFont="1" applyFill="1" applyBorder="1" applyAlignment="1" applyProtection="1">
      <alignment horizontal="center" vertical="center" wrapText="1"/>
      <protection locked="0"/>
    </xf>
    <xf numFmtId="0" fontId="44" fillId="6" borderId="17" xfId="40" applyNumberFormat="1" applyFont="1" applyFill="1" applyBorder="1" applyAlignment="1" applyProtection="1">
      <alignment horizontal="center" vertical="center" wrapText="1"/>
    </xf>
    <xf numFmtId="0" fontId="50" fillId="6" borderId="40" xfId="40" applyNumberFormat="1" applyFont="1" applyFill="1" applyBorder="1" applyAlignment="1" applyProtection="1">
      <alignment vertical="center" wrapText="1"/>
    </xf>
    <xf numFmtId="0" fontId="68" fillId="0" borderId="2" xfId="40" applyNumberFormat="1" applyFont="1" applyFill="1" applyBorder="1" applyAlignment="1" applyProtection="1">
      <alignment horizontal="left" vertical="center" wrapText="1"/>
      <protection locked="0"/>
    </xf>
    <xf numFmtId="0" fontId="68" fillId="0" borderId="2" xfId="40" applyNumberFormat="1" applyFont="1" applyFill="1" applyBorder="1" applyAlignment="1" applyProtection="1">
      <alignment horizontal="center" vertical="center" wrapText="1"/>
      <protection locked="0"/>
    </xf>
    <xf numFmtId="0" fontId="94" fillId="0" borderId="37" xfId="40" applyNumberFormat="1" applyFont="1" applyFill="1" applyBorder="1" applyAlignment="1" applyProtection="1">
      <alignment horizontal="center" vertical="center" wrapText="1"/>
      <protection locked="0"/>
    </xf>
    <xf numFmtId="0" fontId="44" fillId="0" borderId="45" xfId="40" applyNumberFormat="1" applyFont="1" applyFill="1" applyBorder="1" applyAlignment="1" applyProtection="1">
      <alignment horizontal="center" vertical="center" wrapText="1"/>
      <protection locked="0"/>
    </xf>
    <xf numFmtId="0" fontId="44" fillId="0" borderId="44" xfId="40" applyNumberFormat="1" applyFont="1" applyFill="1" applyBorder="1" applyAlignment="1" applyProtection="1">
      <alignment horizontal="left" vertical="center" wrapText="1"/>
      <protection locked="0"/>
    </xf>
    <xf numFmtId="0" fontId="44" fillId="0" borderId="0" xfId="40" applyFont="1" applyFill="1" applyAlignment="1" applyProtection="1">
      <alignment horizontal="center" vertical="center"/>
      <protection locked="0"/>
    </xf>
    <xf numFmtId="0" fontId="44" fillId="12" borderId="0" xfId="40" applyFont="1" applyFill="1" applyAlignment="1" applyProtection="1">
      <alignment horizontal="center" vertical="center"/>
      <protection locked="0"/>
    </xf>
    <xf numFmtId="0" fontId="46" fillId="6" borderId="14" xfId="40" applyNumberFormat="1" applyFont="1" applyFill="1" applyBorder="1" applyAlignment="1" applyProtection="1">
      <alignment vertical="center" wrapText="1"/>
    </xf>
    <xf numFmtId="0" fontId="44" fillId="0" borderId="83" xfId="40" applyNumberFormat="1" applyFont="1" applyFill="1" applyBorder="1" applyAlignment="1" applyProtection="1">
      <alignment horizontal="center" vertical="center"/>
      <protection locked="0"/>
    </xf>
    <xf numFmtId="0" fontId="51" fillId="6" borderId="53" xfId="40" applyNumberFormat="1" applyFont="1" applyFill="1" applyBorder="1" applyAlignment="1" applyProtection="1">
      <alignment horizontal="center" vertical="center" wrapText="1"/>
    </xf>
    <xf numFmtId="0" fontId="51" fillId="6" borderId="15" xfId="40" applyNumberFormat="1" applyFont="1" applyFill="1" applyBorder="1" applyAlignment="1" applyProtection="1">
      <alignment horizontal="center" vertical="center" wrapText="1"/>
    </xf>
    <xf numFmtId="0" fontId="51" fillId="6" borderId="45" xfId="40" applyNumberFormat="1" applyFont="1" applyFill="1" applyBorder="1" applyAlignment="1" applyProtection="1">
      <alignment horizontal="center" vertical="center" wrapText="1"/>
    </xf>
    <xf numFmtId="0" fontId="44" fillId="12" borderId="18" xfId="40" applyFont="1" applyFill="1" applyBorder="1" applyAlignment="1" applyProtection="1">
      <alignment vertical="center" wrapText="1"/>
      <protection locked="0"/>
    </xf>
    <xf numFmtId="0" fontId="68" fillId="6" borderId="10" xfId="40" applyNumberFormat="1" applyFont="1" applyFill="1" applyBorder="1" applyAlignment="1" applyProtection="1">
      <alignment horizontal="center" vertical="center" wrapText="1"/>
    </xf>
    <xf numFmtId="0" fontId="68" fillId="6" borderId="9" xfId="40" applyNumberFormat="1" applyFont="1" applyFill="1" applyBorder="1" applyAlignment="1" applyProtection="1">
      <alignment horizontal="left" vertical="center" wrapText="1"/>
    </xf>
    <xf numFmtId="0" fontId="68" fillId="6" borderId="9" xfId="40" applyNumberFormat="1" applyFont="1" applyFill="1" applyBorder="1" applyAlignment="1" applyProtection="1">
      <alignment horizontal="center" vertical="center" wrapText="1"/>
    </xf>
    <xf numFmtId="0" fontId="51" fillId="6" borderId="9" xfId="40" applyNumberFormat="1" applyFont="1" applyFill="1" applyBorder="1" applyAlignment="1" applyProtection="1">
      <alignment horizontal="center" vertical="center" wrapText="1"/>
    </xf>
    <xf numFmtId="0" fontId="44" fillId="6" borderId="9" xfId="40" applyNumberFormat="1" applyFont="1" applyFill="1" applyBorder="1" applyAlignment="1" applyProtection="1">
      <alignment horizontal="center" vertical="center" wrapText="1"/>
    </xf>
    <xf numFmtId="0" fontId="49" fillId="0" borderId="49" xfId="40" applyNumberFormat="1" applyFont="1" applyFill="1" applyBorder="1" applyAlignment="1" applyProtection="1">
      <alignment horizontal="center" vertical="center" wrapText="1"/>
      <protection locked="0"/>
    </xf>
    <xf numFmtId="0" fontId="49" fillId="0" borderId="32" xfId="40" applyNumberFormat="1" applyFont="1" applyFill="1" applyBorder="1" applyAlignment="1" applyProtection="1">
      <alignment horizontal="center" vertical="center" wrapText="1"/>
      <protection locked="0"/>
    </xf>
    <xf numFmtId="0" fontId="69" fillId="6" borderId="12" xfId="40" applyNumberFormat="1" applyFont="1" applyFill="1" applyBorder="1" applyAlignment="1" applyProtection="1">
      <alignment vertical="center" wrapText="1"/>
    </xf>
    <xf numFmtId="0" fontId="49" fillId="12" borderId="18" xfId="40" applyFont="1" applyFill="1" applyBorder="1" applyAlignment="1" applyProtection="1">
      <alignment vertical="center" wrapText="1"/>
      <protection locked="0"/>
    </xf>
    <xf numFmtId="0" fontId="49" fillId="0" borderId="8" xfId="40" applyNumberFormat="1" applyFont="1" applyFill="1" applyBorder="1" applyAlignment="1" applyProtection="1">
      <alignment horizontal="center" vertical="center" wrapText="1"/>
      <protection locked="0"/>
    </xf>
    <xf numFmtId="0" fontId="49" fillId="0" borderId="2" xfId="40" applyNumberFormat="1" applyFont="1" applyFill="1" applyBorder="1" applyAlignment="1" applyProtection="1">
      <alignment horizontal="left" vertical="center" wrapText="1"/>
      <protection locked="0"/>
    </xf>
    <xf numFmtId="0" fontId="49" fillId="0" borderId="2" xfId="40" applyNumberFormat="1" applyFont="1" applyFill="1" applyBorder="1" applyAlignment="1" applyProtection="1">
      <alignment horizontal="center" vertical="center" wrapText="1"/>
      <protection locked="0"/>
    </xf>
    <xf numFmtId="9" fontId="49" fillId="12" borderId="0" xfId="40" applyNumberFormat="1" applyFont="1" applyFill="1" applyBorder="1" applyAlignment="1" applyProtection="1">
      <alignment horizontal="center" vertical="center"/>
      <protection locked="0"/>
    </xf>
    <xf numFmtId="0" fontId="49" fillId="12" borderId="18" xfId="40" applyFont="1" applyFill="1" applyBorder="1" applyAlignment="1" applyProtection="1">
      <alignment horizontal="center" vertical="center"/>
      <protection locked="0"/>
    </xf>
    <xf numFmtId="0" fontId="68" fillId="0" borderId="24" xfId="40" applyNumberFormat="1" applyFont="1" applyFill="1" applyBorder="1" applyAlignment="1" applyProtection="1">
      <alignment horizontal="center" vertical="center" wrapText="1"/>
      <protection locked="0"/>
    </xf>
    <xf numFmtId="0" fontId="68" fillId="0" borderId="1" xfId="40" applyNumberFormat="1" applyFont="1" applyFill="1" applyBorder="1" applyAlignment="1" applyProtection="1">
      <alignment horizontal="left" vertical="center" wrapText="1"/>
      <protection locked="0"/>
    </xf>
    <xf numFmtId="0" fontId="68" fillId="0" borderId="1" xfId="40" applyNumberFormat="1" applyFont="1" applyFill="1" applyBorder="1" applyAlignment="1" applyProtection="1">
      <alignment horizontal="center" vertical="center" wrapText="1"/>
      <protection locked="0"/>
    </xf>
    <xf numFmtId="0" fontId="51" fillId="0" borderId="1" xfId="40" applyNumberFormat="1" applyFont="1" applyFill="1" applyBorder="1" applyAlignment="1" applyProtection="1">
      <alignment horizontal="center" vertical="center" wrapText="1"/>
      <protection locked="0"/>
    </xf>
    <xf numFmtId="0" fontId="49" fillId="6" borderId="15" xfId="40" applyNumberFormat="1" applyFont="1" applyFill="1" applyBorder="1" applyAlignment="1" applyProtection="1">
      <alignment horizontal="center" vertical="center" wrapText="1"/>
    </xf>
    <xf numFmtId="0" fontId="51" fillId="6" borderId="8" xfId="40" applyNumberFormat="1" applyFont="1" applyFill="1" applyBorder="1" applyAlignment="1" applyProtection="1">
      <alignment horizontal="center" vertical="center" wrapText="1"/>
    </xf>
    <xf numFmtId="0" fontId="51" fillId="6" borderId="2" xfId="40" applyNumberFormat="1" applyFont="1" applyFill="1" applyBorder="1" applyAlignment="1" applyProtection="1">
      <alignment horizontal="center" vertical="center" wrapText="1"/>
    </xf>
    <xf numFmtId="49" fontId="44" fillId="0" borderId="3" xfId="40" applyNumberFormat="1" applyFont="1" applyFill="1" applyBorder="1" applyAlignment="1" applyProtection="1">
      <alignment horizontal="center" vertical="center" wrapText="1"/>
      <protection locked="0"/>
    </xf>
    <xf numFmtId="9" fontId="44" fillId="12" borderId="18" xfId="40" applyNumberFormat="1" applyFont="1" applyFill="1" applyBorder="1" applyAlignment="1" applyProtection="1">
      <alignment horizontal="center" vertical="center" wrapText="1"/>
      <protection locked="0"/>
    </xf>
    <xf numFmtId="0" fontId="44" fillId="0" borderId="61" xfId="40" applyNumberFormat="1" applyFont="1" applyFill="1" applyBorder="1" applyAlignment="1" applyProtection="1">
      <alignment horizontal="center" vertical="center" wrapText="1"/>
      <protection locked="0"/>
    </xf>
    <xf numFmtId="0" fontId="44" fillId="0" borderId="13" xfId="40" applyNumberFormat="1" applyFont="1" applyFill="1" applyBorder="1" applyAlignment="1" applyProtection="1">
      <alignment horizontal="center" vertical="center" wrapText="1"/>
      <protection locked="0"/>
    </xf>
    <xf numFmtId="0" fontId="44" fillId="0" borderId="22" xfId="40" applyNumberFormat="1" applyFont="1" applyFill="1" applyBorder="1" applyAlignment="1" applyProtection="1">
      <alignment horizontal="center" vertical="center" wrapText="1"/>
      <protection locked="0"/>
    </xf>
    <xf numFmtId="0" fontId="46" fillId="6" borderId="35" xfId="40" applyNumberFormat="1" applyFont="1" applyFill="1" applyBorder="1" applyAlignment="1" applyProtection="1">
      <alignment vertical="center" wrapText="1"/>
    </xf>
    <xf numFmtId="0" fontId="46" fillId="6" borderId="58" xfId="40" applyNumberFormat="1" applyFont="1" applyFill="1" applyBorder="1" applyAlignment="1" applyProtection="1">
      <alignment vertical="center" wrapText="1"/>
    </xf>
    <xf numFmtId="0" fontId="98" fillId="12" borderId="18" xfId="40" applyFont="1" applyFill="1" applyBorder="1" applyAlignment="1" applyProtection="1">
      <alignment vertical="center"/>
      <protection locked="0"/>
    </xf>
    <xf numFmtId="0" fontId="44" fillId="0" borderId="8" xfId="40" applyNumberFormat="1" applyFont="1" applyFill="1" applyBorder="1" applyAlignment="1" applyProtection="1">
      <alignment horizontal="center" vertical="center" wrapText="1"/>
      <protection locked="0"/>
    </xf>
    <xf numFmtId="0" fontId="44" fillId="6" borderId="7" xfId="40" applyNumberFormat="1" applyFont="1" applyFill="1" applyBorder="1" applyAlignment="1" applyProtection="1">
      <alignment horizontal="center" vertical="center" wrapText="1"/>
    </xf>
    <xf numFmtId="0" fontId="44" fillId="0" borderId="75" xfId="40" applyNumberFormat="1" applyFont="1" applyFill="1" applyBorder="1" applyAlignment="1" applyProtection="1">
      <alignment horizontal="center" vertical="center" wrapText="1"/>
      <protection locked="0"/>
    </xf>
    <xf numFmtId="0" fontId="44" fillId="0" borderId="74" xfId="40" applyNumberFormat="1" applyFont="1" applyFill="1" applyBorder="1" applyAlignment="1" applyProtection="1">
      <alignment horizontal="center" vertical="center" wrapText="1"/>
      <protection locked="0"/>
    </xf>
    <xf numFmtId="0" fontId="44" fillId="0" borderId="73" xfId="40" applyNumberFormat="1" applyFont="1" applyFill="1" applyBorder="1" applyAlignment="1" applyProtection="1">
      <alignment horizontal="center" vertical="center" wrapText="1"/>
      <protection locked="0"/>
    </xf>
    <xf numFmtId="0" fontId="46" fillId="6" borderId="73" xfId="40" applyNumberFormat="1" applyFont="1" applyFill="1" applyBorder="1" applyAlignment="1" applyProtection="1">
      <alignment vertical="center" wrapText="1"/>
    </xf>
    <xf numFmtId="0" fontId="46" fillId="6" borderId="42" xfId="40" applyNumberFormat="1" applyFont="1" applyFill="1" applyBorder="1" applyAlignment="1" applyProtection="1">
      <alignment vertical="center"/>
    </xf>
    <xf numFmtId="0" fontId="44" fillId="0" borderId="46" xfId="40" applyNumberFormat="1" applyFont="1" applyFill="1" applyBorder="1" applyAlignment="1" applyProtection="1">
      <alignment horizontal="center" vertical="center" wrapText="1"/>
      <protection locked="0"/>
    </xf>
    <xf numFmtId="0" fontId="51" fillId="6" borderId="13" xfId="40" applyNumberFormat="1" applyFont="1" applyFill="1" applyBorder="1" applyAlignment="1" applyProtection="1">
      <alignment horizontal="center" vertical="center" wrapText="1"/>
      <protection locked="0"/>
    </xf>
    <xf numFmtId="0" fontId="46" fillId="6" borderId="18" xfId="40" applyNumberFormat="1" applyFont="1" applyFill="1" applyBorder="1" applyAlignment="1" applyProtection="1">
      <alignment vertical="center" wrapText="1"/>
    </xf>
    <xf numFmtId="49" fontId="44" fillId="0" borderId="0" xfId="40" applyNumberFormat="1" applyFont="1" applyFill="1" applyAlignment="1" applyProtection="1">
      <alignment horizontal="center" vertical="center"/>
      <protection locked="0"/>
    </xf>
    <xf numFmtId="189" fontId="44" fillId="6" borderId="9" xfId="40" applyNumberFormat="1" applyFont="1" applyFill="1" applyBorder="1" applyAlignment="1" applyProtection="1">
      <alignment horizontal="center" vertical="center" wrapText="1"/>
      <protection locked="0"/>
    </xf>
    <xf numFmtId="189" fontId="44" fillId="6" borderId="9" xfId="40" applyNumberFormat="1" applyFont="1" applyFill="1" applyBorder="1" applyAlignment="1" applyProtection="1">
      <alignment horizontal="center" vertical="center" wrapText="1"/>
    </xf>
    <xf numFmtId="189" fontId="44" fillId="6" borderId="30" xfId="40" applyNumberFormat="1" applyFont="1" applyFill="1" applyBorder="1" applyAlignment="1" applyProtection="1">
      <alignment horizontal="center" vertical="center" wrapText="1"/>
    </xf>
    <xf numFmtId="0" fontId="46" fillId="6" borderId="39" xfId="40" applyNumberFormat="1" applyFont="1" applyFill="1" applyBorder="1" applyAlignment="1" applyProtection="1">
      <alignment vertical="center" wrapText="1"/>
    </xf>
    <xf numFmtId="0" fontId="46" fillId="6" borderId="16" xfId="40" applyNumberFormat="1" applyFont="1" applyFill="1" applyBorder="1" applyAlignment="1" applyProtection="1">
      <alignment vertical="center" wrapText="1"/>
    </xf>
    <xf numFmtId="0" fontId="51" fillId="12" borderId="18" xfId="40" applyFont="1" applyFill="1" applyBorder="1" applyAlignment="1" applyProtection="1">
      <protection locked="0"/>
    </xf>
    <xf numFmtId="0" fontId="51" fillId="6" borderId="0" xfId="40" applyFont="1" applyFill="1" applyBorder="1" applyAlignment="1" applyProtection="1">
      <protection locked="0"/>
    </xf>
    <xf numFmtId="181" fontId="51" fillId="6" borderId="0" xfId="40" applyNumberFormat="1" applyFont="1" applyFill="1" applyBorder="1" applyAlignment="1" applyProtection="1">
      <protection locked="0"/>
    </xf>
    <xf numFmtId="188" fontId="51" fillId="6" borderId="0" xfId="40" applyNumberFormat="1" applyFont="1" applyFill="1" applyBorder="1" applyAlignment="1" applyProtection="1">
      <alignment horizontal="center"/>
    </xf>
    <xf numFmtId="0" fontId="51" fillId="6" borderId="0" xfId="40" applyFont="1" applyFill="1" applyBorder="1" applyAlignment="1" applyProtection="1"/>
    <xf numFmtId="0" fontId="51" fillId="6" borderId="0" xfId="40" applyFont="1" applyFill="1" applyBorder="1" applyAlignment="1" applyProtection="1">
      <alignment horizontal="center"/>
    </xf>
    <xf numFmtId="0" fontId="51" fillId="6" borderId="0" xfId="40" applyFont="1" applyFill="1" applyAlignment="1" applyProtection="1">
      <alignment horizontal="center" vertical="center"/>
    </xf>
    <xf numFmtId="0" fontId="56" fillId="6" borderId="0" xfId="40" applyFont="1" applyFill="1" applyBorder="1" applyAlignment="1" applyProtection="1"/>
    <xf numFmtId="0" fontId="51" fillId="12" borderId="18" xfId="40" applyFont="1" applyFill="1" applyBorder="1" applyAlignment="1" applyProtection="1">
      <alignment horizontal="center" vertical="center"/>
      <protection locked="0"/>
    </xf>
    <xf numFmtId="181" fontId="51" fillId="12" borderId="0" xfId="40" applyNumberFormat="1" applyFont="1" applyFill="1" applyAlignment="1" applyProtection="1">
      <alignment horizontal="center" vertical="center"/>
      <protection locked="0"/>
    </xf>
    <xf numFmtId="188" fontId="51" fillId="12" borderId="0" xfId="40" applyNumberFormat="1" applyFont="1" applyFill="1" applyAlignment="1" applyProtection="1">
      <alignment horizontal="center" vertical="center"/>
      <protection locked="0"/>
    </xf>
    <xf numFmtId="176" fontId="51" fillId="12" borderId="0" xfId="40" applyNumberFormat="1" applyFont="1" applyFill="1" applyAlignment="1" applyProtection="1">
      <alignment horizontal="center" vertical="center"/>
      <protection locked="0"/>
    </xf>
    <xf numFmtId="14" fontId="51" fillId="12" borderId="0" xfId="40" applyNumberFormat="1" applyFont="1" applyFill="1" applyAlignment="1" applyProtection="1">
      <alignment horizontal="center" vertical="center"/>
      <protection locked="0"/>
    </xf>
    <xf numFmtId="0" fontId="68" fillId="0" borderId="0" xfId="40" applyFont="1" applyFill="1" applyAlignment="1" applyProtection="1">
      <alignment horizontal="center" vertical="center"/>
      <protection locked="0"/>
    </xf>
    <xf numFmtId="0" fontId="68" fillId="12" borderId="0" xfId="40" applyFont="1" applyFill="1" applyAlignment="1" applyProtection="1">
      <alignment horizontal="center" vertical="center"/>
      <protection locked="0"/>
    </xf>
    <xf numFmtId="0" fontId="68" fillId="12" borderId="18" xfId="40" applyFont="1" applyFill="1" applyBorder="1" applyAlignment="1" applyProtection="1">
      <alignment horizontal="center" vertical="center"/>
      <protection locked="0"/>
    </xf>
    <xf numFmtId="181" fontId="68" fillId="12" borderId="0" xfId="40" applyNumberFormat="1" applyFont="1" applyFill="1" applyAlignment="1" applyProtection="1">
      <alignment horizontal="center" vertical="center"/>
      <protection locked="0"/>
    </xf>
    <xf numFmtId="188" fontId="68" fillId="12" borderId="0" xfId="40" applyNumberFormat="1" applyFont="1" applyFill="1" applyAlignment="1" applyProtection="1">
      <alignment horizontal="center" vertical="center"/>
      <protection locked="0"/>
    </xf>
    <xf numFmtId="181" fontId="51" fillId="6" borderId="3" xfId="40" applyNumberFormat="1" applyFont="1" applyFill="1" applyBorder="1" applyAlignment="1" applyProtection="1">
      <alignment vertical="center"/>
    </xf>
    <xf numFmtId="181" fontId="51" fillId="6" borderId="5" xfId="40" applyNumberFormat="1" applyFont="1" applyFill="1" applyBorder="1" applyAlignment="1" applyProtection="1">
      <alignment horizontal="center" vertical="center"/>
    </xf>
    <xf numFmtId="0" fontId="50" fillId="6" borderId="3" xfId="40" applyFont="1" applyFill="1" applyBorder="1" applyAlignment="1" applyProtection="1">
      <alignment horizontal="center" vertical="center" wrapText="1"/>
    </xf>
    <xf numFmtId="0" fontId="50" fillId="6" borderId="1" xfId="40" applyFont="1" applyFill="1" applyBorder="1" applyAlignment="1" applyProtection="1">
      <alignment horizontal="left" vertical="center"/>
    </xf>
    <xf numFmtId="0" fontId="50" fillId="6" borderId="1" xfId="40" applyFont="1" applyFill="1" applyBorder="1" applyAlignment="1" applyProtection="1">
      <alignment horizontal="center" vertical="center" wrapText="1"/>
    </xf>
    <xf numFmtId="9" fontId="51" fillId="12" borderId="0" xfId="40" applyNumberFormat="1" applyFont="1" applyFill="1" applyAlignment="1" applyProtection="1">
      <alignment horizontal="center" vertical="center"/>
      <protection locked="0"/>
    </xf>
    <xf numFmtId="0" fontId="51" fillId="12" borderId="0" xfId="40" applyFont="1" applyFill="1" applyBorder="1" applyAlignment="1" applyProtection="1">
      <alignment horizontal="center" vertical="center"/>
      <protection locked="0"/>
    </xf>
    <xf numFmtId="181" fontId="51" fillId="12" borderId="0" xfId="40" applyNumberFormat="1" applyFont="1" applyFill="1" applyBorder="1" applyAlignment="1" applyProtection="1">
      <alignment vertical="center" wrapText="1"/>
      <protection locked="0"/>
    </xf>
    <xf numFmtId="188" fontId="51" fillId="6" borderId="1" xfId="40" applyNumberFormat="1" applyFont="1" applyFill="1" applyBorder="1" applyAlignment="1" applyProtection="1">
      <alignment horizontal="center" vertical="center" wrapText="1"/>
    </xf>
    <xf numFmtId="0" fontId="50" fillId="6" borderId="47" xfId="40" applyNumberFormat="1" applyFont="1" applyFill="1" applyBorder="1" applyAlignment="1" applyProtection="1">
      <alignment vertical="center" wrapText="1"/>
    </xf>
    <xf numFmtId="49" fontId="50" fillId="0" borderId="43" xfId="40" applyNumberFormat="1" applyFont="1" applyFill="1" applyBorder="1" applyAlignment="1" applyProtection="1">
      <alignment vertical="center"/>
      <protection locked="0"/>
    </xf>
    <xf numFmtId="49" fontId="50" fillId="0" borderId="42" xfId="40" applyNumberFormat="1" applyFont="1" applyFill="1" applyBorder="1" applyAlignment="1" applyProtection="1">
      <alignment vertical="center"/>
      <protection locked="0"/>
    </xf>
    <xf numFmtId="0" fontId="51" fillId="12" borderId="0" xfId="40" applyNumberFormat="1" applyFont="1" applyFill="1" applyAlignment="1" applyProtection="1">
      <alignment horizontal="center" vertical="center"/>
      <protection locked="0"/>
    </xf>
    <xf numFmtId="0" fontId="51" fillId="12" borderId="0" xfId="40" applyNumberFormat="1" applyFont="1" applyFill="1" applyBorder="1" applyAlignment="1" applyProtection="1">
      <alignment horizontal="center" vertical="center"/>
      <protection locked="0"/>
    </xf>
    <xf numFmtId="0" fontId="51" fillId="12" borderId="0" xfId="40" applyNumberFormat="1" applyFont="1" applyFill="1" applyBorder="1" applyAlignment="1" applyProtection="1">
      <alignment vertical="center" wrapText="1"/>
      <protection locked="0"/>
    </xf>
    <xf numFmtId="176" fontId="51" fillId="6" borderId="48" xfId="40" applyNumberFormat="1" applyFont="1" applyFill="1" applyBorder="1" applyAlignment="1" applyProtection="1">
      <alignment horizontal="left" vertical="center" wrapText="1"/>
    </xf>
    <xf numFmtId="181" fontId="50" fillId="18" borderId="68" xfId="40" applyNumberFormat="1" applyFont="1" applyFill="1" applyBorder="1" applyAlignment="1" applyProtection="1">
      <alignment horizontal="left" vertical="center" wrapText="1"/>
      <protection locked="0"/>
    </xf>
    <xf numFmtId="0" fontId="50" fillId="6" borderId="52" xfId="40" applyNumberFormat="1" applyFont="1" applyFill="1" applyBorder="1" applyAlignment="1" applyProtection="1">
      <alignment vertical="center" wrapText="1"/>
    </xf>
    <xf numFmtId="0" fontId="50" fillId="6" borderId="38" xfId="40" applyNumberFormat="1" applyFont="1" applyFill="1" applyBorder="1" applyAlignment="1" applyProtection="1">
      <alignment vertical="center" wrapText="1"/>
    </xf>
    <xf numFmtId="0" fontId="54" fillId="18" borderId="68" xfId="40" applyNumberFormat="1" applyFont="1" applyFill="1" applyBorder="1" applyAlignment="1" applyProtection="1">
      <alignment horizontal="left" vertical="center" wrapText="1"/>
      <protection locked="0"/>
    </xf>
    <xf numFmtId="49" fontId="50" fillId="6" borderId="52" xfId="40" applyNumberFormat="1" applyFont="1" applyFill="1" applyBorder="1" applyAlignment="1" applyProtection="1">
      <alignment vertical="center"/>
    </xf>
    <xf numFmtId="49" fontId="50" fillId="6" borderId="38" xfId="40" applyNumberFormat="1" applyFont="1" applyFill="1" applyBorder="1" applyAlignment="1" applyProtection="1">
      <alignment vertical="center"/>
    </xf>
    <xf numFmtId="0" fontId="51" fillId="6" borderId="2" xfId="40" applyFont="1" applyFill="1" applyBorder="1" applyAlignment="1" applyProtection="1">
      <alignment vertical="center" textRotation="255" wrapText="1"/>
    </xf>
    <xf numFmtId="188" fontId="51" fillId="6" borderId="3" xfId="40" applyNumberFormat="1" applyFont="1" applyFill="1" applyBorder="1" applyAlignment="1" applyProtection="1">
      <alignment horizontal="center" vertical="center"/>
    </xf>
    <xf numFmtId="0" fontId="70" fillId="6" borderId="21" xfId="40" applyNumberFormat="1" applyFont="1" applyFill="1" applyBorder="1" applyAlignment="1" applyProtection="1">
      <alignment vertical="center" wrapText="1"/>
    </xf>
    <xf numFmtId="0" fontId="70" fillId="3" borderId="20" xfId="40" applyNumberFormat="1" applyFont="1" applyFill="1" applyBorder="1" applyAlignment="1" applyProtection="1">
      <alignment vertical="center" wrapText="1"/>
      <protection locked="0"/>
    </xf>
    <xf numFmtId="0" fontId="70" fillId="6" borderId="20" xfId="40" applyNumberFormat="1" applyFont="1" applyFill="1" applyBorder="1" applyAlignment="1" applyProtection="1">
      <alignment vertical="center" wrapText="1"/>
    </xf>
    <xf numFmtId="0" fontId="50" fillId="6" borderId="21" xfId="40" applyNumberFormat="1" applyFont="1" applyFill="1" applyBorder="1" applyAlignment="1" applyProtection="1">
      <alignment vertical="center" wrapText="1"/>
    </xf>
    <xf numFmtId="0" fontId="50" fillId="6" borderId="51" xfId="40" applyNumberFormat="1" applyFont="1" applyFill="1" applyBorder="1" applyAlignment="1" applyProtection="1">
      <alignment horizontal="right" vertical="center" wrapText="1"/>
    </xf>
    <xf numFmtId="49" fontId="50" fillId="6" borderId="20" xfId="40" applyNumberFormat="1" applyFont="1" applyFill="1" applyBorder="1" applyAlignment="1" applyProtection="1">
      <alignment vertical="center"/>
    </xf>
    <xf numFmtId="49" fontId="50" fillId="6" borderId="51" xfId="40" applyNumberFormat="1" applyFont="1" applyFill="1" applyBorder="1" applyAlignment="1" applyProtection="1">
      <alignment vertical="center"/>
    </xf>
    <xf numFmtId="0" fontId="51" fillId="6" borderId="1" xfId="40" applyNumberFormat="1" applyFont="1" applyFill="1" applyBorder="1" applyAlignment="1" applyProtection="1">
      <alignment horizontal="center" vertical="center"/>
    </xf>
    <xf numFmtId="0" fontId="51" fillId="6" borderId="1" xfId="40" applyFont="1" applyFill="1" applyBorder="1" applyAlignment="1" applyProtection="1">
      <alignment horizontal="center" vertical="center"/>
    </xf>
    <xf numFmtId="0" fontId="51" fillId="6" borderId="15" xfId="40" applyFont="1" applyFill="1" applyBorder="1" applyAlignment="1" applyProtection="1">
      <alignment horizontal="center" vertical="center"/>
    </xf>
    <xf numFmtId="49" fontId="51" fillId="6" borderId="3" xfId="40" applyNumberFormat="1" applyFont="1" applyFill="1" applyBorder="1" applyAlignment="1" applyProtection="1">
      <alignment horizontal="center" vertical="center"/>
    </xf>
    <xf numFmtId="187" fontId="51" fillId="6" borderId="5" xfId="40" applyNumberFormat="1" applyFont="1" applyFill="1" applyBorder="1" applyAlignment="1" applyProtection="1">
      <alignment horizontal="center" vertical="center"/>
    </xf>
    <xf numFmtId="0" fontId="51" fillId="6" borderId="1" xfId="40" applyFont="1" applyFill="1" applyBorder="1" applyAlignment="1" applyProtection="1">
      <alignment horizontal="center" vertical="center" wrapText="1"/>
    </xf>
    <xf numFmtId="0" fontId="58" fillId="6" borderId="3" xfId="40" applyNumberFormat="1" applyFont="1" applyFill="1" applyBorder="1" applyAlignment="1" applyProtection="1">
      <alignment horizontal="center" vertical="center" wrapText="1"/>
    </xf>
    <xf numFmtId="0" fontId="51" fillId="6" borderId="49" xfId="40" applyNumberFormat="1" applyFont="1" applyFill="1" applyBorder="1" applyAlignment="1" applyProtection="1">
      <alignment horizontal="center" vertical="center" wrapText="1"/>
    </xf>
    <xf numFmtId="0" fontId="51" fillId="0" borderId="37" xfId="40" applyNumberFormat="1" applyFont="1" applyFill="1" applyBorder="1" applyAlignment="1" applyProtection="1">
      <alignment horizontal="center" vertical="center" wrapText="1"/>
      <protection locked="0"/>
    </xf>
    <xf numFmtId="0" fontId="51" fillId="6" borderId="33" xfId="40" applyNumberFormat="1" applyFont="1" applyFill="1" applyBorder="1" applyAlignment="1" applyProtection="1">
      <alignment horizontal="center" vertical="center" wrapText="1"/>
    </xf>
    <xf numFmtId="0" fontId="51" fillId="0" borderId="38" xfId="40" applyNumberFormat="1" applyFont="1" applyFill="1" applyBorder="1" applyAlignment="1" applyProtection="1">
      <alignment horizontal="center" vertical="center" wrapText="1"/>
      <protection locked="0"/>
    </xf>
    <xf numFmtId="0" fontId="44" fillId="0" borderId="33" xfId="40" applyFont="1" applyFill="1" applyBorder="1" applyAlignment="1" applyProtection="1">
      <alignment horizontal="center" vertical="center" wrapText="1"/>
      <protection locked="0"/>
    </xf>
    <xf numFmtId="0" fontId="50" fillId="6" borderId="12" xfId="40" applyFont="1" applyFill="1" applyBorder="1" applyAlignment="1" applyProtection="1">
      <alignment vertical="center" textRotation="255" wrapText="1"/>
    </xf>
    <xf numFmtId="0" fontId="51" fillId="6" borderId="24" xfId="40" applyNumberFormat="1" applyFont="1" applyFill="1" applyBorder="1" applyAlignment="1" applyProtection="1">
      <alignment horizontal="center" vertical="center" wrapText="1"/>
    </xf>
    <xf numFmtId="0" fontId="51" fillId="6" borderId="5" xfId="40" applyNumberFormat="1" applyFont="1" applyFill="1" applyBorder="1" applyAlignment="1" applyProtection="1">
      <alignment horizontal="center" vertical="center" wrapText="1"/>
    </xf>
    <xf numFmtId="0" fontId="44" fillId="0" borderId="5" xfId="40" applyFont="1" applyFill="1" applyBorder="1" applyAlignment="1" applyProtection="1">
      <alignment horizontal="center" vertical="center" wrapText="1"/>
      <protection locked="0"/>
    </xf>
    <xf numFmtId="0" fontId="50" fillId="6" borderId="14" xfId="40" applyFont="1" applyFill="1" applyBorder="1" applyAlignment="1" applyProtection="1">
      <alignment vertical="center" textRotation="255" wrapText="1"/>
    </xf>
    <xf numFmtId="0" fontId="44" fillId="6" borderId="1" xfId="40" applyNumberFormat="1" applyFont="1" applyFill="1" applyBorder="1" applyAlignment="1" applyProtection="1">
      <alignment horizontal="center" vertical="center"/>
    </xf>
    <xf numFmtId="0" fontId="44" fillId="6" borderId="1" xfId="40" applyFont="1" applyFill="1" applyBorder="1" applyAlignment="1" applyProtection="1">
      <alignment horizontal="center" vertical="center"/>
    </xf>
    <xf numFmtId="0" fontId="44" fillId="6" borderId="15" xfId="40" applyFont="1" applyFill="1" applyBorder="1" applyAlignment="1" applyProtection="1">
      <alignment horizontal="center" vertical="center"/>
    </xf>
    <xf numFmtId="49" fontId="44" fillId="6" borderId="3" xfId="40" applyNumberFormat="1" applyFont="1" applyFill="1" applyBorder="1" applyAlignment="1" applyProtection="1">
      <alignment horizontal="center" vertical="center"/>
    </xf>
    <xf numFmtId="187" fontId="44" fillId="6" borderId="5" xfId="40" applyNumberFormat="1" applyFont="1" applyFill="1" applyBorder="1" applyAlignment="1" applyProtection="1">
      <alignment horizontal="center" vertical="center"/>
    </xf>
    <xf numFmtId="0" fontId="44" fillId="6" borderId="1" xfId="40" applyFont="1" applyFill="1" applyBorder="1" applyAlignment="1" applyProtection="1">
      <alignment horizontal="center" vertical="center" wrapText="1"/>
    </xf>
    <xf numFmtId="0" fontId="44" fillId="12" borderId="0" xfId="40" applyNumberFormat="1" applyFont="1" applyFill="1" applyBorder="1" applyAlignment="1" applyProtection="1">
      <alignment horizontal="center" vertical="center"/>
      <protection locked="0"/>
    </xf>
    <xf numFmtId="0" fontId="44" fillId="6" borderId="24" xfId="40" applyNumberFormat="1" applyFont="1" applyFill="1" applyBorder="1" applyAlignment="1" applyProtection="1">
      <alignment horizontal="center" vertical="center" wrapText="1"/>
    </xf>
    <xf numFmtId="0" fontId="44" fillId="6" borderId="5" xfId="40" applyNumberFormat="1" applyFont="1" applyFill="1" applyBorder="1" applyAlignment="1" applyProtection="1">
      <alignment horizontal="center" vertical="center" wrapText="1"/>
    </xf>
    <xf numFmtId="0" fontId="44" fillId="0" borderId="37" xfId="40" applyNumberFormat="1" applyFont="1" applyFill="1" applyBorder="1" applyAlignment="1" applyProtection="1">
      <alignment horizontal="center" vertical="center" wrapText="1"/>
      <protection locked="0"/>
    </xf>
    <xf numFmtId="0" fontId="128" fillId="0" borderId="5" xfId="40" applyFont="1" applyFill="1" applyBorder="1" applyAlignment="1" applyProtection="1">
      <alignment horizontal="center" vertical="center" wrapText="1"/>
      <protection locked="0"/>
    </xf>
    <xf numFmtId="0" fontId="46" fillId="6" borderId="14" xfId="40" applyFont="1" applyFill="1" applyBorder="1" applyAlignment="1" applyProtection="1">
      <alignment vertical="center" textRotation="255" wrapText="1"/>
    </xf>
    <xf numFmtId="181" fontId="68" fillId="12" borderId="0" xfId="40" applyNumberFormat="1" applyFont="1" applyFill="1" applyBorder="1" applyAlignment="1" applyProtection="1">
      <alignment horizontal="center" vertical="center" wrapText="1"/>
      <protection locked="0"/>
    </xf>
    <xf numFmtId="0" fontId="58" fillId="0" borderId="3" xfId="40" applyNumberFormat="1" applyFont="1" applyFill="1" applyBorder="1" applyAlignment="1" applyProtection="1">
      <alignment horizontal="center" vertical="center" wrapText="1"/>
      <protection locked="0"/>
    </xf>
    <xf numFmtId="49" fontId="51" fillId="2" borderId="23" xfId="40" applyNumberFormat="1" applyFont="1" applyFill="1" applyBorder="1" applyAlignment="1" applyProtection="1">
      <alignment horizontal="center" vertical="center" wrapText="1"/>
      <protection locked="0"/>
    </xf>
    <xf numFmtId="0" fontId="44" fillId="6" borderId="5" xfId="40" applyFont="1" applyFill="1" applyBorder="1" applyAlignment="1" applyProtection="1">
      <alignment horizontal="center" vertical="center" wrapText="1"/>
    </xf>
    <xf numFmtId="0" fontId="49" fillId="6" borderId="1" xfId="40" applyFont="1" applyFill="1" applyBorder="1" applyAlignment="1" applyProtection="1">
      <alignment horizontal="center" vertical="center"/>
    </xf>
    <xf numFmtId="0" fontId="49" fillId="6" borderId="15" xfId="40" applyFont="1" applyFill="1" applyBorder="1" applyAlignment="1" applyProtection="1">
      <alignment horizontal="center" vertical="center"/>
    </xf>
    <xf numFmtId="49" fontId="49" fillId="6" borderId="3" xfId="40" applyNumberFormat="1" applyFont="1" applyFill="1" applyBorder="1" applyAlignment="1" applyProtection="1">
      <alignment horizontal="center" vertical="center"/>
    </xf>
    <xf numFmtId="187" fontId="49" fillId="6" borderId="5" xfId="40" applyNumberFormat="1" applyFont="1" applyFill="1" applyBorder="1" applyAlignment="1" applyProtection="1">
      <alignment horizontal="center" vertical="center"/>
    </xf>
    <xf numFmtId="0" fontId="49" fillId="6" borderId="1" xfId="40" applyFont="1" applyFill="1" applyBorder="1" applyAlignment="1" applyProtection="1">
      <alignment horizontal="center" vertical="center" wrapText="1"/>
    </xf>
    <xf numFmtId="0" fontId="49" fillId="12" borderId="0" xfId="40" applyFont="1" applyFill="1" applyBorder="1" applyAlignment="1" applyProtection="1">
      <alignment horizontal="center" vertical="center"/>
      <protection locked="0"/>
    </xf>
    <xf numFmtId="181" fontId="49" fillId="12" borderId="0" xfId="40" applyNumberFormat="1" applyFont="1" applyFill="1" applyBorder="1" applyAlignment="1" applyProtection="1">
      <alignment horizontal="center" vertical="center" wrapText="1"/>
      <protection locked="0"/>
    </xf>
    <xf numFmtId="0" fontId="51" fillId="2" borderId="37" xfId="40" applyNumberFormat="1" applyFont="1" applyFill="1" applyBorder="1" applyAlignment="1" applyProtection="1">
      <alignment horizontal="center" vertical="center" wrapText="1"/>
      <protection locked="0"/>
    </xf>
    <xf numFmtId="0" fontId="51" fillId="6" borderId="5" xfId="40" applyFont="1" applyFill="1" applyBorder="1" applyAlignment="1" applyProtection="1">
      <alignment horizontal="center" vertical="center" wrapText="1"/>
    </xf>
    <xf numFmtId="0" fontId="69" fillId="6" borderId="14" xfId="40" applyFont="1" applyFill="1" applyBorder="1" applyAlignment="1" applyProtection="1">
      <alignment vertical="center" textRotation="255" wrapText="1"/>
    </xf>
    <xf numFmtId="0" fontId="49" fillId="0" borderId="37" xfId="40" applyNumberFormat="1" applyFont="1" applyFill="1" applyBorder="1" applyAlignment="1" applyProtection="1">
      <alignment horizontal="center" vertical="center" wrapText="1"/>
      <protection locked="0"/>
    </xf>
    <xf numFmtId="17" fontId="49" fillId="0" borderId="37" xfId="40" applyNumberFormat="1" applyFont="1" applyFill="1" applyBorder="1" applyAlignment="1" applyProtection="1">
      <alignment horizontal="center" vertical="center" wrapText="1"/>
      <protection locked="0"/>
    </xf>
    <xf numFmtId="0" fontId="44" fillId="12" borderId="0" xfId="40" applyFont="1" applyFill="1" applyBorder="1" applyAlignment="1" applyProtection="1">
      <alignment horizontal="center" vertical="center"/>
      <protection locked="0"/>
    </xf>
    <xf numFmtId="181" fontId="44" fillId="12" borderId="0" xfId="40" applyNumberFormat="1" applyFont="1" applyFill="1" applyBorder="1" applyAlignment="1" applyProtection="1">
      <alignment horizontal="center" vertical="center" wrapText="1"/>
      <protection locked="0"/>
    </xf>
    <xf numFmtId="9" fontId="44" fillId="0" borderId="37" xfId="40" applyNumberFormat="1" applyFont="1" applyFill="1" applyBorder="1" applyAlignment="1" applyProtection="1">
      <alignment horizontal="center" vertical="center" wrapText="1"/>
      <protection locked="0"/>
    </xf>
    <xf numFmtId="0" fontId="51" fillId="2" borderId="23" xfId="40" applyFont="1" applyFill="1" applyBorder="1" applyAlignment="1" applyProtection="1">
      <alignment horizontal="center" vertical="center" wrapText="1"/>
      <protection locked="0"/>
    </xf>
    <xf numFmtId="0" fontId="44" fillId="0" borderId="23" xfId="40" applyNumberFormat="1" applyFont="1" applyFill="1" applyBorder="1" applyAlignment="1" applyProtection="1">
      <alignment horizontal="center" vertical="center" wrapText="1"/>
      <protection locked="0"/>
    </xf>
    <xf numFmtId="0" fontId="44" fillId="0" borderId="3" xfId="40" applyNumberFormat="1" applyFont="1" applyFill="1" applyBorder="1" applyAlignment="1" applyProtection="1">
      <alignment horizontal="center" vertical="center" wrapText="1"/>
      <protection locked="0"/>
    </xf>
    <xf numFmtId="0" fontId="51" fillId="6" borderId="10" xfId="40" applyNumberFormat="1" applyFont="1" applyFill="1" applyBorder="1" applyAlignment="1" applyProtection="1">
      <alignment horizontal="center" vertical="center" wrapText="1"/>
    </xf>
    <xf numFmtId="0" fontId="51" fillId="2" borderId="6" xfId="40" applyFont="1" applyFill="1" applyBorder="1" applyAlignment="1" applyProtection="1">
      <alignment horizontal="center" vertical="center" wrapText="1"/>
      <protection locked="0"/>
    </xf>
    <xf numFmtId="0" fontId="44" fillId="6" borderId="28" xfId="40" applyFont="1" applyFill="1" applyBorder="1" applyAlignment="1" applyProtection="1">
      <alignment horizontal="center" vertical="center" wrapText="1"/>
    </xf>
    <xf numFmtId="0" fontId="50" fillId="6" borderId="40" xfId="40" applyFont="1" applyFill="1" applyBorder="1" applyAlignment="1" applyProtection="1">
      <alignment vertical="center" wrapText="1"/>
    </xf>
    <xf numFmtId="0" fontId="50" fillId="6" borderId="12" xfId="40" applyFont="1" applyFill="1" applyBorder="1" applyAlignment="1" applyProtection="1">
      <alignment vertical="center" wrapText="1"/>
    </xf>
    <xf numFmtId="0" fontId="50" fillId="6" borderId="14" xfId="40" applyFont="1" applyFill="1" applyBorder="1" applyAlignment="1" applyProtection="1">
      <alignment vertical="center" wrapText="1"/>
    </xf>
    <xf numFmtId="0" fontId="44" fillId="6" borderId="8" xfId="40" applyNumberFormat="1" applyFont="1" applyFill="1" applyBorder="1" applyAlignment="1" applyProtection="1">
      <alignment horizontal="center" vertical="center" wrapText="1"/>
    </xf>
    <xf numFmtId="0" fontId="44" fillId="2" borderId="41" xfId="40" applyNumberFormat="1" applyFont="1" applyFill="1" applyBorder="1" applyAlignment="1" applyProtection="1">
      <alignment horizontal="center" vertical="center" wrapText="1"/>
      <protection locked="0"/>
    </xf>
    <xf numFmtId="0" fontId="44" fillId="6" borderId="4" xfId="40" applyNumberFormat="1" applyFont="1" applyFill="1" applyBorder="1" applyAlignment="1" applyProtection="1">
      <alignment horizontal="center" vertical="center" wrapText="1"/>
    </xf>
    <xf numFmtId="0" fontId="44" fillId="6" borderId="46" xfId="40" applyFont="1" applyFill="1" applyBorder="1" applyAlignment="1" applyProtection="1">
      <alignment horizontal="center" vertical="center" wrapText="1"/>
    </xf>
    <xf numFmtId="0" fontId="46" fillId="6" borderId="14" xfId="40" applyFont="1" applyFill="1" applyBorder="1" applyAlignment="1" applyProtection="1">
      <alignment vertical="center" wrapText="1"/>
    </xf>
    <xf numFmtId="0" fontId="58" fillId="6" borderId="41" xfId="40" applyNumberFormat="1" applyFont="1" applyFill="1" applyBorder="1" applyAlignment="1" applyProtection="1">
      <alignment horizontal="center" vertical="center" wrapText="1"/>
    </xf>
    <xf numFmtId="0" fontId="51" fillId="2" borderId="41" xfId="40" applyNumberFormat="1" applyFont="1" applyFill="1" applyBorder="1" applyAlignment="1" applyProtection="1">
      <alignment horizontal="center" vertical="center" wrapText="1"/>
      <protection locked="0"/>
    </xf>
    <xf numFmtId="0" fontId="51" fillId="6" borderId="4" xfId="40" applyNumberFormat="1" applyFont="1" applyFill="1" applyBorder="1" applyAlignment="1" applyProtection="1">
      <alignment horizontal="center" vertical="center" wrapText="1"/>
    </xf>
    <xf numFmtId="0" fontId="44" fillId="6" borderId="4" xfId="40" applyFont="1" applyFill="1" applyBorder="1" applyAlignment="1" applyProtection="1">
      <alignment horizontal="center" vertical="center" wrapText="1"/>
    </xf>
    <xf numFmtId="0" fontId="58" fillId="0" borderId="11" xfId="40" applyNumberFormat="1" applyFont="1" applyFill="1" applyBorder="1" applyAlignment="1" applyProtection="1">
      <alignment horizontal="center" vertical="center" wrapText="1"/>
      <protection locked="0"/>
    </xf>
    <xf numFmtId="49" fontId="51" fillId="0" borderId="35" xfId="40" applyNumberFormat="1" applyFont="1" applyFill="1" applyBorder="1" applyAlignment="1" applyProtection="1">
      <alignment horizontal="center" vertical="center" wrapText="1"/>
      <protection locked="0"/>
    </xf>
    <xf numFmtId="49" fontId="51" fillId="0" borderId="14" xfId="40" applyNumberFormat="1" applyFont="1" applyFill="1" applyBorder="1" applyAlignment="1" applyProtection="1">
      <alignment horizontal="center" vertical="center" wrapText="1"/>
      <protection locked="0"/>
    </xf>
    <xf numFmtId="0" fontId="51" fillId="6" borderId="58" xfId="40" applyNumberFormat="1" applyFont="1" applyFill="1" applyBorder="1" applyAlignment="1" applyProtection="1">
      <alignment horizontal="center" vertical="center" wrapText="1"/>
    </xf>
    <xf numFmtId="49" fontId="51" fillId="6" borderId="11" xfId="40" applyNumberFormat="1" applyFont="1" applyFill="1" applyBorder="1" applyAlignment="1" applyProtection="1">
      <alignment horizontal="center" vertical="center" wrapText="1"/>
    </xf>
    <xf numFmtId="0" fontId="58" fillId="6" borderId="14" xfId="40" applyNumberFormat="1" applyFont="1" applyFill="1" applyBorder="1" applyAlignment="1" applyProtection="1">
      <alignment horizontal="center" vertical="center" wrapText="1"/>
    </xf>
    <xf numFmtId="0" fontId="51" fillId="2" borderId="14" xfId="40" applyNumberFormat="1" applyFont="1" applyFill="1" applyBorder="1" applyAlignment="1" applyProtection="1">
      <alignment horizontal="center" vertical="center" wrapText="1"/>
      <protection locked="0"/>
    </xf>
    <xf numFmtId="0" fontId="44" fillId="6" borderId="58" xfId="40" applyFont="1" applyFill="1" applyBorder="1" applyAlignment="1" applyProtection="1">
      <alignment horizontal="center" vertical="center" wrapText="1"/>
    </xf>
    <xf numFmtId="49" fontId="51" fillId="0" borderId="22" xfId="40" applyNumberFormat="1" applyFont="1" applyFill="1" applyBorder="1" applyAlignment="1" applyProtection="1">
      <alignment horizontal="center" vertical="center" wrapText="1"/>
      <protection locked="0"/>
    </xf>
    <xf numFmtId="49" fontId="51" fillId="0" borderId="11" xfId="40" applyNumberFormat="1" applyFont="1" applyFill="1" applyBorder="1" applyAlignment="1" applyProtection="1">
      <alignment horizontal="center" vertical="center" wrapText="1"/>
      <protection locked="0"/>
    </xf>
    <xf numFmtId="0" fontId="51" fillId="6" borderId="46" xfId="40" applyNumberFormat="1" applyFont="1" applyFill="1" applyBorder="1" applyAlignment="1" applyProtection="1">
      <alignment horizontal="center" vertical="center" wrapText="1"/>
    </xf>
    <xf numFmtId="0" fontId="51" fillId="6" borderId="61" xfId="40" applyNumberFormat="1" applyFont="1" applyFill="1" applyBorder="1" applyAlignment="1" applyProtection="1">
      <alignment horizontal="center" vertical="center" wrapText="1"/>
    </xf>
    <xf numFmtId="0" fontId="51" fillId="6" borderId="11" xfId="40" applyNumberFormat="1" applyFont="1" applyFill="1" applyBorder="1" applyAlignment="1" applyProtection="1">
      <alignment horizontal="center" vertical="center" wrapText="1"/>
    </xf>
    <xf numFmtId="49" fontId="51" fillId="2" borderId="7" xfId="40" applyNumberFormat="1" applyFont="1" applyFill="1" applyBorder="1" applyAlignment="1" applyProtection="1">
      <alignment horizontal="center" vertical="center" wrapText="1"/>
      <protection locked="0"/>
    </xf>
    <xf numFmtId="0" fontId="51" fillId="6" borderId="0" xfId="40" applyFont="1" applyFill="1" applyBorder="1" applyAlignment="1" applyProtection="1">
      <alignment horizontal="center" vertical="center"/>
    </xf>
    <xf numFmtId="0" fontId="51" fillId="6" borderId="62" xfId="40" applyNumberFormat="1" applyFont="1" applyFill="1" applyBorder="1" applyAlignment="1" applyProtection="1">
      <alignment horizontal="center" vertical="center" wrapText="1"/>
    </xf>
    <xf numFmtId="49" fontId="51" fillId="0" borderId="39" xfId="40" applyNumberFormat="1" applyFont="1" applyFill="1" applyBorder="1" applyAlignment="1" applyProtection="1">
      <alignment horizontal="center" vertical="center" wrapText="1"/>
      <protection locked="0"/>
    </xf>
    <xf numFmtId="49" fontId="51" fillId="0" borderId="40" xfId="40" applyNumberFormat="1" applyFont="1" applyFill="1" applyBorder="1" applyAlignment="1" applyProtection="1">
      <alignment horizontal="center" vertical="center" wrapText="1"/>
      <protection locked="0"/>
    </xf>
    <xf numFmtId="0" fontId="51" fillId="6" borderId="29" xfId="40" applyNumberFormat="1" applyFont="1" applyFill="1" applyBorder="1" applyAlignment="1" applyProtection="1">
      <alignment horizontal="center" vertical="center" wrapText="1"/>
    </xf>
    <xf numFmtId="49" fontId="51" fillId="6" borderId="40" xfId="40" applyNumberFormat="1" applyFont="1" applyFill="1" applyBorder="1" applyAlignment="1" applyProtection="1">
      <alignment horizontal="center" vertical="center" wrapText="1"/>
    </xf>
    <xf numFmtId="0" fontId="44" fillId="6" borderId="29" xfId="40" applyFont="1" applyFill="1" applyBorder="1" applyAlignment="1" applyProtection="1">
      <alignment horizontal="center" vertical="center" wrapText="1"/>
    </xf>
    <xf numFmtId="0" fontId="44" fillId="0" borderId="46" xfId="40" applyFont="1" applyFill="1" applyBorder="1" applyAlignment="1" applyProtection="1">
      <alignment horizontal="center" vertical="center" wrapText="1"/>
      <protection locked="0"/>
    </xf>
    <xf numFmtId="0" fontId="44" fillId="6" borderId="71" xfId="40" applyNumberFormat="1" applyFont="1" applyFill="1" applyBorder="1" applyAlignment="1" applyProtection="1">
      <alignment horizontal="center" vertical="center" wrapText="1"/>
    </xf>
    <xf numFmtId="0" fontId="44" fillId="0" borderId="41" xfId="40" applyNumberFormat="1" applyFont="1" applyFill="1" applyBorder="1" applyAlignment="1" applyProtection="1">
      <alignment horizontal="center" vertical="center" wrapText="1"/>
      <protection locked="0"/>
    </xf>
    <xf numFmtId="0" fontId="67" fillId="0" borderId="0" xfId="40" applyFont="1" applyFill="1" applyAlignment="1" applyProtection="1">
      <alignment horizontal="center" vertical="center"/>
      <protection locked="0"/>
    </xf>
    <xf numFmtId="0" fontId="67" fillId="12" borderId="0" xfId="40" applyFont="1" applyFill="1" applyBorder="1" applyAlignment="1" applyProtection="1">
      <alignment horizontal="center" vertical="center"/>
      <protection locked="0"/>
    </xf>
    <xf numFmtId="181" fontId="67" fillId="12" borderId="0" xfId="40" applyNumberFormat="1" applyFont="1" applyFill="1" applyBorder="1" applyAlignment="1" applyProtection="1">
      <alignment horizontal="center" vertical="center" wrapText="1"/>
      <protection locked="0"/>
    </xf>
    <xf numFmtId="0" fontId="44" fillId="6" borderId="3" xfId="40" applyNumberFormat="1" applyFont="1" applyFill="1" applyBorder="1" applyAlignment="1" applyProtection="1">
      <alignment horizontal="center" vertical="center" wrapText="1"/>
    </xf>
    <xf numFmtId="176" fontId="44" fillId="0" borderId="3" xfId="40" applyNumberFormat="1" applyFont="1" applyFill="1" applyBorder="1" applyAlignment="1" applyProtection="1">
      <alignment horizontal="center" vertical="center" wrapText="1"/>
      <protection locked="0"/>
    </xf>
    <xf numFmtId="176" fontId="44" fillId="0" borderId="23" xfId="40" applyNumberFormat="1" applyFont="1" applyFill="1" applyBorder="1" applyAlignment="1" applyProtection="1">
      <alignment horizontal="center" vertical="center" wrapText="1"/>
      <protection locked="0"/>
    </xf>
    <xf numFmtId="0" fontId="66" fillId="6" borderId="14" xfId="40" applyFont="1" applyFill="1" applyBorder="1" applyAlignment="1" applyProtection="1">
      <alignment vertical="center" wrapText="1"/>
    </xf>
    <xf numFmtId="0" fontId="44" fillId="6" borderId="10" xfId="40" applyNumberFormat="1" applyFont="1" applyFill="1" applyBorder="1" applyAlignment="1" applyProtection="1">
      <alignment horizontal="center" vertical="center" wrapText="1"/>
    </xf>
    <xf numFmtId="49" fontId="44" fillId="2" borderId="30" xfId="40" applyNumberFormat="1" applyFont="1" applyFill="1" applyBorder="1" applyAlignment="1" applyProtection="1">
      <alignment horizontal="center" vertical="center" wrapText="1"/>
      <protection locked="0"/>
    </xf>
    <xf numFmtId="0" fontId="44" fillId="6" borderId="28" xfId="40" applyNumberFormat="1" applyFont="1" applyFill="1" applyBorder="1" applyAlignment="1" applyProtection="1">
      <alignment horizontal="center" vertical="center" wrapText="1"/>
    </xf>
    <xf numFmtId="0" fontId="128" fillId="0" borderId="51" xfId="40" applyNumberFormat="1" applyFont="1" applyFill="1" applyBorder="1" applyAlignment="1" applyProtection="1">
      <alignment horizontal="center" vertical="center" wrapText="1"/>
      <protection locked="0"/>
    </xf>
    <xf numFmtId="0" fontId="46" fillId="6" borderId="40" xfId="40" applyFont="1" applyFill="1" applyBorder="1" applyAlignment="1" applyProtection="1">
      <alignment vertical="center" wrapText="1"/>
    </xf>
    <xf numFmtId="0" fontId="44" fillId="6" borderId="67" xfId="40" applyNumberFormat="1" applyFont="1" applyFill="1" applyBorder="1" applyAlignment="1" applyProtection="1">
      <alignment horizontal="center" vertical="center" wrapText="1"/>
    </xf>
    <xf numFmtId="49" fontId="44" fillId="2" borderId="26" xfId="40" applyNumberFormat="1" applyFont="1" applyFill="1" applyBorder="1" applyAlignment="1" applyProtection="1">
      <alignment horizontal="center" vertical="center" wrapText="1"/>
      <protection locked="0"/>
    </xf>
    <xf numFmtId="0" fontId="44" fillId="6" borderId="34" xfId="40" applyNumberFormat="1" applyFont="1" applyFill="1" applyBorder="1" applyAlignment="1" applyProtection="1">
      <alignment horizontal="center" vertical="center" wrapText="1"/>
    </xf>
    <xf numFmtId="0" fontId="46" fillId="6" borderId="64" xfId="40" applyFont="1" applyFill="1" applyBorder="1" applyAlignment="1" applyProtection="1">
      <alignment vertical="center" wrapText="1"/>
    </xf>
    <xf numFmtId="0" fontId="46" fillId="6" borderId="63" xfId="40" applyFont="1" applyFill="1" applyBorder="1" applyAlignment="1" applyProtection="1">
      <alignment vertical="center" wrapText="1"/>
    </xf>
    <xf numFmtId="183" fontId="44" fillId="0" borderId="70" xfId="40" applyNumberFormat="1" applyFont="1" applyFill="1" applyBorder="1" applyAlignment="1" applyProtection="1">
      <alignment horizontal="center" vertical="center" wrapText="1"/>
      <protection locked="0"/>
    </xf>
    <xf numFmtId="183" fontId="44" fillId="6" borderId="26" xfId="40" applyNumberFormat="1" applyFont="1" applyFill="1" applyBorder="1" applyAlignment="1" applyProtection="1">
      <alignment horizontal="center" vertical="center" wrapText="1"/>
    </xf>
    <xf numFmtId="181" fontId="44" fillId="12" borderId="0" xfId="40" applyNumberFormat="1" applyFont="1" applyFill="1" applyBorder="1" applyAlignment="1" applyProtection="1">
      <alignment vertical="center" wrapText="1"/>
      <protection locked="0"/>
    </xf>
    <xf numFmtId="188" fontId="44" fillId="6" borderId="3" xfId="40" applyNumberFormat="1" applyFont="1" applyFill="1" applyBorder="1" applyAlignment="1" applyProtection="1">
      <alignment horizontal="center" vertical="center" wrapText="1"/>
    </xf>
    <xf numFmtId="0" fontId="50" fillId="6" borderId="47" xfId="40" applyFont="1" applyFill="1" applyBorder="1" applyAlignment="1" applyProtection="1">
      <alignment vertical="center" wrapText="1"/>
    </xf>
    <xf numFmtId="0" fontId="50" fillId="6" borderId="42" xfId="40" applyFont="1" applyFill="1" applyBorder="1" applyAlignment="1" applyProtection="1">
      <alignment vertical="center" wrapText="1"/>
    </xf>
    <xf numFmtId="0" fontId="50" fillId="6" borderId="0" xfId="40" applyFont="1" applyFill="1" applyBorder="1" applyAlignment="1" applyProtection="1">
      <alignment vertical="center" wrapText="1"/>
    </xf>
    <xf numFmtId="0" fontId="50" fillId="6" borderId="18" xfId="40" applyFont="1" applyFill="1" applyBorder="1" applyAlignment="1" applyProtection="1">
      <alignment vertical="center" wrapText="1"/>
    </xf>
    <xf numFmtId="0" fontId="50" fillId="6" borderId="19" xfId="40" applyFont="1" applyFill="1" applyBorder="1" applyAlignment="1" applyProtection="1">
      <alignment vertical="center" wrapText="1"/>
    </xf>
    <xf numFmtId="0" fontId="50" fillId="6" borderId="16" xfId="40" applyFont="1" applyFill="1" applyBorder="1" applyAlignment="1" applyProtection="1">
      <alignment vertical="center" wrapText="1"/>
    </xf>
    <xf numFmtId="0" fontId="63" fillId="0" borderId="0" xfId="40" applyFont="1" applyFill="1" applyAlignment="1" applyProtection="1">
      <alignment horizontal="center" vertical="center"/>
      <protection locked="0"/>
    </xf>
    <xf numFmtId="0" fontId="63" fillId="6" borderId="0" xfId="40" applyFont="1" applyFill="1" applyAlignment="1" applyProtection="1">
      <alignment horizontal="center" vertical="center"/>
      <protection locked="0"/>
    </xf>
    <xf numFmtId="0" fontId="62" fillId="6" borderId="0" xfId="40" applyFont="1" applyFill="1" applyBorder="1" applyAlignment="1" applyProtection="1">
      <alignment horizontal="center" vertical="center"/>
      <protection locked="0"/>
    </xf>
    <xf numFmtId="0" fontId="62" fillId="6" borderId="18" xfId="40" applyFont="1" applyFill="1" applyBorder="1" applyAlignment="1" applyProtection="1">
      <alignment horizontal="center" vertical="center"/>
      <protection locked="0"/>
    </xf>
    <xf numFmtId="0" fontId="62" fillId="12" borderId="0" xfId="40" applyFont="1" applyFill="1" applyBorder="1" applyAlignment="1" applyProtection="1">
      <alignment horizontal="center" vertical="center"/>
      <protection locked="0"/>
    </xf>
    <xf numFmtId="181" fontId="62" fillId="12" borderId="0" xfId="40" applyNumberFormat="1" applyFont="1" applyFill="1" applyBorder="1" applyAlignment="1" applyProtection="1">
      <alignment vertical="center"/>
      <protection locked="0"/>
    </xf>
    <xf numFmtId="188" fontId="62" fillId="6" borderId="0" xfId="40" applyNumberFormat="1" applyFont="1" applyFill="1" applyBorder="1" applyAlignment="1" applyProtection="1">
      <alignment horizontal="center" vertical="center"/>
      <protection locked="0"/>
    </xf>
    <xf numFmtId="0" fontId="62" fillId="6" borderId="0" xfId="40" applyFont="1" applyFill="1" applyBorder="1" applyAlignment="1" applyProtection="1">
      <alignment vertical="center"/>
      <protection locked="0"/>
    </xf>
    <xf numFmtId="0" fontId="65" fillId="6" borderId="0" xfId="40" applyFont="1" applyFill="1" applyBorder="1" applyAlignment="1" applyProtection="1">
      <alignment vertical="center"/>
      <protection locked="0"/>
    </xf>
    <xf numFmtId="0" fontId="57" fillId="6" borderId="13" xfId="40" applyFont="1" applyFill="1" applyBorder="1" applyAlignment="1" applyProtection="1">
      <alignment horizontal="right" vertical="center"/>
    </xf>
    <xf numFmtId="0" fontId="57" fillId="6" borderId="13" xfId="40" applyFont="1" applyFill="1" applyBorder="1" applyAlignment="1" applyProtection="1">
      <alignment horizontal="center" vertical="center"/>
    </xf>
    <xf numFmtId="185" fontId="57" fillId="6" borderId="13" xfId="40" applyNumberFormat="1" applyFont="1" applyFill="1" applyBorder="1" applyAlignment="1" applyProtection="1">
      <alignment horizontal="right" vertical="center"/>
    </xf>
    <xf numFmtId="0" fontId="63" fillId="6" borderId="0" xfId="40" applyFont="1" applyFill="1" applyBorder="1" applyAlignment="1" applyProtection="1">
      <alignment horizontal="center" vertical="center"/>
      <protection locked="0"/>
    </xf>
    <xf numFmtId="0" fontId="57" fillId="6" borderId="0" xfId="40" applyFont="1" applyFill="1" applyBorder="1" applyAlignment="1" applyProtection="1">
      <alignment vertical="center"/>
    </xf>
    <xf numFmtId="0" fontId="57" fillId="6" borderId="2" xfId="40" applyFont="1" applyFill="1" applyBorder="1" applyAlignment="1" applyProtection="1">
      <alignment horizontal="right" vertical="center"/>
    </xf>
    <xf numFmtId="0" fontId="63" fillId="0" borderId="87" xfId="40" applyFont="1" applyFill="1" applyBorder="1" applyAlignment="1" applyProtection="1">
      <alignment horizontal="center" vertical="center"/>
      <protection locked="0"/>
    </xf>
    <xf numFmtId="0" fontId="63" fillId="6" borderId="87" xfId="40" applyFont="1" applyFill="1" applyBorder="1" applyAlignment="1" applyProtection="1">
      <alignment horizontal="center" vertical="center"/>
      <protection locked="0"/>
    </xf>
    <xf numFmtId="0" fontId="62" fillId="6" borderId="87" xfId="40" applyFont="1" applyFill="1" applyBorder="1" applyAlignment="1" applyProtection="1">
      <alignment horizontal="center" vertical="center"/>
      <protection locked="0"/>
    </xf>
    <xf numFmtId="0" fontId="62" fillId="6" borderId="89" xfId="40" applyFont="1" applyFill="1" applyBorder="1" applyAlignment="1" applyProtection="1">
      <alignment horizontal="center" vertical="center"/>
      <protection locked="0"/>
    </xf>
    <xf numFmtId="0" fontId="62" fillId="6" borderId="88" xfId="40" applyFont="1" applyFill="1" applyBorder="1" applyAlignment="1" applyProtection="1">
      <alignment horizontal="center" vertical="center"/>
    </xf>
    <xf numFmtId="181" fontId="62" fillId="6" borderId="88" xfId="40" applyNumberFormat="1" applyFont="1" applyFill="1" applyBorder="1" applyAlignment="1" applyProtection="1">
      <alignment vertical="center"/>
    </xf>
    <xf numFmtId="188" fontId="62" fillId="6" borderId="88" xfId="40" applyNumberFormat="1" applyFont="1" applyFill="1" applyBorder="1" applyAlignment="1" applyProtection="1">
      <alignment horizontal="center" vertical="center"/>
    </xf>
    <xf numFmtId="0" fontId="62" fillId="6" borderId="88" xfId="40" applyFont="1" applyFill="1" applyBorder="1" applyAlignment="1" applyProtection="1">
      <alignment vertical="center"/>
    </xf>
    <xf numFmtId="0" fontId="65" fillId="6" borderId="88" xfId="40" applyFont="1" applyFill="1" applyBorder="1" applyAlignment="1" applyProtection="1">
      <alignment vertical="center"/>
    </xf>
    <xf numFmtId="0" fontId="62" fillId="5" borderId="78" xfId="40" applyFont="1" applyFill="1" applyBorder="1" applyAlignment="1" applyProtection="1">
      <alignment horizontal="center" vertical="center"/>
      <protection locked="0"/>
    </xf>
    <xf numFmtId="0" fontId="62" fillId="5" borderId="118" xfId="40" applyFont="1" applyFill="1" applyBorder="1" applyAlignment="1" applyProtection="1">
      <alignment vertical="center"/>
      <protection locked="0"/>
    </xf>
    <xf numFmtId="0" fontId="62" fillId="2" borderId="88" xfId="40" applyFont="1" applyFill="1" applyBorder="1" applyAlignment="1" applyProtection="1">
      <alignment vertical="center"/>
      <protection locked="0"/>
    </xf>
    <xf numFmtId="0" fontId="62" fillId="6" borderId="85" xfId="40" applyFont="1" applyFill="1" applyBorder="1" applyAlignment="1" applyProtection="1">
      <alignment horizontal="right" vertical="center"/>
    </xf>
    <xf numFmtId="0" fontId="101" fillId="6" borderId="85" xfId="40" applyFont="1" applyFill="1" applyBorder="1" applyAlignment="1" applyProtection="1">
      <alignment vertical="center"/>
    </xf>
    <xf numFmtId="189" fontId="44" fillId="6" borderId="9" xfId="0" applyNumberFormat="1" applyFont="1" applyFill="1" applyBorder="1" applyAlignment="1" applyProtection="1">
      <alignment horizontal="center" vertical="center" wrapText="1"/>
      <protection locked="0"/>
    </xf>
    <xf numFmtId="1" fontId="47" fillId="7" borderId="0" xfId="0"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40" applyFont="1" applyFill="1" applyBorder="1" applyAlignment="1" applyProtection="1">
      <alignment horizontal="center" vertical="center"/>
    </xf>
    <xf numFmtId="0" fontId="51" fillId="6" borderId="15" xfId="40" applyFont="1" applyFill="1" applyBorder="1" applyAlignment="1" applyProtection="1">
      <alignment horizontal="center" vertical="center"/>
    </xf>
    <xf numFmtId="0" fontId="51" fillId="6" borderId="2" xfId="40" applyFont="1" applyFill="1" applyBorder="1" applyAlignment="1" applyProtection="1">
      <alignment horizontal="center" vertical="center"/>
    </xf>
    <xf numFmtId="0" fontId="51" fillId="6" borderId="1" xfId="40" applyFont="1" applyFill="1" applyBorder="1" applyAlignment="1" applyProtection="1">
      <alignment horizontal="center" vertical="center"/>
    </xf>
    <xf numFmtId="0" fontId="51" fillId="6" borderId="46" xfId="40" applyFont="1" applyFill="1" applyBorder="1" applyAlignment="1" applyProtection="1">
      <alignment horizontal="center" vertical="center"/>
    </xf>
    <xf numFmtId="0" fontId="51" fillId="6" borderId="22" xfId="40" applyFont="1" applyFill="1" applyBorder="1" applyAlignment="1" applyProtection="1">
      <alignment horizontal="center" vertical="center"/>
    </xf>
    <xf numFmtId="0" fontId="51" fillId="6" borderId="58" xfId="40" applyFont="1" applyFill="1" applyBorder="1" applyAlignment="1" applyProtection="1">
      <alignment horizontal="center" vertical="center"/>
    </xf>
    <xf numFmtId="0" fontId="51" fillId="6" borderId="35" xfId="40" applyFont="1" applyFill="1" applyBorder="1" applyAlignment="1" applyProtection="1">
      <alignment horizontal="center" vertical="center"/>
    </xf>
    <xf numFmtId="0" fontId="51" fillId="6" borderId="6" xfId="40" applyFont="1" applyFill="1" applyBorder="1" applyAlignment="1" applyProtection="1">
      <alignment horizontal="center" vertical="center" wrapText="1"/>
    </xf>
    <xf numFmtId="0" fontId="51" fillId="6" borderId="10" xfId="40" applyFont="1" applyFill="1" applyBorder="1" applyAlignment="1" applyProtection="1">
      <alignment horizontal="center" vertical="center" wrapText="1"/>
    </xf>
    <xf numFmtId="0" fontId="51" fillId="6" borderId="30" xfId="40" applyFont="1" applyFill="1" applyBorder="1" applyAlignment="1" applyProtection="1">
      <alignment horizontal="center" vertical="center" wrapText="1"/>
    </xf>
    <xf numFmtId="0" fontId="51" fillId="6" borderId="28" xfId="40" applyFont="1" applyFill="1" applyBorder="1" applyAlignment="1" applyProtection="1">
      <alignment horizontal="center" vertical="center" wrapText="1"/>
    </xf>
    <xf numFmtId="0" fontId="51" fillId="6" borderId="46" xfId="40" applyFont="1" applyFill="1" applyBorder="1" applyAlignment="1" applyProtection="1">
      <alignment horizontal="center" vertical="center" wrapText="1"/>
    </xf>
    <xf numFmtId="0" fontId="51" fillId="6" borderId="22" xfId="40" applyFont="1" applyFill="1" applyBorder="1" applyAlignment="1" applyProtection="1">
      <alignment horizontal="center" vertical="center" wrapText="1"/>
    </xf>
    <xf numFmtId="0" fontId="51" fillId="6" borderId="58" xfId="40" applyFont="1" applyFill="1" applyBorder="1" applyAlignment="1" applyProtection="1">
      <alignment horizontal="center" vertical="center" wrapText="1"/>
    </xf>
    <xf numFmtId="0" fontId="51" fillId="6" borderId="35" xfId="40" applyFont="1" applyFill="1" applyBorder="1" applyAlignment="1" applyProtection="1">
      <alignment horizontal="center" vertical="center" wrapText="1"/>
    </xf>
    <xf numFmtId="0" fontId="51" fillId="6" borderId="4" xfId="40" applyFont="1" applyFill="1" applyBorder="1" applyAlignment="1" applyProtection="1">
      <alignment horizontal="center" vertical="center" wrapText="1"/>
    </xf>
    <xf numFmtId="0" fontId="51" fillId="6" borderId="7" xfId="40" applyFont="1" applyFill="1" applyBorder="1" applyAlignment="1" applyProtection="1">
      <alignment horizontal="center" vertical="center" wrapText="1"/>
    </xf>
    <xf numFmtId="0" fontId="166" fillId="0" borderId="23" xfId="40" applyFont="1" applyFill="1" applyBorder="1" applyAlignment="1" applyProtection="1">
      <alignment horizontal="center" vertical="center" wrapText="1"/>
      <protection locked="0"/>
    </xf>
    <xf numFmtId="0" fontId="166" fillId="0" borderId="24" xfId="40" applyFont="1" applyFill="1" applyBorder="1" applyAlignment="1" applyProtection="1">
      <alignment horizontal="center" vertical="center" wrapText="1"/>
      <protection locked="0"/>
    </xf>
    <xf numFmtId="0" fontId="166" fillId="0" borderId="11" xfId="40" applyFont="1" applyFill="1" applyBorder="1" applyAlignment="1" applyProtection="1">
      <alignment horizontal="center" vertical="center" wrapText="1"/>
      <protection locked="0"/>
    </xf>
    <xf numFmtId="0" fontId="166" fillId="0" borderId="61" xfId="40" applyFont="1" applyFill="1" applyBorder="1" applyAlignment="1" applyProtection="1">
      <alignment horizontal="center" vertical="center" wrapText="1"/>
      <protection locked="0"/>
    </xf>
    <xf numFmtId="0" fontId="166" fillId="0" borderId="22" xfId="40" applyFont="1" applyFill="1" applyBorder="1" applyAlignment="1" applyProtection="1">
      <alignment horizontal="center" vertical="center" wrapText="1"/>
      <protection locked="0"/>
    </xf>
    <xf numFmtId="0" fontId="166" fillId="0" borderId="46" xfId="40" applyFont="1" applyFill="1" applyBorder="1" applyAlignment="1" applyProtection="1">
      <alignment horizontal="center" vertical="center" wrapText="1"/>
      <protection locked="0"/>
    </xf>
    <xf numFmtId="0" fontId="208" fillId="0" borderId="37" xfId="40" applyFont="1" applyFill="1" applyBorder="1" applyAlignment="1" applyProtection="1">
      <alignment horizontal="center" vertical="center" wrapText="1"/>
      <protection locked="0"/>
    </xf>
    <xf numFmtId="0" fontId="166" fillId="0" borderId="48" xfId="40" applyFont="1" applyFill="1" applyBorder="1" applyAlignment="1" applyProtection="1">
      <alignment horizontal="center" vertical="center" wrapText="1"/>
      <protection locked="0"/>
    </xf>
    <xf numFmtId="0" fontId="166" fillId="0" borderId="37" xfId="40" applyFont="1" applyFill="1" applyBorder="1" applyAlignment="1" applyProtection="1">
      <alignment horizontal="center" vertical="center" wrapText="1"/>
      <protection locked="0"/>
    </xf>
    <xf numFmtId="0" fontId="44" fillId="6" borderId="5" xfId="40" applyFont="1" applyFill="1" applyBorder="1" applyAlignment="1" applyProtection="1">
      <alignment horizontal="center" vertical="center"/>
    </xf>
    <xf numFmtId="0" fontId="44" fillId="6" borderId="54" xfId="40" applyFont="1" applyFill="1" applyBorder="1" applyAlignment="1" applyProtection="1">
      <alignment horizontal="center" vertical="center"/>
    </xf>
    <xf numFmtId="0" fontId="44" fillId="6" borderId="3" xfId="40" applyFont="1" applyFill="1" applyBorder="1" applyAlignment="1" applyProtection="1">
      <alignment horizontal="center" vertical="center"/>
    </xf>
    <xf numFmtId="0" fontId="51" fillId="6" borderId="4" xfId="40" applyFont="1" applyFill="1" applyBorder="1" applyAlignment="1" applyProtection="1">
      <alignment horizontal="center" vertical="center"/>
    </xf>
    <xf numFmtId="0" fontId="51" fillId="6" borderId="7" xfId="40" applyFont="1" applyFill="1" applyBorder="1" applyAlignment="1" applyProtection="1">
      <alignment horizontal="center" vertical="center"/>
    </xf>
    <xf numFmtId="0" fontId="51" fillId="6" borderId="23" xfId="40" applyFont="1" applyFill="1" applyBorder="1" applyAlignment="1" applyProtection="1">
      <alignment horizontal="center" vertical="center" wrapText="1"/>
    </xf>
    <xf numFmtId="0" fontId="44" fillId="6" borderId="1" xfId="40" applyFont="1" applyFill="1" applyBorder="1" applyAlignment="1" applyProtection="1">
      <alignment horizontal="center" vertical="center" wrapText="1"/>
    </xf>
    <xf numFmtId="0" fontId="51" fillId="6" borderId="11" xfId="40" applyFont="1" applyFill="1" applyBorder="1" applyAlignment="1" applyProtection="1">
      <alignment horizontal="center" vertical="center" wrapText="1"/>
    </xf>
    <xf numFmtId="0" fontId="51" fillId="6" borderId="14" xfId="40" applyFont="1" applyFill="1" applyBorder="1" applyAlignment="1" applyProtection="1">
      <alignment horizontal="center" vertical="center" wrapText="1"/>
    </xf>
    <xf numFmtId="0" fontId="51" fillId="6" borderId="13" xfId="40" applyFont="1" applyFill="1" applyBorder="1" applyAlignment="1" applyProtection="1">
      <alignment horizontal="center" vertical="center" wrapText="1"/>
    </xf>
    <xf numFmtId="0" fontId="51" fillId="6" borderId="15" xfId="40" applyFont="1" applyFill="1" applyBorder="1" applyAlignment="1" applyProtection="1">
      <alignment horizontal="center" vertical="center" wrapText="1"/>
    </xf>
    <xf numFmtId="0" fontId="51" fillId="6" borderId="11" xfId="40" applyFont="1" applyFill="1" applyBorder="1" applyAlignment="1" applyProtection="1">
      <alignment horizontal="center" vertical="center" textRotation="255" wrapText="1"/>
    </xf>
    <xf numFmtId="0" fontId="51" fillId="6" borderId="14" xfId="40" applyFont="1" applyFill="1" applyBorder="1" applyAlignment="1" applyProtection="1">
      <alignment horizontal="center" vertical="center" textRotation="255" wrapText="1"/>
    </xf>
    <xf numFmtId="0" fontId="51" fillId="6" borderId="41" xfId="40" applyFont="1" applyFill="1" applyBorder="1" applyAlignment="1" applyProtection="1">
      <alignment horizontal="center" vertical="center" textRotation="255" wrapText="1"/>
    </xf>
    <xf numFmtId="0" fontId="51" fillId="6" borderId="15" xfId="40" applyFont="1" applyFill="1" applyBorder="1" applyAlignment="1" applyProtection="1">
      <alignment horizontal="center" vertical="center" textRotation="255" wrapText="1"/>
    </xf>
    <xf numFmtId="0" fontId="51" fillId="6" borderId="2" xfId="40" applyFont="1" applyFill="1" applyBorder="1" applyAlignment="1" applyProtection="1">
      <alignment horizontal="center" vertical="center" textRotation="255" wrapText="1"/>
    </xf>
    <xf numFmtId="0" fontId="51" fillId="6" borderId="1" xfId="40" applyFont="1" applyFill="1" applyBorder="1" applyAlignment="1" applyProtection="1">
      <alignment horizontal="center" vertical="center" wrapText="1"/>
    </xf>
    <xf numFmtId="0" fontId="51" fillId="6" borderId="1" xfId="40" applyNumberFormat="1" applyFont="1" applyFill="1" applyBorder="1" applyAlignment="1" applyProtection="1">
      <alignment horizontal="center" vertical="center"/>
    </xf>
    <xf numFmtId="0" fontId="51" fillId="6" borderId="5" xfId="40" applyFont="1" applyFill="1" applyBorder="1" applyAlignment="1" applyProtection="1">
      <alignment horizontal="center" vertical="center" wrapText="1"/>
    </xf>
    <xf numFmtId="0" fontId="51" fillId="6" borderId="3" xfId="40" applyFont="1" applyFill="1" applyBorder="1" applyAlignment="1" applyProtection="1">
      <alignment horizontal="center" vertical="center" wrapText="1"/>
    </xf>
    <xf numFmtId="0" fontId="50" fillId="18" borderId="1" xfId="4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31"/>
    <cellStyle name="Normal 2 2 2" xfId="32"/>
    <cellStyle name="Normal 2 8" xfId="33"/>
    <cellStyle name="Normal 3" xfId="34"/>
    <cellStyle name="Normal 4" xfId="35"/>
    <cellStyle name="Normal 5" xfId="36"/>
    <cellStyle name="Normal_Shangri-La Offices Rental Schedule by 8 units--elevator060803_Shangri-La Offices - Rental Guideline &amp; Leasing Policy 060913draft 2" xfId="37"/>
    <cellStyle name="百分比" xfId="17" builtinId="5"/>
    <cellStyle name="百分比 2" xfId="14"/>
    <cellStyle name="百分比 3" xfId="21"/>
    <cellStyle name="百分比 4" xfId="19"/>
    <cellStyle name="常规" xfId="0" builtinId="0"/>
    <cellStyle name="常规 10" xfId="38"/>
    <cellStyle name="常规 11" xfId="18"/>
    <cellStyle name="常规 12" xfId="39"/>
    <cellStyle name="常规 13" xfId="40"/>
    <cellStyle name="常规 14" xfId="41"/>
    <cellStyle name="常规 16" xfId="10"/>
    <cellStyle name="常规 2" xfId="1"/>
    <cellStyle name="常规 2 2" xfId="8"/>
    <cellStyle name="常规 2 2 2 2 3" xfId="15"/>
    <cellStyle name="常规 2 3" xfId="20"/>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2"/>
    <cellStyle name="千位分隔 2 2" xfId="45"/>
    <cellStyle name="千位分隔 2 2 2" xfId="46"/>
    <cellStyle name="千位分隔 2 3" xfId="47"/>
    <cellStyle name="千位分隔 3" xfId="48"/>
    <cellStyle name="千位分隔 3 2" xfId="49"/>
    <cellStyle name="千位分隔 4" xfId="50"/>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19979;&#36733;\&#27979;&#31639;-&#38597;&#35799;&#38401;&#37202;&#24215;-&#36213;&#38639;20231130-16324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2022"/>
      <sheetName val="大宗案例2021"/>
      <sheetName val="收入测算"/>
      <sheetName val="租赁台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3">
          <cell r="E3">
            <v>32792.81</v>
          </cell>
        </row>
        <row r="17">
          <cell r="C17" t="str">
            <v>项目类型</v>
          </cell>
        </row>
        <row r="18">
          <cell r="C18">
            <v>0</v>
          </cell>
        </row>
        <row r="19">
          <cell r="C19" t="str">
            <v>酒店</v>
          </cell>
          <cell r="E19">
            <v>32792.81</v>
          </cell>
        </row>
        <row r="20">
          <cell r="C20">
            <v>0</v>
          </cell>
          <cell r="E20">
            <v>0</v>
          </cell>
        </row>
        <row r="21">
          <cell r="C21">
            <v>0</v>
          </cell>
          <cell r="E21">
            <v>0</v>
          </cell>
        </row>
        <row r="22">
          <cell r="C22">
            <v>0</v>
          </cell>
          <cell r="E22">
            <v>0</v>
          </cell>
        </row>
        <row r="23">
          <cell r="C23">
            <v>0</v>
          </cell>
          <cell r="E23">
            <v>0</v>
          </cell>
        </row>
        <row r="24">
          <cell r="C24">
            <v>0</v>
          </cell>
          <cell r="E24">
            <v>0</v>
          </cell>
        </row>
        <row r="25">
          <cell r="C25">
            <v>0</v>
          </cell>
          <cell r="E25">
            <v>0</v>
          </cell>
        </row>
        <row r="26">
          <cell r="C26">
            <v>0</v>
          </cell>
          <cell r="E26">
            <v>0</v>
          </cell>
        </row>
        <row r="27">
          <cell r="C27" t="str">
            <v>小计</v>
          </cell>
          <cell r="E27">
            <v>32792.81</v>
          </cell>
        </row>
        <row r="28">
          <cell r="C28" t="str">
            <v>设备及其他</v>
          </cell>
          <cell r="E28">
            <v>0</v>
          </cell>
        </row>
        <row r="29">
          <cell r="C29" t="str">
            <v>公共配套及物业（住宅）</v>
          </cell>
          <cell r="E29">
            <v>0</v>
          </cell>
        </row>
        <row r="30">
          <cell r="C30" t="str">
            <v>小计</v>
          </cell>
          <cell r="E30">
            <v>0</v>
          </cell>
        </row>
        <row r="31">
          <cell r="C31" t="str">
            <v>合计</v>
          </cell>
          <cell r="E31">
            <v>32792.81</v>
          </cell>
        </row>
        <row r="32">
          <cell r="C32">
            <v>0</v>
          </cell>
          <cell r="E32">
            <v>0</v>
          </cell>
        </row>
      </sheetData>
      <sheetData sheetId="15">
        <row r="2">
          <cell r="B2">
            <v>45252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4">
          <cell r="C4" t="str">
            <v>估价对象位于XX商圈，周边商业氛围成熟，人流量大，商业繁华度好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7"/>
      <sheetData sheetId="18"/>
      <sheetData sheetId="19"/>
      <sheetData sheetId="20"/>
      <sheetData sheetId="21"/>
      <sheetData sheetId="22"/>
      <sheetData sheetId="23"/>
      <sheetData sheetId="24"/>
      <sheetData sheetId="25"/>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sheetData sheetId="28">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9">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0">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1">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2">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3">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4">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row r="78">
          <cell r="L78">
            <v>35857</v>
          </cell>
        </row>
        <row r="82">
          <cell r="L82">
            <v>3.8411308289160302</v>
          </cell>
        </row>
      </sheetData>
      <sheetData sheetId="47">
        <row r="108">
          <cell r="M108">
            <v>39678</v>
          </cell>
        </row>
      </sheetData>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估价对象为北京市房地产，为所有。根据《国有土地使用证》[]，估价对象（分摊）出让国有建设用地使用权面积为6534.54平方米，建筑面积为35375.96平方米。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估价对象为北京市房地产,属开发建设的，该项目尚在开发建设中。根据《国有土地使用证》[]，估价对象（分摊）出让国有建设用地使用权面积为6534.54平方米，规划建筑面积为35375.96平方米。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2024年8月26日（评估专业人员实地查勘之日）</v>
      </c>
    </row>
    <row r="13" spans="1:2" s="1203" customFormat="1">
      <c r="A13" s="1201" t="s">
        <v>529</v>
      </c>
      <c r="B13" s="1202" t="str">
        <f>'预评函-1'!A18</f>
        <v>本次估价的“房地产价值”是指在正常市场情况下，在价值时点2024年8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120410</v>
      </c>
    </row>
    <row r="21" spans="1:2" s="1203" customFormat="1">
      <c r="A21" s="1201" t="s">
        <v>537</v>
      </c>
      <c r="B21" s="1202">
        <f ca="1">'预评函-2'!D7</f>
        <v>34037</v>
      </c>
    </row>
    <row r="22" spans="1:2" s="1203" customFormat="1">
      <c r="A22" s="1201" t="s">
        <v>538</v>
      </c>
      <c r="B22" s="1202" t="str">
        <f ca="1">'预评函-2'!D6</f>
        <v>壹拾贰亿零肆佰壹拾万元整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120410</v>
      </c>
    </row>
    <row r="31" spans="1:2" s="1203" customFormat="1">
      <c r="A31" s="1201" t="s">
        <v>576</v>
      </c>
      <c r="B31" s="1202">
        <f ca="1">'预评函-2'!D15</f>
        <v>34037</v>
      </c>
    </row>
    <row r="32" spans="1:2" s="1203" customFormat="1">
      <c r="A32" s="1201" t="s">
        <v>543</v>
      </c>
      <c r="B32" s="1202" t="str">
        <f ca="1">'预评函-2'!D14</f>
        <v>壹拾贰亿零肆佰壹拾万元整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82372</v>
      </c>
    </row>
    <row r="39" spans="1:2" s="1203" customFormat="1">
      <c r="A39" s="1201" t="s">
        <v>545</v>
      </c>
      <c r="B39" s="1202">
        <f ca="1">'预评函-2'!D21</f>
        <v>23285</v>
      </c>
    </row>
    <row r="40" spans="1:2" s="1203" customFormat="1">
      <c r="A40" s="1201" t="s">
        <v>546</v>
      </c>
      <c r="B40" s="1202" t="str">
        <f ca="1">'预评函-2'!D20</f>
        <v>捌亿贰仟叁佰柒拾贰万元整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35375.960000000006</v>
      </c>
    </row>
    <row r="44" spans="1:2" s="1203" customFormat="1">
      <c r="A44" s="1201" t="s">
        <v>575</v>
      </c>
      <c r="B44" s="1202" t="str">
        <f>'预评函-3'!C2</f>
        <v>(分摊)土地面积</v>
      </c>
    </row>
    <row r="45" spans="1:2" s="1203" customFormat="1">
      <c r="A45" s="1201" t="s">
        <v>547</v>
      </c>
      <c r="B45" s="1202">
        <f>'预评函-3'!C4</f>
        <v>6534.54</v>
      </c>
    </row>
    <row r="46" spans="1:2" s="1203" customFormat="1">
      <c r="A46" s="1201" t="s">
        <v>573</v>
      </c>
      <c r="B46" s="1202" t="str">
        <f>'预评函-3'!D2</f>
        <v>出让国有建设用地使用权价值</v>
      </c>
    </row>
    <row r="47" spans="1:2" s="1203" customFormat="1">
      <c r="A47" s="1201" t="s">
        <v>548</v>
      </c>
      <c r="B47" s="1202">
        <f ca="1">'预评函-3'!D4</f>
        <v>79832</v>
      </c>
    </row>
    <row r="48" spans="1:2" s="1203" customFormat="1">
      <c r="A48" s="1201" t="s">
        <v>549</v>
      </c>
      <c r="B48" s="1202">
        <f ca="1">'预评函-3'!E4</f>
        <v>22566</v>
      </c>
    </row>
    <row r="49" spans="1:2" s="1203" customFormat="1">
      <c r="A49" s="1201" t="s">
        <v>550</v>
      </c>
      <c r="B49" s="1202" t="str">
        <f ca="1">'预评函-3'!D5</f>
        <v>柒亿玖仟捌佰叁拾贰万元整</v>
      </c>
    </row>
    <row r="50" spans="1:2" s="1203" customFormat="1">
      <c r="A50" s="1201" t="s">
        <v>574</v>
      </c>
      <c r="B50" s="1202" t="str">
        <f>'预评函-3'!F2</f>
        <v>在建建筑物价值</v>
      </c>
    </row>
    <row r="51" spans="1:2" s="1203" customFormat="1">
      <c r="A51" s="1201" t="s">
        <v>551</v>
      </c>
      <c r="B51" s="1202">
        <f ca="1">'预评函-3'!F4</f>
        <v>40578</v>
      </c>
    </row>
    <row r="52" spans="1:2" s="1203" customFormat="1">
      <c r="A52" s="1201" t="s">
        <v>552</v>
      </c>
      <c r="B52" s="1202">
        <f ca="1">'预评函-3'!G4</f>
        <v>11471</v>
      </c>
    </row>
    <row r="53" spans="1:2" s="1203" customFormat="1">
      <c r="A53" s="1201" t="s">
        <v>580</v>
      </c>
      <c r="B53" s="1202" t="str">
        <f ca="1">'预评函-3'!F5</f>
        <v>肆亿零伍佰柒拾捌万元整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83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32"/>
      <c r="B54" s="1554" t="s">
        <v>385</v>
      </c>
      <c r="C54" s="1551" t="s">
        <v>583</v>
      </c>
    </row>
    <row r="55" spans="1:4">
      <c r="A55" s="3832"/>
      <c r="B55" s="1554" t="s">
        <v>386</v>
      </c>
      <c r="C55" s="1551" t="s">
        <v>584</v>
      </c>
    </row>
    <row r="56" spans="1:4">
      <c r="A56" s="3832"/>
      <c r="B56" s="1554" t="s">
        <v>387</v>
      </c>
      <c r="C56" s="1551" t="s">
        <v>588</v>
      </c>
    </row>
    <row r="57" spans="1:4">
      <c r="A57" s="383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50" sqref="C50"/>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833" t="s">
        <v>2582</v>
      </c>
      <c r="J2" s="3833"/>
      <c r="K2" s="3833"/>
      <c r="L2" s="3833"/>
      <c r="M2" s="3833"/>
      <c r="N2" s="3833"/>
      <c r="O2" s="3833"/>
      <c r="P2" s="3833"/>
      <c r="Q2" s="3833"/>
      <c r="R2" s="3833"/>
    </row>
    <row r="3" spans="1:18">
      <c r="A3" s="3020" t="s">
        <v>2503</v>
      </c>
      <c r="B3" s="3021">
        <f>项目基本情况!D3</f>
        <v>45530</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2.31</v>
      </c>
      <c r="D5" s="3025">
        <f>IF(ISERROR(ROUND(POWER(1+E5,A5-C5)*(POWER(1+E5,C5)-1)/(POWER(1+E5,A5)-1),3)),0,ROUND(POWER(1+E5,A5-C5)*(POWER(1+E5,C5)-1)/(POWER(1+E5,A5)-1),4))</f>
        <v>0.1094</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12.32</v>
      </c>
      <c r="D6" s="3025">
        <f>IF(ISERROR(ROUND(POWER(1+E6,A6-C6)*(POWER(1+E6,C6)-1)/(POWER(1+E6,A6)-1),3)),0,ROUND(POWER(1+E6,A6-C6)*(POWER(1+E6,C6)-1)/(POWER(1+E6,A6)-1),4))</f>
        <v>0.44590000000000002</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32.33</v>
      </c>
      <c r="D7" s="3025">
        <f>IF(ISERROR(ROUND(POWER(1+E7,A7-C7)*(POWER(1+E7,C7)-1)/(POWER(1+E7,A7)-1),3)),0,ROUND(POWER(1+E7,A7-C7)*(POWER(1+E7,C7)-1)/(POWER(1+E7,A7)-1),4))</f>
        <v>0.76790000000000003</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I13" sqref="I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842" t="str">
        <f>IF(B10="北京市","北京市",C10)&amp;F10&amp;IF(结果表!G1="在建","出让国有建设用地使用权及在建建筑物",IF(结果表!G1="土地","出让国有建设用地使用权",))&amp;B9&amp;"预评估"</f>
        <v>北京市房地产抵押价值预评估</v>
      </c>
      <c r="C1" s="3843"/>
      <c r="D1" s="3843"/>
      <c r="E1" s="3843"/>
      <c r="F1" s="3843"/>
      <c r="G1" s="3843"/>
      <c r="H1" s="3843"/>
      <c r="I1" s="384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45530</v>
      </c>
      <c r="C3" s="2374" t="s">
        <v>2171</v>
      </c>
      <c r="D3" s="2373">
        <f>B3</f>
        <v>45530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3388</v>
      </c>
      <c r="C8" s="2390"/>
      <c r="D8" s="3845" t="s">
        <v>2177</v>
      </c>
      <c r="E8" s="2391" t="s">
        <v>3389</v>
      </c>
      <c r="F8" s="2392"/>
      <c r="G8" s="2663"/>
      <c r="H8" s="2663"/>
      <c r="I8" s="2663"/>
      <c r="J8" s="2439"/>
      <c r="K8" s="2614"/>
      <c r="L8" s="2613"/>
      <c r="M8" s="2613"/>
      <c r="N8" s="2439"/>
      <c r="O8" s="2450"/>
      <c r="P8" s="2439"/>
      <c r="Q8" s="2439"/>
      <c r="R8" s="2439"/>
    </row>
    <row r="9" spans="1:30" ht="13.5" thickBot="1">
      <c r="A9" s="2393" t="s">
        <v>2178</v>
      </c>
      <c r="B9" s="2394" t="s">
        <v>3389</v>
      </c>
      <c r="C9" s="2395"/>
      <c r="D9" s="3846"/>
      <c r="E9" s="2394" t="s">
        <v>587</v>
      </c>
      <c r="F9" s="2396"/>
      <c r="G9" s="2665"/>
      <c r="H9" s="2665"/>
      <c r="I9" s="2665"/>
      <c r="J9" s="2439"/>
      <c r="K9" s="2616"/>
      <c r="L9" s="2613"/>
      <c r="M9" s="2613"/>
      <c r="N9" s="2439"/>
      <c r="O9" s="2450"/>
      <c r="P9" s="2439"/>
      <c r="Q9" s="2439"/>
      <c r="R9" s="2439"/>
    </row>
    <row r="10" spans="1:30" ht="13.5" thickTop="1">
      <c r="A10" s="2397" t="s">
        <v>2179</v>
      </c>
      <c r="B10" s="2398" t="s">
        <v>3386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v>56788</v>
      </c>
      <c r="F13" s="856">
        <f>E13</f>
        <v>56788</v>
      </c>
      <c r="G13" s="856"/>
      <c r="H13" s="856"/>
      <c r="I13" s="856"/>
      <c r="J13" s="3062"/>
      <c r="K13" s="2613"/>
      <c r="L13" s="2613"/>
      <c r="M13" s="2439"/>
      <c r="N13" s="2450"/>
      <c r="O13" s="2439"/>
      <c r="P13" s="2439"/>
      <c r="Q13" s="2439"/>
      <c r="AD13" s="1745"/>
    </row>
    <row r="14" spans="1:30">
      <c r="A14" s="1081"/>
      <c r="B14" s="2407" t="s">
        <v>2191</v>
      </c>
      <c r="C14" s="2408"/>
      <c r="D14" s="2408">
        <v>40</v>
      </c>
      <c r="E14" s="2408">
        <v>50</v>
      </c>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30.84</v>
      </c>
      <c r="F15" s="2410">
        <f>IF(A13="出让",IF(F13="","",ROUNDDOWN(MIN((F13-$D$3)/365,F14),2)),F14)</f>
        <v>30.84</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852"/>
      <c r="C16" s="3853"/>
      <c r="D16" s="3854"/>
      <c r="E16" s="2413" t="s">
        <v>2194</v>
      </c>
      <c r="F16" s="3855"/>
      <c r="G16" s="3856"/>
      <c r="H16" s="3856"/>
      <c r="I16" s="3857"/>
      <c r="J16" s="2439"/>
      <c r="K16" s="2617"/>
      <c r="L16" s="2451"/>
      <c r="M16" s="2451"/>
      <c r="N16" s="2509"/>
      <c r="O16" s="2451"/>
      <c r="P16" s="2509"/>
      <c r="Q16" s="2439"/>
      <c r="R16" s="2439"/>
    </row>
    <row r="17" spans="1:28">
      <c r="A17" s="313" t="s">
        <v>2195</v>
      </c>
      <c r="B17" s="302" t="s">
        <v>2196</v>
      </c>
      <c r="C17" s="8">
        <f>'数据-汇总表'!E3</f>
        <v>35375.960000000006</v>
      </c>
      <c r="D17" s="2322" t="s">
        <v>2197</v>
      </c>
      <c r="E17" s="3858" t="s">
        <v>2198</v>
      </c>
      <c r="F17" s="3859"/>
      <c r="G17" s="3859"/>
      <c r="H17" s="3859"/>
      <c r="I17" s="386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6534.54</v>
      </c>
      <c r="D18" s="1092" t="s">
        <v>2201</v>
      </c>
      <c r="E18" s="3861" t="s">
        <v>2202</v>
      </c>
      <c r="F18" s="3862"/>
      <c r="G18" s="3862"/>
      <c r="H18" s="3862"/>
      <c r="I18" s="386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848" t="s">
        <v>2206</v>
      </c>
      <c r="C20" s="3849"/>
      <c r="D20" s="3850" t="s">
        <v>2207</v>
      </c>
      <c r="E20" s="3851"/>
      <c r="F20" s="2647" t="s">
        <v>1056</v>
      </c>
      <c r="G20" s="2664"/>
      <c r="H20" s="2664"/>
      <c r="I20" s="2664"/>
      <c r="J20" s="2439"/>
      <c r="K20" s="384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84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84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83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83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83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836"/>
      <c r="B30" s="302" t="s">
        <v>2218</v>
      </c>
      <c r="C30" s="3837"/>
      <c r="D30" s="3838"/>
      <c r="E30" s="2664"/>
      <c r="F30" s="2664"/>
      <c r="G30" s="2664"/>
      <c r="H30" s="2664"/>
      <c r="I30" s="2664"/>
      <c r="J30" s="2439"/>
      <c r="K30" s="2616"/>
      <c r="L30" s="2613"/>
      <c r="M30" s="2613"/>
      <c r="N30" s="2439"/>
      <c r="O30" s="2450"/>
      <c r="P30" s="2439"/>
      <c r="Q30" s="2439"/>
      <c r="R30" s="2439"/>
      <c r="S30" s="2439"/>
      <c r="T30" s="2439"/>
      <c r="U30" s="2439"/>
      <c r="V30" s="2439"/>
    </row>
    <row r="31" spans="1:28">
      <c r="A31" s="383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84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84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834" t="s">
        <v>2228</v>
      </c>
      <c r="T34" s="2428" t="str">
        <f>NUMBERSTRING(7-K34,1)&amp;"通"</f>
        <v>七通</v>
      </c>
      <c r="U34" s="2439"/>
      <c r="V34" s="2439"/>
    </row>
    <row r="35" spans="1:30">
      <c r="A35" s="2429"/>
      <c r="B35" s="3841" t="s">
        <v>2229</v>
      </c>
      <c r="C35" s="3841"/>
      <c r="D35" s="3841"/>
      <c r="E35" s="384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83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110</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268</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5" sqref="N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面积取值!D3</f>
        <v>6534.54</v>
      </c>
      <c r="B3" s="11">
        <f>IF(C3="否",G5-AT5,G5)</f>
        <v>35375.960000000006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35375.960000000006</v>
      </c>
      <c r="H5" s="13">
        <f t="shared" ref="H5:AT5" si="0">SUM(H13:H656)</f>
        <v>35375.960000000006</v>
      </c>
      <c r="I5" s="13">
        <f t="shared" si="0"/>
        <v>30590.480000000003</v>
      </c>
      <c r="J5" s="13">
        <f t="shared" si="0"/>
        <v>0</v>
      </c>
      <c r="K5" s="13">
        <f t="shared" si="0"/>
        <v>4785.4799999999996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35375.960000000006</v>
      </c>
      <c r="BA5" s="15">
        <f t="shared" si="1"/>
        <v>35375.960000000006</v>
      </c>
      <c r="BB5" s="15">
        <f t="shared" si="1"/>
        <v>30590.480000000003</v>
      </c>
      <c r="BC5" s="15">
        <f t="shared" si="1"/>
        <v>4785.4799999999996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6534.54</v>
      </c>
      <c r="F6" s="13" t="s">
        <v>0</v>
      </c>
      <c r="G6" s="13" t="s">
        <v>1</v>
      </c>
      <c r="H6" s="17">
        <f>SUMIF(I$12:AB$12,"总值",I6:AB6)</f>
        <v>6534.54</v>
      </c>
      <c r="I6" s="13">
        <f t="shared" ref="I6:AB6" si="2">ROUND($A$3*I5/$B$3,2)</f>
        <v>5650.58</v>
      </c>
      <c r="J6" s="13">
        <f t="shared" si="2"/>
        <v>0</v>
      </c>
      <c r="K6" s="13">
        <f t="shared" si="2"/>
        <v>883.96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6534.54</v>
      </c>
      <c r="AZ6" s="13" t="s">
        <v>2</v>
      </c>
      <c r="BA6" s="13">
        <f>ROUND($AY$6*BA5/$AZ$5,2)</f>
        <v>6534.54</v>
      </c>
      <c r="BB6" s="13">
        <f>ROUND($AY$6*BB5/$AZ$5,2)</f>
        <v>5650.58</v>
      </c>
      <c r="BC6" s="13">
        <f t="shared" ref="BC6:BH6" si="4">ROUND($AY$6*BC5/$AZ$5,2)</f>
        <v>883.96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3391</v>
      </c>
      <c r="J9" s="809"/>
      <c r="K9" s="1603" t="s">
        <v>3392</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3"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2438"/>
      <c r="D13" s="1625" t="s">
        <v>3390</v>
      </c>
      <c r="E13" s="13">
        <f>IF($C$3="是",ROUND($A$3*G13/$B$3,2),ROUND($A$3*(G13-AT13)/$B$3,2))</f>
        <v>5650.58</v>
      </c>
      <c r="F13" s="29"/>
      <c r="G13" s="30">
        <f>H13+AC13+AT13</f>
        <v>30590.480000000003</v>
      </c>
      <c r="H13" s="17">
        <f>SUMIF(I$12:AB$12,"总值",I13:AB13)</f>
        <v>30590.480000000003</v>
      </c>
      <c r="I13" s="1626">
        <f>SUM(面积取值!D16:D33)</f>
        <v>30590.480000000003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5650.58</v>
      </c>
      <c r="AZ13" s="13">
        <f>BA13+BL13</f>
        <v>30590.480000000003</v>
      </c>
      <c r="BA13" s="13">
        <f>SUM(BB13:BK13)</f>
        <v>30590.480000000003</v>
      </c>
      <c r="BB13" s="13">
        <f>IF($D13="是",I13-J13,0)</f>
        <v>30590.480000000003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2438"/>
      <c r="D14" s="1625" t="s">
        <v>3390</v>
      </c>
      <c r="E14" s="13">
        <f>IF($C$3="是",ROUND($A$3*G14/$B$3,2),ROUND($A$3*(G14-AT14)/$B$3,2))</f>
        <v>883.96</v>
      </c>
      <c r="F14" s="29"/>
      <c r="G14" s="30">
        <f>H14+AC14+AT14</f>
        <v>4785.4799999999996</v>
      </c>
      <c r="H14" s="17">
        <f>SUMIF(I$12:AB$12,"总值",I14:AB14)</f>
        <v>4785.4799999999996</v>
      </c>
      <c r="I14" s="1626"/>
      <c r="J14" s="1626"/>
      <c r="K14" s="1626">
        <f>SUM(面积取值!D11:D15)</f>
        <v>4785.4799999999996</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883.96</v>
      </c>
      <c r="AZ14" s="13">
        <f>BA14+BL14</f>
        <v>4785.4799999999996</v>
      </c>
      <c r="BA14" s="13">
        <f>SUM(BB14:BK14)</f>
        <v>4785.4799999999996</v>
      </c>
      <c r="BB14" s="13">
        <f>IF($D14="是",I14-J14,0)</f>
        <v>0</v>
      </c>
      <c r="BC14" s="13">
        <f>IF($D14="是",K14-L14,0)</f>
        <v>4785.4799999999996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2438"/>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2438"/>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2438"/>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438"/>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5"/>
  <sheetViews>
    <sheetView topLeftCell="A25" workbookViewId="0">
      <selection activeCell="C53" sqref="C53"/>
    </sheetView>
  </sheetViews>
  <sheetFormatPr defaultRowHeight="13.5"/>
  <cols>
    <col min="1" max="1" width="10.875" customWidth="1"/>
    <col min="2" max="2" width="15.125" bestFit="1" customWidth="1"/>
    <col min="3" max="4" width="13.5" customWidth="1"/>
    <col min="5" max="5" width="10.75" customWidth="1"/>
    <col min="6" max="6" width="9.25" customWidth="1"/>
    <col min="7" max="7" width="10.25" customWidth="1"/>
    <col min="8" max="8" width="11.625" bestFit="1" customWidth="1"/>
  </cols>
  <sheetData>
    <row r="2" spans="1:5">
      <c r="A2" s="3450" t="s">
        <v>3437</v>
      </c>
      <c r="B2" s="3450" t="s">
        <v>3438</v>
      </c>
      <c r="C2" s="3450" t="s">
        <v>3440</v>
      </c>
      <c r="D2" s="3450" t="s">
        <v>3441</v>
      </c>
    </row>
    <row r="3" spans="1:5">
      <c r="B3" s="3449" t="s">
        <v>3439</v>
      </c>
      <c r="C3" s="3462">
        <v>56788</v>
      </c>
      <c r="D3">
        <v>6534.54</v>
      </c>
    </row>
    <row r="7" spans="1:5">
      <c r="A7" s="3450" t="s">
        <v>3442</v>
      </c>
      <c r="B7" s="3450" t="s">
        <v>3438</v>
      </c>
      <c r="C7" s="3450" t="s">
        <v>3444</v>
      </c>
      <c r="D7" s="3450" t="s">
        <v>3445</v>
      </c>
    </row>
    <row r="8" spans="1:5">
      <c r="B8" s="3449" t="s">
        <v>3443</v>
      </c>
      <c r="C8">
        <v>35375.96</v>
      </c>
      <c r="D8" s="3449" t="s">
        <v>3469</v>
      </c>
    </row>
    <row r="10" spans="1:5">
      <c r="A10" s="3449" t="s">
        <v>3447</v>
      </c>
      <c r="B10" s="3463" t="s">
        <v>3445</v>
      </c>
      <c r="C10" s="3449" t="s">
        <v>3446</v>
      </c>
      <c r="D10" s="3449" t="s">
        <v>3444</v>
      </c>
      <c r="E10" s="3449" t="s">
        <v>3438</v>
      </c>
    </row>
    <row r="11" spans="1:5">
      <c r="B11" s="3463" t="s">
        <v>3448</v>
      </c>
      <c r="C11">
        <v>-300</v>
      </c>
      <c r="D11">
        <v>223.24</v>
      </c>
    </row>
    <row r="12" spans="1:5">
      <c r="B12" s="3463" t="s">
        <v>3449</v>
      </c>
      <c r="C12">
        <v>-201</v>
      </c>
      <c r="D12">
        <v>1065.1300000000001</v>
      </c>
    </row>
    <row r="13" spans="1:5">
      <c r="B13" s="3463" t="s">
        <v>3449</v>
      </c>
      <c r="C13">
        <v>-202</v>
      </c>
      <c r="D13">
        <v>387.65</v>
      </c>
    </row>
    <row r="14" spans="1:5">
      <c r="B14" s="3463" t="s">
        <v>3449</v>
      </c>
      <c r="C14">
        <v>-203</v>
      </c>
      <c r="D14">
        <v>222.3</v>
      </c>
    </row>
    <row r="15" spans="1:5">
      <c r="B15" s="3463" t="s">
        <v>3450</v>
      </c>
      <c r="C15">
        <v>-100</v>
      </c>
      <c r="D15">
        <v>2887.16</v>
      </c>
    </row>
    <row r="16" spans="1:5">
      <c r="B16" s="3463" t="s">
        <v>3451</v>
      </c>
      <c r="C16">
        <v>100</v>
      </c>
      <c r="D16">
        <v>2144.5</v>
      </c>
      <c r="E16" s="3449" t="s">
        <v>3468</v>
      </c>
    </row>
    <row r="17" spans="2:5">
      <c r="B17" s="3463" t="s">
        <v>3452</v>
      </c>
      <c r="C17">
        <v>200</v>
      </c>
      <c r="D17">
        <v>1986.37</v>
      </c>
      <c r="E17" s="3449" t="s">
        <v>3468</v>
      </c>
    </row>
    <row r="18" spans="2:5">
      <c r="B18" s="3463" t="s">
        <v>3453</v>
      </c>
      <c r="C18">
        <v>300</v>
      </c>
      <c r="D18">
        <v>1851.84</v>
      </c>
      <c r="E18" s="3449" t="s">
        <v>3468</v>
      </c>
    </row>
    <row r="19" spans="2:5">
      <c r="B19" s="3463" t="s">
        <v>3454</v>
      </c>
      <c r="C19">
        <v>500</v>
      </c>
      <c r="D19">
        <v>1851.84</v>
      </c>
      <c r="E19" s="3449" t="s">
        <v>3468</v>
      </c>
    </row>
    <row r="20" spans="2:5">
      <c r="B20" s="3463" t="s">
        <v>3455</v>
      </c>
      <c r="C20">
        <v>600</v>
      </c>
      <c r="D20">
        <v>1829.59</v>
      </c>
      <c r="E20" s="3449" t="s">
        <v>3468</v>
      </c>
    </row>
    <row r="21" spans="2:5">
      <c r="B21" s="3463" t="s">
        <v>3456</v>
      </c>
      <c r="C21">
        <v>700</v>
      </c>
      <c r="D21">
        <v>1829.59</v>
      </c>
      <c r="E21" s="3449" t="s">
        <v>3468</v>
      </c>
    </row>
    <row r="22" spans="2:5">
      <c r="B22" s="3463" t="s">
        <v>3457</v>
      </c>
      <c r="C22">
        <v>800</v>
      </c>
      <c r="D22">
        <v>1829.59</v>
      </c>
      <c r="E22" s="3449" t="s">
        <v>3468</v>
      </c>
    </row>
    <row r="23" spans="2:5">
      <c r="B23" s="3463" t="s">
        <v>3458</v>
      </c>
      <c r="C23">
        <v>900</v>
      </c>
      <c r="D23">
        <v>1829.59</v>
      </c>
      <c r="E23" s="3449" t="s">
        <v>3468</v>
      </c>
    </row>
    <row r="24" spans="2:5">
      <c r="B24" s="3463" t="s">
        <v>3459</v>
      </c>
      <c r="C24">
        <v>1000</v>
      </c>
      <c r="D24">
        <v>1803.67</v>
      </c>
      <c r="E24" s="3449" t="s">
        <v>3468</v>
      </c>
    </row>
    <row r="25" spans="2:5">
      <c r="B25" s="3463" t="s">
        <v>3460</v>
      </c>
      <c r="C25">
        <v>1100</v>
      </c>
      <c r="D25">
        <v>1803.67</v>
      </c>
      <c r="E25" s="3449" t="s">
        <v>3468</v>
      </c>
    </row>
    <row r="26" spans="2:5">
      <c r="B26" s="3463" t="s">
        <v>3461</v>
      </c>
      <c r="C26">
        <v>1200</v>
      </c>
      <c r="D26">
        <v>1800.57</v>
      </c>
      <c r="E26" s="3449" t="s">
        <v>3468</v>
      </c>
    </row>
    <row r="27" spans="2:5">
      <c r="B27" s="3463" t="s">
        <v>3462</v>
      </c>
      <c r="C27">
        <v>1500</v>
      </c>
      <c r="D27">
        <v>1777.08</v>
      </c>
      <c r="E27" s="3449" t="s">
        <v>3468</v>
      </c>
    </row>
    <row r="28" spans="2:5">
      <c r="B28" s="3463" t="s">
        <v>3463</v>
      </c>
      <c r="C28">
        <v>1600</v>
      </c>
      <c r="D28">
        <v>1773</v>
      </c>
      <c r="E28" s="3449" t="s">
        <v>3468</v>
      </c>
    </row>
    <row r="29" spans="2:5">
      <c r="B29" s="3463" t="s">
        <v>3464</v>
      </c>
      <c r="C29">
        <v>1700</v>
      </c>
      <c r="D29">
        <v>1748.54</v>
      </c>
      <c r="E29" s="3449" t="s">
        <v>3468</v>
      </c>
    </row>
    <row r="30" spans="2:5">
      <c r="B30" s="3463" t="s">
        <v>3465</v>
      </c>
      <c r="C30">
        <v>1800</v>
      </c>
      <c r="D30">
        <v>1695.02</v>
      </c>
      <c r="E30" s="3449" t="s">
        <v>3468</v>
      </c>
    </row>
    <row r="31" spans="2:5">
      <c r="B31" s="3463" t="s">
        <v>3466</v>
      </c>
      <c r="C31">
        <v>1900</v>
      </c>
      <c r="D31">
        <v>1536.75</v>
      </c>
      <c r="E31" s="3449" t="s">
        <v>3468</v>
      </c>
    </row>
    <row r="32" spans="2:5">
      <c r="B32" s="3463" t="s">
        <v>3467</v>
      </c>
      <c r="C32">
        <v>2000</v>
      </c>
      <c r="D32">
        <v>1033.05</v>
      </c>
      <c r="E32" s="3449" t="s">
        <v>3468</v>
      </c>
    </row>
    <row r="33" spans="2:7">
      <c r="B33" s="3463" t="s">
        <v>3467</v>
      </c>
      <c r="C33">
        <v>2100</v>
      </c>
      <c r="D33">
        <v>466.22</v>
      </c>
      <c r="E33" s="3449" t="s">
        <v>3468</v>
      </c>
    </row>
    <row r="34" spans="2:7">
      <c r="D34">
        <f>SUM(D11:D33)</f>
        <v>35375.960000000006</v>
      </c>
    </row>
    <row r="37" spans="2:7" s="3451" customFormat="1"/>
    <row r="38" spans="2:7" s="3451" customFormat="1">
      <c r="B38" s="3451" t="s">
        <v>3407</v>
      </c>
    </row>
    <row r="39" spans="2:7" s="3451" customFormat="1">
      <c r="B39" s="3452"/>
      <c r="C39" s="3453" t="s">
        <v>3408</v>
      </c>
      <c r="D39" s="3453" t="s">
        <v>3409</v>
      </c>
      <c r="E39" s="3453" t="s">
        <v>3410</v>
      </c>
      <c r="F39" s="3452"/>
      <c r="G39" s="3454" t="s">
        <v>3411</v>
      </c>
    </row>
    <row r="40" spans="2:7" s="3451" customFormat="1">
      <c r="B40" s="3455" t="s">
        <v>3412</v>
      </c>
      <c r="C40" s="3456" t="e">
        <f>C41+C42</f>
        <v>#REF!</v>
      </c>
      <c r="D40" s="3456" t="e">
        <f>E40/C40</f>
        <v>#REF!</v>
      </c>
      <c r="E40" s="3456" t="e">
        <f>E41+E42</f>
        <v>#REF!</v>
      </c>
      <c r="F40" s="3452"/>
      <c r="G40" s="3457">
        <v>1</v>
      </c>
    </row>
    <row r="41" spans="2:7" s="3451" customFormat="1">
      <c r="B41" s="3453" t="s">
        <v>3391</v>
      </c>
      <c r="C41" s="3458" t="e">
        <f>#REF!+#REF!+#REF!</f>
        <v>#REF!</v>
      </c>
      <c r="D41" s="3452">
        <v>2500</v>
      </c>
      <c r="E41" s="3452" t="e">
        <f>D41*C41</f>
        <v>#REF!</v>
      </c>
      <c r="F41" s="3452"/>
      <c r="G41" s="3452"/>
    </row>
    <row r="42" spans="2:7" s="3451" customFormat="1">
      <c r="B42" s="3453" t="s">
        <v>3392</v>
      </c>
      <c r="C42" s="3458" t="e">
        <f>#REF!+#REF!</f>
        <v>#REF!</v>
      </c>
      <c r="D42" s="3452">
        <v>4800</v>
      </c>
      <c r="E42" s="3452" t="e">
        <f t="shared" ref="E42:E45" si="0">D42*C42</f>
        <v>#REF!</v>
      </c>
      <c r="F42" s="3452"/>
      <c r="G42" s="3452"/>
    </row>
    <row r="43" spans="2:7" s="3451" customFormat="1">
      <c r="B43" s="3455" t="s">
        <v>3413</v>
      </c>
      <c r="C43" s="3456" t="e">
        <f>C40</f>
        <v>#REF!</v>
      </c>
      <c r="D43" s="3456">
        <v>1000</v>
      </c>
      <c r="E43" s="3456" t="e">
        <f t="shared" si="0"/>
        <v>#REF!</v>
      </c>
      <c r="F43" s="3452"/>
      <c r="G43" s="3457">
        <v>1</v>
      </c>
    </row>
    <row r="44" spans="2:7" s="3451" customFormat="1">
      <c r="B44" s="3455" t="s">
        <v>3414</v>
      </c>
      <c r="C44" s="3456" t="e">
        <f>C40</f>
        <v>#REF!</v>
      </c>
      <c r="D44" s="3456">
        <v>1500</v>
      </c>
      <c r="E44" s="3456" t="e">
        <f t="shared" si="0"/>
        <v>#REF!</v>
      </c>
      <c r="F44" s="3452"/>
      <c r="G44" s="3457">
        <v>1</v>
      </c>
    </row>
    <row r="45" spans="2:7" s="3451" customFormat="1">
      <c r="B45" s="3455" t="s">
        <v>3415</v>
      </c>
      <c r="C45" s="3456">
        <v>0</v>
      </c>
      <c r="D45" s="3456">
        <f>D42</f>
        <v>4800</v>
      </c>
      <c r="E45" s="3456">
        <f t="shared" si="0"/>
        <v>0</v>
      </c>
      <c r="F45" s="3452"/>
      <c r="G45" s="3452"/>
    </row>
    <row r="46" spans="2:7" s="3451" customFormat="1">
      <c r="B46" s="3453" t="s">
        <v>3416</v>
      </c>
      <c r="C46" s="3452" t="e">
        <f>C40</f>
        <v>#REF!</v>
      </c>
      <c r="D46" s="3452" t="e">
        <f>E46/C46</f>
        <v>#REF!</v>
      </c>
      <c r="E46" s="3452" t="e">
        <f>E40+E43+E44+E45</f>
        <v>#REF!</v>
      </c>
      <c r="F46" s="3452"/>
      <c r="G46" s="3455" t="e">
        <f>(G40*E40+G43*E43+G44*E44)/E46</f>
        <v>#REF!</v>
      </c>
    </row>
    <row r="47" spans="2:7" s="3451" customFormat="1"/>
    <row r="48" spans="2:7" s="3451" customFormat="1"/>
    <row r="49" spans="2:8" s="3451" customFormat="1"/>
    <row r="50" spans="2:8" s="3451" customFormat="1">
      <c r="B50" s="3451" t="s">
        <v>3394</v>
      </c>
    </row>
    <row r="51" spans="2:8" s="3451" customFormat="1">
      <c r="B51" s="3452"/>
      <c r="C51" s="3453" t="s">
        <v>3417</v>
      </c>
      <c r="D51" s="3453"/>
      <c r="E51" s="3453" t="s">
        <v>3418</v>
      </c>
      <c r="F51" s="3453" t="s">
        <v>3399</v>
      </c>
      <c r="G51" s="3453" t="s">
        <v>3419</v>
      </c>
      <c r="H51" s="3454" t="s">
        <v>3394</v>
      </c>
    </row>
    <row r="52" spans="2:8" s="3451" customFormat="1">
      <c r="B52" s="3455" t="s">
        <v>3420</v>
      </c>
      <c r="C52" s="3456">
        <v>2010</v>
      </c>
      <c r="D52" s="3456">
        <v>2024</v>
      </c>
      <c r="E52" s="3456">
        <v>50</v>
      </c>
      <c r="F52" s="3452">
        <v>60</v>
      </c>
      <c r="G52" s="3452">
        <v>0</v>
      </c>
      <c r="H52" s="3459">
        <f>ROUND((1-G52)-(D52-C52)/F52,2)</f>
        <v>0.77</v>
      </c>
    </row>
    <row r="53" spans="2:8" s="3451" customFormat="1">
      <c r="B53" s="3453" t="s">
        <v>3421</v>
      </c>
      <c r="C53" s="3458"/>
      <c r="D53" s="3452"/>
      <c r="E53" s="3452"/>
      <c r="F53" s="3452"/>
      <c r="G53" s="3452"/>
      <c r="H53" s="3457">
        <v>0.85</v>
      </c>
    </row>
    <row r="54" spans="2:8" s="3451" customFormat="1">
      <c r="B54" s="3453"/>
      <c r="C54" s="3452"/>
      <c r="D54" s="3452"/>
      <c r="E54" s="3452"/>
      <c r="F54" s="3452"/>
      <c r="G54" s="3452"/>
      <c r="H54" s="3460">
        <f>ROUND((H53+H52)/2,2)</f>
        <v>0.81</v>
      </c>
    </row>
    <row r="55" spans="2:8" s="3451" customFormat="1"/>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A7" zoomScale="85" zoomScaleNormal="100" zoomScaleSheetLayoutView="85" workbookViewId="0">
      <selection activeCell="F35" sqref="F3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873" t="s">
        <v>1131</v>
      </c>
      <c r="B2" s="3873"/>
      <c r="C2" s="3873"/>
      <c r="D2" s="796" t="s">
        <v>1107</v>
      </c>
      <c r="E2" s="1639" t="s">
        <v>1108</v>
      </c>
      <c r="F2" s="2659"/>
      <c r="G2" s="2650"/>
      <c r="H2" s="2651"/>
      <c r="I2" s="2325" t="s">
        <v>1132</v>
      </c>
      <c r="J2" s="2659"/>
      <c r="K2" s="2659"/>
      <c r="L2" s="2659"/>
      <c r="M2" s="2659"/>
      <c r="N2" s="2661"/>
      <c r="O2" s="2659"/>
      <c r="P2" s="2659"/>
    </row>
    <row r="3" spans="1:16" ht="15.75" thickBot="1">
      <c r="A3" s="3874" t="s">
        <v>1105</v>
      </c>
      <c r="B3" s="3874"/>
      <c r="C3" s="3874"/>
      <c r="D3" s="43">
        <f>'数据-基础表'!AY6</f>
        <v>6534.54</v>
      </c>
      <c r="E3" s="43">
        <f>'数据-基础表'!AZ5</f>
        <v>35375.960000000006</v>
      </c>
      <c r="F3" s="2659"/>
      <c r="G3" s="1145"/>
      <c r="H3" s="1026" t="s">
        <v>1106</v>
      </c>
      <c r="I3" s="855">
        <f>ROUND('数据-基础表'!B3/'数据-基础表'!A3,2)</f>
        <v>5.41</v>
      </c>
      <c r="J3" s="2659"/>
      <c r="K3" s="2659"/>
      <c r="L3" s="2659"/>
      <c r="M3" s="2659"/>
      <c r="N3" s="2661"/>
      <c r="O3" s="2659"/>
      <c r="P3" s="2659"/>
    </row>
    <row r="4" spans="1:16" ht="15">
      <c r="A4" s="3875"/>
      <c r="B4" s="3876"/>
      <c r="C4" s="3877"/>
      <c r="D4" s="1641" t="s">
        <v>1107</v>
      </c>
      <c r="E4" s="1642" t="s">
        <v>1108</v>
      </c>
      <c r="F4" s="2659"/>
      <c r="G4" s="2652" t="s">
        <v>1133</v>
      </c>
      <c r="H4" s="1026" t="s">
        <v>1113</v>
      </c>
      <c r="I4" s="855">
        <f>ROUND(SUMIF('数据-基础表'!I9:AS9,"地上",'数据-基础表'!I5:AS5)/'数据-基础表'!A3,2)</f>
        <v>4.68</v>
      </c>
      <c r="J4" s="2659"/>
      <c r="K4" s="2659"/>
      <c r="L4" s="2659"/>
      <c r="M4" s="2659"/>
      <c r="N4" s="2661"/>
      <c r="O4" s="2659"/>
      <c r="P4" s="2659"/>
    </row>
    <row r="5" spans="1:16">
      <c r="A5" s="44" t="s">
        <v>1109</v>
      </c>
      <c r="B5" s="3878" t="s">
        <v>1110</v>
      </c>
      <c r="C5" s="3878"/>
      <c r="D5" s="45">
        <f>ROUND($D$3*E5/$E$3,2)</f>
        <v>0</v>
      </c>
      <c r="E5" s="46">
        <f>SUMIF('数据-基础表'!$11:$11,"住宅",'数据-基础表'!$5:$5)</f>
        <v>0</v>
      </c>
      <c r="F5" s="2659"/>
      <c r="G5" s="1145"/>
      <c r="H5" s="1026" t="s">
        <v>1106</v>
      </c>
      <c r="I5" s="855">
        <f>ROUND(E31/D31,2)</f>
        <v>5.41</v>
      </c>
      <c r="J5" s="2659"/>
      <c r="K5" s="2659"/>
      <c r="L5" s="2659"/>
      <c r="M5" s="2659"/>
      <c r="N5" s="2659"/>
      <c r="O5" s="2659"/>
      <c r="P5" s="2659"/>
    </row>
    <row r="6" spans="1:16" ht="15" thickBot="1">
      <c r="A6" s="1644"/>
      <c r="B6" s="3878" t="s">
        <v>1111</v>
      </c>
      <c r="C6" s="3878"/>
      <c r="D6" s="45">
        <f>ROUND($D$3*E6/$E$3,2)</f>
        <v>6534.54</v>
      </c>
      <c r="E6" s="46">
        <f>E3-E5</f>
        <v>35375.960000000006</v>
      </c>
      <c r="F6" s="2659"/>
      <c r="G6" s="2653" t="s">
        <v>1112</v>
      </c>
      <c r="H6" s="1146" t="s">
        <v>1113</v>
      </c>
      <c r="I6" s="2654">
        <f>ROUND(F31/D31,2)</f>
        <v>4.68</v>
      </c>
      <c r="J6" s="2659"/>
      <c r="K6" s="2659"/>
      <c r="L6" s="2659"/>
      <c r="M6" s="2659"/>
      <c r="N6" s="2659"/>
      <c r="O6" s="2659"/>
      <c r="P6" s="2659"/>
    </row>
    <row r="7" spans="1:16" ht="15.75" thickBot="1">
      <c r="A7" s="3870"/>
      <c r="B7" s="3871"/>
      <c r="C7" s="3872"/>
      <c r="D7" s="1641" t="s">
        <v>1107</v>
      </c>
      <c r="E7" s="1645" t="s">
        <v>1114</v>
      </c>
      <c r="F7" s="2659"/>
      <c r="G7" s="2655" t="s">
        <v>1115</v>
      </c>
      <c r="H7" s="2656"/>
      <c r="I7" s="2657">
        <v>5.1325000000000003</v>
      </c>
      <c r="J7" s="2659"/>
      <c r="K7" s="2659"/>
      <c r="L7" s="2659"/>
      <c r="M7" s="2659"/>
      <c r="N7" s="2659"/>
      <c r="O7" s="2659"/>
      <c r="P7" s="2659"/>
    </row>
    <row r="8" spans="1:16">
      <c r="A8" s="44" t="s">
        <v>1116</v>
      </c>
      <c r="B8" s="47" t="s">
        <v>1117</v>
      </c>
      <c r="C8" s="45" t="s">
        <v>1118</v>
      </c>
      <c r="D8" s="45">
        <f t="shared" ref="D8:D15" si="0">ROUND($D$3*E8/$E$3,2)</f>
        <v>5650.58</v>
      </c>
      <c r="E8" s="48">
        <f>SUMIF('数据-基础表'!BB10:BK10,"地上",'数据-基础表'!BB5:BK5)</f>
        <v>30590.480000000003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883.96</v>
      </c>
      <c r="E11" s="48">
        <f>SUMPRODUCT(('数据-基础表'!BB10:BK10="地下")*('数据-基础表'!BB11:BK11="办公")*('数据-基础表'!BB5:BK5))+'数据-基础表'!BP5</f>
        <v>4785.4799999999996</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6534.54</v>
      </c>
      <c r="E16" s="50">
        <f>SUM(E8:E15)</f>
        <v>35375.960000000006</v>
      </c>
      <c r="F16" s="2659"/>
      <c r="G16" s="2660"/>
      <c r="H16" s="1648" t="s">
        <v>1135</v>
      </c>
      <c r="I16" s="1649"/>
      <c r="J16" s="1139"/>
      <c r="K16" s="3867" t="s">
        <v>1135</v>
      </c>
      <c r="L16" s="3868"/>
      <c r="M16" s="3868"/>
      <c r="N16" s="3868"/>
      <c r="O16" s="3868"/>
      <c r="P16" s="3869"/>
    </row>
    <row r="17" spans="1:19" ht="15">
      <c r="A17" s="1650" t="s">
        <v>1136</v>
      </c>
      <c r="B17" s="1651" t="s">
        <v>1137</v>
      </c>
      <c r="C17" s="1652" t="s">
        <v>1138</v>
      </c>
      <c r="D17" s="1653" t="s">
        <v>1126</v>
      </c>
      <c r="E17" s="1654" t="s">
        <v>1127</v>
      </c>
      <c r="F17" s="1655"/>
      <c r="G17" s="1656"/>
      <c r="H17" s="1657" t="s">
        <v>1139</v>
      </c>
      <c r="I17" s="1658" t="s">
        <v>1124</v>
      </c>
      <c r="J17" s="1139"/>
      <c r="K17" s="3864" t="s">
        <v>1140</v>
      </c>
      <c r="L17" s="3865"/>
      <c r="M17" s="3866"/>
      <c r="N17" s="3864" t="s">
        <v>1141</v>
      </c>
      <c r="O17" s="3865"/>
      <c r="P17" s="386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3393</v>
      </c>
      <c r="D19" s="45">
        <f>ROUND($D$3*E19/$E$3,2)</f>
        <v>6534.54</v>
      </c>
      <c r="E19" s="53">
        <f t="shared" ref="E19:E26" si="1">SUM(F19:G19)</f>
        <v>35375.960000000006</v>
      </c>
      <c r="F19" s="2795">
        <f>'数据-基础表'!I5</f>
        <v>30590.480000000003</v>
      </c>
      <c r="G19" s="2796">
        <f>'数据-基础表'!K5</f>
        <v>4785.4799999999996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6534.54</v>
      </c>
      <c r="S19" s="1027">
        <f t="shared" si="5"/>
        <v>35375.960000000006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6534.54</v>
      </c>
      <c r="E27" s="1141">
        <f>IF(SUM(E19:E26)='数据-基础表'!BA5,SUM(E19:E26),IF(F27="地上面积有误","面积有误","地下面积有误"))</f>
        <v>35375.960000000006</v>
      </c>
      <c r="F27" s="1140">
        <f>IF(SUM(F19:F26)=E8,SUM(F19:F26),"地上面积有误")</f>
        <v>30590.480000000003</v>
      </c>
      <c r="G27" s="1142">
        <f>SUM(G19:G26)</f>
        <v>4785.4799999999996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6534.54</v>
      </c>
      <c r="S27" s="1026">
        <f>IF(SUM(S19:S26)=$E$3,SUM(S19:S26),SUM(S19:S26)&amp;"误差"&amp;ROUND(SUM(S19:S26)-E3,2))</f>
        <v>35375.960000000006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6534.54</v>
      </c>
      <c r="E31" s="676">
        <f>E27+E30</f>
        <v>35375.960000000006</v>
      </c>
      <c r="F31" s="677">
        <f>F27+F30</f>
        <v>30590.480000000003</v>
      </c>
      <c r="G31" s="678">
        <f>G27+G30</f>
        <v>4785.4799999999996</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8">
      <c r="D33" s="1678"/>
    </row>
    <row r="35" spans="4:8">
      <c r="F35" s="1638">
        <v>4.3</v>
      </c>
      <c r="G35" s="1638">
        <v>1</v>
      </c>
      <c r="H35" s="1638">
        <v>0.6</v>
      </c>
    </row>
    <row r="36" spans="4:8">
      <c r="E36" s="1638">
        <f>F36+G36+H36</f>
        <v>136324.54400000002</v>
      </c>
      <c r="F36" s="1638">
        <f>F35*F31</f>
        <v>131539.06400000001</v>
      </c>
      <c r="G36" s="1638">
        <f>G35*G31</f>
        <v>4785.4799999999996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O15" sqref="O15"/>
    </sheetView>
  </sheetViews>
  <sheetFormatPr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9" style="1681"/>
    <col min="68" max="16384" width="9"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45530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综合</v>
      </c>
      <c r="B6" s="1713" t="str">
        <f>IF(A6=0,"","经营性")</f>
        <v>经营性</v>
      </c>
      <c r="C6" s="1714" t="s">
        <v>21</v>
      </c>
      <c r="D6" s="858">
        <f>SUMIF(项目基本情况!C$12:I$12,C6,项目基本情况!C$14:I$14)</f>
        <v>50</v>
      </c>
      <c r="E6" s="857">
        <f>IF(B6="","",SUMIF(项目基本情况!C$12:I$12,C6,项目基本情况!C$13:I$13))</f>
        <v>56788</v>
      </c>
      <c r="F6" s="64">
        <f>SUMIF(项目基本情况!C$12:I$12,C6,项目基本情况!C$15:I$15)</f>
        <v>30.84</v>
      </c>
      <c r="G6" s="65">
        <f>IF(ISERROR(ROUND(POWER(1+H6,D6-F6)*(POWER(1+H6,F6)-1)/(POWER(1+H6,D6)-1),3)),0,ROUND(POWER(1+H6,D6-F6)*(POWER(1+H6,F6)-1)/(POWER(1+H6,D6)-1),3))</f>
        <v>0.85199999999999998</v>
      </c>
      <c r="H6" s="732">
        <v>0.05</v>
      </c>
      <c r="I6" s="732">
        <v>5.5E-2</v>
      </c>
      <c r="J6" s="66">
        <v>7.0000000000000007E-2</v>
      </c>
      <c r="K6" s="1030">
        <f>SUMIF('数据-汇总表'!C$19:C$33,A6,'数据-汇总表'!E$19:E$33)</f>
        <v>35375.960000000006</v>
      </c>
      <c r="L6" s="733">
        <v>8000</v>
      </c>
      <c r="M6" s="67">
        <f t="shared" ref="M6:M14" si="0">ROUND(K6*L6/10000,0)</f>
        <v>28301</v>
      </c>
      <c r="N6" s="731">
        <f>面积取值!H52</f>
        <v>0.77</v>
      </c>
      <c r="O6" s="67" t="str">
        <f>IF($N$5="成新度","——",ROUND(M6*N6,0))</f>
        <v>——</v>
      </c>
      <c r="P6" s="68" t="str">
        <f>IF($N$5="成新度","——",M6-O6)</f>
        <v>——</v>
      </c>
      <c r="Q6" s="734">
        <v>0.2</v>
      </c>
      <c r="R6" s="69">
        <f ca="1">SUMIF('数据-汇总表'!C$19:C$33,A6,'数据-汇总表'!R$19:R$27)</f>
        <v>6534.54</v>
      </c>
      <c r="S6" s="51">
        <f>IF('数据-汇总表'!$I$17="按面积比例",SUMIF('数据-汇总表'!C$19:C$33,A6,'数据-汇总表'!K$19:K$33),SUMIF('数据-汇总表'!C$19:C$33,A6,'数据-汇总表'!N$19:N$33))</f>
        <v>0</v>
      </c>
      <c r="T6" s="1172">
        <f>ROUND($L$14*S6/10000,0)</f>
        <v>0</v>
      </c>
      <c r="U6" s="3428">
        <v>7</v>
      </c>
      <c r="V6" s="70">
        <v>0.02</v>
      </c>
      <c r="W6" s="70">
        <v>0.08</v>
      </c>
      <c r="X6" s="1040"/>
      <c r="Y6" s="71">
        <f>N6</f>
        <v>0.77</v>
      </c>
      <c r="Z6" s="72"/>
      <c r="AA6" s="66"/>
      <c r="AB6" s="66"/>
      <c r="AC6" s="1040"/>
      <c r="AD6" s="73"/>
      <c r="AE6" s="1041">
        <f ca="1">IF(AN6="",0,SUMIF(INDIRECT("'"&amp;AN6&amp;"'"&amp;"!E:E"),$AE$5,INDIRECT("'"&amp;AN6&amp;"'"&amp;"!F:F")))</f>
        <v>30.84</v>
      </c>
      <c r="AF6" s="1348"/>
      <c r="AG6" s="138">
        <f>IF(AF6="",0,AE6-AF6)</f>
        <v>0</v>
      </c>
      <c r="AH6" s="74"/>
      <c r="AI6" s="76">
        <v>365</v>
      </c>
      <c r="AJ6" s="77"/>
      <c r="AK6" s="78">
        <v>5.0000000000000001E-3</v>
      </c>
      <c r="AL6" s="79">
        <v>1E-3</v>
      </c>
      <c r="AM6" s="80">
        <v>5.0000000000000001E-3</v>
      </c>
      <c r="AN6" s="1715" t="s">
        <v>3395</v>
      </c>
      <c r="AO6" s="52">
        <f ca="1">SUMIF(INDIRECT("'"&amp;AN6&amp;"'"&amp;"!A:A"),"总价",INDIRECT("'"&amp;AN6&amp;"'"&amp;"!B:B"))</f>
        <v>124351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0.85199999999999998</v>
      </c>
      <c r="H16" s="90">
        <f>ROUND(SUMPRODUCT(H6:H13,K6:K13)/SUMPRODUCT((H6:H13&gt;0)*(K6:K13)),3)</f>
        <v>0.05</v>
      </c>
      <c r="I16" s="91"/>
      <c r="J16" s="91"/>
      <c r="K16" s="92">
        <f>SUM(K6:K15)</f>
        <v>35375.960000000006</v>
      </c>
      <c r="L16" s="93">
        <f>ROUND(M16*10000/SUM(K6:K14),0)</f>
        <v>8000</v>
      </c>
      <c r="M16" s="93">
        <f>SUM(M6:M14)</f>
        <v>28301</v>
      </c>
      <c r="N16" s="94">
        <f>ROUND(SUMPRODUCT(M6:M14,N6:N14)/M16,3)</f>
        <v>0.77</v>
      </c>
      <c r="O16" s="93">
        <f>SUM(O6:O14)</f>
        <v>0</v>
      </c>
      <c r="P16" s="93">
        <f>SUM(P6:P14)</f>
        <v>0</v>
      </c>
      <c r="Q16" s="95">
        <f>ROUND(SUMPRODUCT(Q6:Q13,K6:K13)/SUMPRODUCT((Q6:Q13&gt;0)*(K6:K13)),2)</f>
        <v>0.2</v>
      </c>
      <c r="R16" s="1034">
        <f ca="1">SUM(R6:R13)</f>
        <v>6534.54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3</v>
      </c>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3</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3</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3</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708</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3384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3.3500000000000002E-2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18</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v>30</v>
      </c>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879" t="s">
        <v>2286</v>
      </c>
      <c r="B1" s="3880"/>
      <c r="C1" s="3880"/>
      <c r="D1" s="3880"/>
      <c r="E1" s="3880"/>
      <c r="F1" s="3880"/>
      <c r="G1" s="388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35375.960000000006</v>
      </c>
      <c r="C1" s="2686"/>
      <c r="D1" s="2686"/>
      <c r="E1" s="2686"/>
      <c r="F1" s="2686"/>
      <c r="G1" s="2687"/>
      <c r="H1" s="2688"/>
      <c r="I1" s="2688"/>
      <c r="J1" s="2688"/>
      <c r="K1" s="2688"/>
    </row>
    <row r="2" spans="1:11" ht="16.5">
      <c r="A2" s="2512" t="s">
        <v>653</v>
      </c>
      <c r="B2" s="2512">
        <f>SUM(C14:C23)</f>
        <v>6534.54</v>
      </c>
      <c r="C2" s="2686"/>
      <c r="D2" s="2686"/>
      <c r="E2" s="2686"/>
      <c r="F2" s="2686"/>
      <c r="G2" s="2687"/>
      <c r="H2" s="2688"/>
      <c r="I2" s="2688"/>
      <c r="J2" s="2688"/>
      <c r="K2" s="2688"/>
    </row>
    <row r="3" spans="1:11" ht="16.5">
      <c r="A3" s="2512" t="s">
        <v>662</v>
      </c>
      <c r="B3" s="2514">
        <f>项目基本情况!D3</f>
        <v>45530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120410</v>
      </c>
      <c r="C5" s="2512">
        <f ca="1">IF(B5=D14,结果表!H102,ROUND(B5*10000/$B$1,0))</f>
        <v>34037</v>
      </c>
      <c r="D5" s="2512">
        <f ca="1">ROUND(B5*10000/$B$2,0)</f>
        <v>184267</v>
      </c>
      <c r="E5" s="2686"/>
      <c r="F5" s="2687"/>
      <c r="G5" s="2687"/>
      <c r="H5" s="2688"/>
      <c r="I5" s="2688"/>
      <c r="J5" s="2688"/>
      <c r="K5" s="2688"/>
    </row>
    <row r="6" spans="1:11" ht="16.5">
      <c r="A6" s="2512" t="s">
        <v>656</v>
      </c>
      <c r="B6" s="2512">
        <f ca="1">SUM(G14:G23)</f>
        <v>120410</v>
      </c>
      <c r="C6" s="2512">
        <f ca="1">IF(B6=G14,结果表!H108,ROUND(B6*10000/$B$1,0))</f>
        <v>34037</v>
      </c>
      <c r="D6" s="2512">
        <f ca="1">ROUND(B6*10000/$B$2,0)</f>
        <v>184267</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82372</v>
      </c>
      <c r="C8" s="2512">
        <f ca="1">IF(B8=I14,结果表!H112,ROUND(B8*10000/$B$1,0))</f>
        <v>23285</v>
      </c>
      <c r="D8" s="2512">
        <f ca="1">ROUND(B8*10000/$B$2,0)</f>
        <v>126056</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35375.960000000006</v>
      </c>
      <c r="C14" s="2518">
        <f>结果表!C118</f>
        <v>6534.54</v>
      </c>
      <c r="D14" s="2518">
        <f ca="1">结果表!H118</f>
        <v>120410</v>
      </c>
      <c r="E14" s="2518">
        <f ca="1">ROUND(D14*10000/B14,0)</f>
        <v>34037</v>
      </c>
      <c r="F14" s="2518">
        <f ca="1">ROUND(D14*10000/C14,0)</f>
        <v>184267</v>
      </c>
      <c r="G14" s="2518">
        <f ca="1">D14</f>
        <v>120410</v>
      </c>
      <c r="H14" s="2518"/>
      <c r="I14" s="2518">
        <f ca="1">结果表!N59</f>
        <v>82372</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E42" zoomScale="115" zoomScaleNormal="100" zoomScaleSheetLayoutView="115" zoomScalePageLayoutView="80" workbookViewId="0">
      <selection activeCell="M53" sqref="M5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3385</v>
      </c>
      <c r="D1" s="1747"/>
      <c r="E1" s="1747"/>
      <c r="F1" s="1749" t="s">
        <v>1263</v>
      </c>
      <c r="G1" s="1561" t="s">
        <v>3402</v>
      </c>
      <c r="H1" s="1750" t="str">
        <f>IF(G1="现房","——","估价对象范围")</f>
        <v>——</v>
      </c>
      <c r="I1" s="1751" t="s">
        <v>3403</v>
      </c>
    </row>
    <row r="2" spans="1:12" ht="21.75" customHeight="1" thickBot="1">
      <c r="A2" s="3915" t="str">
        <f>项目基本情况!S2</f>
        <v>北京市房地产</v>
      </c>
      <c r="B2" s="3916"/>
      <c r="C2" s="3916"/>
      <c r="D2" s="3916"/>
      <c r="E2" s="3916"/>
      <c r="F2" s="3916"/>
      <c r="G2" s="3916"/>
      <c r="H2" s="3916"/>
      <c r="I2" s="3917"/>
    </row>
    <row r="3" spans="1:12" ht="12.75">
      <c r="A3" s="3919" t="s">
        <v>1264</v>
      </c>
      <c r="B3" s="3920"/>
      <c r="C3" s="3920"/>
      <c r="D3" s="3920"/>
      <c r="E3" s="3920"/>
      <c r="F3" s="3920"/>
      <c r="G3" s="3920"/>
      <c r="H3" s="3920"/>
      <c r="I3" s="3920"/>
    </row>
    <row r="4" spans="1:12" ht="14.25">
      <c r="A4" s="1754" t="s">
        <v>1265</v>
      </c>
      <c r="B4" s="1755" t="s">
        <v>1266</v>
      </c>
      <c r="C4" s="1756" t="s">
        <v>3404</v>
      </c>
      <c r="D4" s="1756" t="s">
        <v>3557</v>
      </c>
      <c r="E4" s="3921" t="s">
        <v>1267</v>
      </c>
      <c r="F4" s="3922"/>
      <c r="G4" s="3922"/>
      <c r="H4" s="3922"/>
      <c r="I4" s="392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895" t="s">
        <v>1268</v>
      </c>
      <c r="B5" s="3882">
        <v>25</v>
      </c>
      <c r="C5" s="3898"/>
      <c r="D5" s="3918"/>
      <c r="E5" s="131" t="s">
        <v>1269</v>
      </c>
      <c r="F5" s="1757"/>
      <c r="G5" s="1757"/>
      <c r="H5" s="1757"/>
      <c r="I5" s="1373"/>
    </row>
    <row r="6" spans="1:12" ht="12.75">
      <c r="A6" s="3895"/>
      <c r="B6" s="3882"/>
      <c r="C6" s="3899"/>
      <c r="D6" s="3918"/>
      <c r="E6" s="131" t="s">
        <v>1270</v>
      </c>
      <c r="F6" s="1757"/>
      <c r="G6" s="1757"/>
      <c r="H6" s="1757"/>
      <c r="I6" s="1373"/>
    </row>
    <row r="7" spans="1:12" ht="12.75">
      <c r="A7" s="3895"/>
      <c r="B7" s="3882"/>
      <c r="C7" s="3900"/>
      <c r="D7" s="3918"/>
      <c r="E7" s="131" t="s">
        <v>1271</v>
      </c>
      <c r="F7" s="1757"/>
      <c r="G7" s="1757"/>
      <c r="H7" s="1757"/>
      <c r="I7" s="1373"/>
    </row>
    <row r="8" spans="1:12" ht="12.75">
      <c r="A8" s="3895" t="s">
        <v>1272</v>
      </c>
      <c r="B8" s="3882">
        <v>15</v>
      </c>
      <c r="C8" s="3898"/>
      <c r="D8" s="3918"/>
      <c r="E8" s="131" t="s">
        <v>1273</v>
      </c>
      <c r="F8" s="1757"/>
      <c r="G8" s="1757"/>
      <c r="H8" s="1757"/>
      <c r="I8" s="1373"/>
    </row>
    <row r="9" spans="1:12" ht="12.75">
      <c r="A9" s="3895"/>
      <c r="B9" s="3882"/>
      <c r="C9" s="3900"/>
      <c r="D9" s="3918"/>
      <c r="E9" s="131" t="s">
        <v>1274</v>
      </c>
      <c r="F9" s="1757"/>
      <c r="G9" s="1757"/>
      <c r="H9" s="1757"/>
      <c r="I9" s="1373"/>
    </row>
    <row r="10" spans="1:12" ht="12.75">
      <c r="A10" s="3895" t="s">
        <v>1275</v>
      </c>
      <c r="B10" s="3882">
        <v>15</v>
      </c>
      <c r="C10" s="3898"/>
      <c r="D10" s="3918"/>
      <c r="E10" s="131" t="s">
        <v>1276</v>
      </c>
      <c r="F10" s="1757"/>
      <c r="G10" s="1757"/>
      <c r="H10" s="1757"/>
      <c r="I10" s="1373"/>
    </row>
    <row r="11" spans="1:12" ht="12.75">
      <c r="A11" s="3895"/>
      <c r="B11" s="3882"/>
      <c r="C11" s="3900"/>
      <c r="D11" s="3918"/>
      <c r="E11" s="131" t="s">
        <v>1277</v>
      </c>
      <c r="F11" s="1757"/>
      <c r="G11" s="1757"/>
      <c r="H11" s="1757"/>
      <c r="I11" s="1373"/>
    </row>
    <row r="12" spans="1:12" ht="12.75">
      <c r="A12" s="3895" t="s">
        <v>1278</v>
      </c>
      <c r="B12" s="3882">
        <v>15</v>
      </c>
      <c r="C12" s="3898"/>
      <c r="D12" s="3918"/>
      <c r="E12" s="131" t="s">
        <v>1279</v>
      </c>
      <c r="F12" s="1757"/>
      <c r="G12" s="1757"/>
      <c r="H12" s="1757"/>
      <c r="I12" s="1373"/>
    </row>
    <row r="13" spans="1:12" ht="12.75">
      <c r="A13" s="3895"/>
      <c r="B13" s="3882"/>
      <c r="C13" s="3900"/>
      <c r="D13" s="3918"/>
      <c r="E13" s="131" t="s">
        <v>1280</v>
      </c>
      <c r="F13" s="1757"/>
      <c r="G13" s="1757"/>
      <c r="H13" s="1757"/>
      <c r="I13" s="1373"/>
    </row>
    <row r="14" spans="1:12" ht="12.75">
      <c r="A14" s="3895" t="s">
        <v>1281</v>
      </c>
      <c r="B14" s="3882">
        <v>30</v>
      </c>
      <c r="C14" s="3898">
        <v>4</v>
      </c>
      <c r="D14" s="3918">
        <v>6</v>
      </c>
      <c r="E14" s="131" t="s">
        <v>1282</v>
      </c>
      <c r="F14" s="1757"/>
      <c r="G14" s="1757"/>
      <c r="H14" s="1757"/>
      <c r="I14" s="1373"/>
    </row>
    <row r="15" spans="1:12" ht="12.75">
      <c r="A15" s="3895"/>
      <c r="B15" s="3882"/>
      <c r="C15" s="3899"/>
      <c r="D15" s="3918"/>
      <c r="E15" s="131" t="s">
        <v>1283</v>
      </c>
      <c r="F15" s="1757"/>
      <c r="G15" s="1757"/>
      <c r="H15" s="1757"/>
      <c r="I15" s="1373"/>
    </row>
    <row r="16" spans="1:12" ht="12.75">
      <c r="A16" s="3895"/>
      <c r="B16" s="3882"/>
      <c r="C16" s="3900"/>
      <c r="D16" s="3918"/>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905" t="s">
        <v>2131</v>
      </c>
      <c r="F18" s="3906"/>
      <c r="G18" s="3906"/>
      <c r="H18" s="3906"/>
      <c r="I18" s="3906"/>
      <c r="K18" s="302" t="s">
        <v>1289</v>
      </c>
      <c r="L18" s="302">
        <f>IF(C1="",'数据-汇总表'!E3,SUMIF(项目类型,C1,'数据-汇总表'!E17:E26)+SUMIF(项目类型,C1,'数据-汇总表'!I17:I26))</f>
        <v>35375.960000000006</v>
      </c>
      <c r="M18" s="302">
        <f>IF(C1="",'数据-汇总表'!E3,SUMIF(项目类型,C1,'数据-汇总表'!E17:E26))</f>
        <v>35375.960000000006</v>
      </c>
    </row>
    <row r="19" spans="1:36" ht="15">
      <c r="A19" s="1761" t="s">
        <v>1290</v>
      </c>
      <c r="B19" s="1762" t="s">
        <v>1291</v>
      </c>
      <c r="C19" s="134">
        <f ca="1">SUMIF(INDIRECT("'"&amp;C4&amp;"'"&amp;"!A:A"),结果表!B19,INDIRECT("'"&amp;C4&amp;"'"&amp;"!B:B"))</f>
        <v>97938</v>
      </c>
      <c r="D19" s="135">
        <f ca="1">SUMIF(INDIRECT("'"&amp;D4&amp;"'"&amp;"!A:A"),结果表!B19,INDIRECT("'"&amp;D4&amp;"'"&amp;"!B:B"))</f>
        <v>135391</v>
      </c>
      <c r="E19" s="1761" t="s">
        <v>1292</v>
      </c>
      <c r="F19" s="1762" t="s">
        <v>1291</v>
      </c>
      <c r="G19" s="136">
        <f ca="1">ROUND(C19*$C$18+D19*$D$18,0)</f>
        <v>120410</v>
      </c>
      <c r="H19" s="1763" t="s">
        <v>1293</v>
      </c>
      <c r="I19" s="129"/>
      <c r="K19" s="302" t="s">
        <v>1294</v>
      </c>
      <c r="L19" s="302">
        <f>IF(C1="",'数据-汇总表'!D3,SUMIF(项目类型,C1,'数据-汇总表'!D17:D26)+SUMIF(项目类型,C1,'数据-汇总表'!H17:H27))</f>
        <v>6534.54</v>
      </c>
      <c r="M19" s="302">
        <f>IF(C1="",'数据-汇总表'!D3,SUMIF(项目类型,C1,'数据-汇总表'!D17:D26))</f>
        <v>6534.54</v>
      </c>
    </row>
    <row r="20" spans="1:36" ht="15">
      <c r="A20" s="1764"/>
      <c r="B20" s="1026" t="s">
        <v>1295</v>
      </c>
      <c r="C20" s="137">
        <f ca="1">SUMIF(INDIRECT("'"&amp;C4&amp;"'"&amp;"!A:A"),结果表!B20,INDIRECT("'"&amp;C4&amp;"'"&amp;"!B:B"))</f>
        <v>27685</v>
      </c>
      <c r="D20" s="138">
        <f ca="1">SUMIF(INDIRECT("'"&amp;D4&amp;"'"&amp;"!A:A"),结果表!B20,INDIRECT("'"&amp;D4&amp;"'"&amp;"!B:B"))</f>
        <v>38272</v>
      </c>
      <c r="E20" s="1764"/>
      <c r="F20" s="1026" t="s">
        <v>1295</v>
      </c>
      <c r="G20" s="139">
        <f ca="1">ROUND(C20*$C$18+D20*$D$18,0)</f>
        <v>34037</v>
      </c>
      <c r="H20" s="808" t="s">
        <v>1296</v>
      </c>
      <c r="I20" s="129"/>
    </row>
    <row r="21" spans="1:36" ht="15" customHeight="1" thickBot="1">
      <c r="A21" s="828"/>
      <c r="B21" s="1765" t="s">
        <v>1297</v>
      </c>
      <c r="C21" s="719">
        <f ca="1">ROUND(C19*10000/L19,0)</f>
        <v>149877</v>
      </c>
      <c r="D21" s="720">
        <f ca="1">ROUND(D19*10000/L19,0)</f>
        <v>207193</v>
      </c>
      <c r="E21" s="828"/>
      <c r="F21" s="1765" t="s">
        <v>1297</v>
      </c>
      <c r="G21" s="140">
        <f ca="1">ROUND(G19*10000/L19,0)</f>
        <v>184267</v>
      </c>
      <c r="H21" s="1766" t="s">
        <v>1296</v>
      </c>
      <c r="I21" s="129"/>
    </row>
    <row r="22" spans="1:36" ht="15" thickBot="1">
      <c r="A22" s="1688" t="s">
        <v>1298</v>
      </c>
      <c r="B22" s="1767"/>
      <c r="C22" s="1768"/>
      <c r="D22" s="721">
        <f ca="1">IF(C19&lt;D19,D19/C19-1,C19/D19-1)</f>
        <v>0.38241540566480836</v>
      </c>
      <c r="E22" s="129"/>
      <c r="F22" s="129"/>
      <c r="G22" s="129"/>
      <c r="H22" s="129"/>
      <c r="I22" s="129"/>
    </row>
    <row r="23" spans="1:36" ht="13.5" thickBot="1">
      <c r="A23" s="1747"/>
      <c r="B23" s="1747"/>
      <c r="C23" s="1747"/>
      <c r="D23" s="1747"/>
      <c r="E23" s="129"/>
      <c r="F23" s="129"/>
      <c r="G23" s="129"/>
      <c r="H23" s="129"/>
      <c r="I23" s="129"/>
      <c r="K23" s="725">
        <v>135000</v>
      </c>
      <c r="L23" s="3791">
        <f>L24*L18/10000</f>
        <v>123815.86000000003</v>
      </c>
      <c r="M23" s="3464">
        <f ca="1">'收益法-酒店模型'!B2/结果表!K23</f>
        <v>0.53705185185185189</v>
      </c>
    </row>
    <row r="24" spans="1:36" ht="14.25">
      <c r="A24" s="3889" t="s">
        <v>1299</v>
      </c>
      <c r="B24" s="1762" t="s">
        <v>1291</v>
      </c>
      <c r="C24" s="136">
        <f>IF(B30=0,0,D30)</f>
        <v>0</v>
      </c>
      <c r="D24" s="1769"/>
      <c r="E24" s="129"/>
      <c r="F24" s="129"/>
      <c r="G24" s="129"/>
      <c r="H24" s="129"/>
      <c r="I24" s="129"/>
      <c r="K24" s="3791">
        <f>K23/L18*10000</f>
        <v>38161.508549873979</v>
      </c>
      <c r="L24" s="725">
        <v>35000</v>
      </c>
    </row>
    <row r="25" spans="1:36" ht="14.25">
      <c r="A25" s="389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c r="K26" s="3464">
        <f>'数据-汇总表'!G19/'数据-汇总表'!E31</f>
        <v>0.13527491550759327</v>
      </c>
    </row>
    <row r="27" spans="1:36" ht="14.25">
      <c r="A27" s="1771"/>
      <c r="B27" s="142">
        <v>0</v>
      </c>
      <c r="C27" s="142">
        <v>0</v>
      </c>
      <c r="D27" s="143">
        <f>ROUND(C27*B27/10000,0)</f>
        <v>0</v>
      </c>
      <c r="E27" s="129"/>
      <c r="F27" s="129"/>
      <c r="G27" s="129"/>
      <c r="H27" s="129"/>
      <c r="I27" s="129"/>
    </row>
    <row r="28" spans="1:36" ht="14.25">
      <c r="A28" s="1771"/>
      <c r="B28" s="142"/>
      <c r="C28" s="142"/>
      <c r="D28" s="143">
        <f ca="1">G19/'数据-汇总表'!F31</f>
        <v>3.9361919133011312</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120410</v>
      </c>
      <c r="D32" s="1775" t="s">
        <v>3405</v>
      </c>
      <c r="E32" s="129"/>
      <c r="F32" s="129"/>
      <c r="G32" s="129"/>
      <c r="H32" s="129"/>
      <c r="I32" s="129"/>
    </row>
    <row r="33" spans="1:15" ht="15">
      <c r="A33" s="786" t="s">
        <v>1306</v>
      </c>
      <c r="B33" s="1776"/>
      <c r="C33" s="1777" t="s">
        <v>3406</v>
      </c>
      <c r="D33" s="1778" t="s">
        <v>3404</v>
      </c>
      <c r="E33" s="1779" t="s">
        <v>1307</v>
      </c>
      <c r="F33" s="1780" t="str">
        <f>IF(D32="楼面单价","取值（单价）","取值（总价）")</f>
        <v>取值（总价）</v>
      </c>
      <c r="G33" s="129"/>
      <c r="H33" s="129"/>
      <c r="I33" s="129"/>
    </row>
    <row r="34" spans="1:15" ht="15">
      <c r="A34" s="1781"/>
      <c r="B34" s="1782" t="s">
        <v>1308</v>
      </c>
      <c r="C34" s="148">
        <f ca="1">IF(C33="自定义",F34,C32-C35)</f>
        <v>79832</v>
      </c>
      <c r="D34" s="861">
        <f ca="1">IF(C33="自定义",ROUND(C34/C32,3),IF(C33="收益比率",SUMIF(INDIRECT("'"&amp;D33&amp;"'"&amp;"!b:b"),"土地收益比率",INDIRECT("'"&amp;D33&amp;"'"&amp;"!c:c")),SUMIF(INDIRECT("'"&amp;D33&amp;"'"&amp;"!b:b"),"土地成本比率",INDIRECT("'"&amp;D33&amp;"'"&amp;"!c:c"))))</f>
        <v>0.66300000000000003</v>
      </c>
      <c r="E34" s="1783" t="s">
        <v>1309</v>
      </c>
      <c r="F34" s="1330"/>
      <c r="G34" s="129"/>
      <c r="H34" s="129"/>
      <c r="I34" s="129"/>
    </row>
    <row r="35" spans="1:15" ht="15.75" thickBot="1">
      <c r="A35" s="1784"/>
      <c r="B35" s="1785" t="s">
        <v>1310</v>
      </c>
      <c r="C35" s="1170">
        <f ca="1">IF(C33="自定义",F35,ROUND(C32*D35,0))</f>
        <v>40578</v>
      </c>
      <c r="D35" s="1171">
        <f ca="1">IF(C33="自定义",ROUND(C35/C32,3),IF(C33="收益比率",SUMIF(INDIRECT("'"&amp;D33&amp;"'"&amp;"!b:b"),"建筑物收益比率",INDIRECT("'"&amp;D33&amp;"'"&amp;"!c:c")),SUMIF(INDIRECT("'"&amp;D33&amp;"'"&amp;"!b:b"),"建筑物成本比率",INDIRECT("'"&amp;D33&amp;"'"&amp;"!c:c"))))</f>
        <v>0.33700000000000002</v>
      </c>
      <c r="E35" s="1786" t="s">
        <v>1311</v>
      </c>
      <c r="F35" s="154"/>
      <c r="G35" s="129"/>
      <c r="H35" s="129"/>
      <c r="I35" s="129"/>
    </row>
    <row r="36" spans="1:15" ht="15.75" thickBot="1">
      <c r="A36" s="3909" t="s">
        <v>1312</v>
      </c>
      <c r="B36" s="1787" t="s">
        <v>1313</v>
      </c>
      <c r="C36" s="145"/>
      <c r="D36" s="1788"/>
      <c r="E36" s="1789"/>
      <c r="F36" s="1790"/>
      <c r="G36" s="129"/>
      <c r="H36" s="129"/>
      <c r="I36" s="129"/>
    </row>
    <row r="37" spans="1:15" ht="15.75" thickBot="1">
      <c r="A37" s="3910"/>
      <c r="B37" s="1674" t="s">
        <v>1314</v>
      </c>
      <c r="C37" s="147"/>
      <c r="D37" s="1139"/>
      <c r="E37" s="1139"/>
      <c r="F37" s="1790"/>
      <c r="G37" s="129"/>
      <c r="H37" s="129"/>
      <c r="I37" s="129"/>
    </row>
    <row r="38" spans="1:15" ht="15.75" thickBot="1">
      <c r="A38" s="391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886" t="s">
        <v>1326</v>
      </c>
      <c r="B45" s="3887"/>
      <c r="C45" s="3888"/>
      <c r="D45" s="155">
        <f ca="1">ROUND(H101*F45,0)</f>
        <v>120410</v>
      </c>
      <c r="E45" s="156" t="s">
        <v>1327</v>
      </c>
      <c r="F45" s="157">
        <v>1</v>
      </c>
      <c r="G45" s="158" t="s">
        <v>1328</v>
      </c>
      <c r="H45" s="129"/>
      <c r="I45" s="129"/>
      <c r="J45" s="3964" t="s">
        <v>1329</v>
      </c>
      <c r="K45" s="3964"/>
      <c r="L45" s="3964"/>
      <c r="M45" s="3964"/>
      <c r="N45" s="3964"/>
      <c r="O45" s="3964"/>
    </row>
    <row r="46" spans="1:15" ht="14.25" customHeight="1">
      <c r="A46" s="3883" t="s">
        <v>1330</v>
      </c>
      <c r="B46" s="3884"/>
      <c r="C46" s="3884"/>
      <c r="D46" s="3884"/>
      <c r="E46" s="3884"/>
      <c r="F46" s="3884"/>
      <c r="G46" s="3885"/>
      <c r="H46" s="1806"/>
      <c r="I46" s="159"/>
      <c r="J46" s="2523">
        <v>1</v>
      </c>
      <c r="K46" s="3945" t="s">
        <v>1331</v>
      </c>
      <c r="L46" s="3945"/>
      <c r="M46" s="3965"/>
      <c r="N46" s="3965"/>
      <c r="O46" s="3965"/>
    </row>
    <row r="47" spans="1:15" ht="12" customHeight="1">
      <c r="A47" s="160" t="s">
        <v>1332</v>
      </c>
      <c r="B47" s="161"/>
      <c r="C47" s="162"/>
      <c r="D47" s="1087" t="s">
        <v>1333</v>
      </c>
      <c r="E47" s="302" t="s">
        <v>1334</v>
      </c>
      <c r="F47" s="163" t="s">
        <v>1335</v>
      </c>
      <c r="G47" s="2546" t="s">
        <v>1336</v>
      </c>
      <c r="H47" s="2547"/>
      <c r="I47" s="159"/>
      <c r="J47" s="2523">
        <v>2</v>
      </c>
      <c r="K47" s="3945" t="s">
        <v>1337</v>
      </c>
      <c r="L47" s="3945"/>
      <c r="M47" s="3966">
        <f>'数据-取费表'!B2</f>
        <v>45530</v>
      </c>
      <c r="N47" s="3966"/>
      <c r="O47" s="3966"/>
    </row>
    <row r="48" spans="1:15" ht="25.5">
      <c r="A48" s="3914" t="s">
        <v>1338</v>
      </c>
      <c r="B48" s="3897"/>
      <c r="C48" s="3897"/>
      <c r="D48" s="2324">
        <f ca="1">IF(H48="情况1",0,IF(H48="情况2",D52,IF(H48="情况3",D53,IF(H48="情况4",D54))))</f>
        <v>6422</v>
      </c>
      <c r="E48" s="2334" t="str">
        <f>IF(H48="情况4","(销售额-原购置价)×税（费）率","销售额×税（费）率")</f>
        <v>销售额×税（费）率</v>
      </c>
      <c r="F48" s="2548">
        <f>IF(H48="情况1","免征",'数据-取费表'!B41)</f>
        <v>5.6000000000000001E-2</v>
      </c>
      <c r="G48" s="2549" t="s">
        <v>1339</v>
      </c>
      <c r="H48" s="2550" t="s">
        <v>3558</v>
      </c>
      <c r="I48" s="1806"/>
      <c r="J48" s="2523">
        <v>3</v>
      </c>
      <c r="K48" s="3945" t="s">
        <v>1340</v>
      </c>
      <c r="L48" s="3945"/>
      <c r="M48" s="3967">
        <f ca="1">H101</f>
        <v>120410</v>
      </c>
      <c r="N48" s="3967"/>
      <c r="O48" s="3967"/>
    </row>
    <row r="49" spans="1:35" ht="25.5" customHeight="1">
      <c r="A49" s="2333" t="s">
        <v>1341</v>
      </c>
      <c r="B49" s="3881" t="s">
        <v>1342</v>
      </c>
      <c r="C49" s="3881"/>
      <c r="D49" s="1590">
        <v>0</v>
      </c>
      <c r="E49" s="324" t="s">
        <v>1343</v>
      </c>
      <c r="F49" s="2424" t="s">
        <v>28</v>
      </c>
      <c r="G49" s="3951"/>
      <c r="H49" s="2310" t="s">
        <v>2134</v>
      </c>
      <c r="I49" s="2311"/>
      <c r="J49" s="2523">
        <v>4</v>
      </c>
      <c r="K49" s="3945" t="str">
        <f>IF(项目基本情况!E8="房地产抵押价值","房地产抵押价值","抵押担保权已注销时的房地产抵押价值")</f>
        <v>房地产抵押价值</v>
      </c>
      <c r="L49" s="3945"/>
      <c r="M49" s="3967">
        <f ca="1">IF(项目基本情况!E8="房地产抵押价值",H107,H109)</f>
        <v>120410</v>
      </c>
      <c r="N49" s="3967"/>
      <c r="O49" s="3967"/>
    </row>
    <row r="50" spans="1:35" ht="25.5" customHeight="1">
      <c r="A50" s="2551"/>
      <c r="B50" s="3881" t="s">
        <v>1344</v>
      </c>
      <c r="C50" s="3881"/>
      <c r="D50" s="2552"/>
      <c r="E50" s="332"/>
      <c r="F50" s="2424"/>
      <c r="G50" s="3952"/>
      <c r="H50" s="2312" t="s">
        <v>2135</v>
      </c>
      <c r="I50" s="2311"/>
      <c r="J50" s="3964" t="s">
        <v>1345</v>
      </c>
      <c r="K50" s="3964"/>
      <c r="L50" s="3964"/>
      <c r="M50" s="3964"/>
      <c r="N50" s="3964"/>
      <c r="O50" s="3964"/>
    </row>
    <row r="51" spans="1:35" ht="20.45" customHeight="1">
      <c r="A51" s="2553"/>
      <c r="B51" s="3881" t="s">
        <v>1346</v>
      </c>
      <c r="C51" s="3881"/>
      <c r="D51" s="1087"/>
      <c r="E51" s="327"/>
      <c r="F51" s="2424"/>
      <c r="G51" s="3953"/>
      <c r="H51" s="2312" t="s">
        <v>2136</v>
      </c>
      <c r="I51" s="2311"/>
      <c r="J51" s="2524" t="s">
        <v>1347</v>
      </c>
      <c r="K51" s="3945" t="s">
        <v>1348</v>
      </c>
      <c r="L51" s="3945"/>
      <c r="M51" s="2524" t="s">
        <v>1349</v>
      </c>
      <c r="N51" s="2524" t="s">
        <v>1350</v>
      </c>
      <c r="O51" s="2524" t="s">
        <v>1351</v>
      </c>
    </row>
    <row r="52" spans="1:35" ht="24" customHeight="1">
      <c r="A52" s="2335" t="s">
        <v>1352</v>
      </c>
      <c r="B52" s="3881" t="s">
        <v>1353</v>
      </c>
      <c r="C52" s="3881"/>
      <c r="D52" s="1087">
        <f ca="1">ROUND(D45*'数据-取费表'!B41/(1+'数据-取费表'!C42),0)</f>
        <v>6422</v>
      </c>
      <c r="E52" s="2334" t="s">
        <v>1354</v>
      </c>
      <c r="F52" s="2554">
        <f>'数据-取费表'!B41</f>
        <v>5.6000000000000001E-2</v>
      </c>
      <c r="G52" s="2555"/>
      <c r="H52" s="2544"/>
      <c r="I52" s="1807"/>
      <c r="J52" s="2523">
        <v>1</v>
      </c>
      <c r="K52" s="3946" t="s">
        <v>1355</v>
      </c>
      <c r="L52" s="3946"/>
      <c r="M52" s="2525">
        <f ca="1">D48</f>
        <v>6422</v>
      </c>
      <c r="N52" s="2523" t="str">
        <f>E48</f>
        <v>销售额×税（费）率</v>
      </c>
      <c r="O52" s="2526">
        <f>F48</f>
        <v>5.6000000000000001E-2</v>
      </c>
    </row>
    <row r="53" spans="1:35" ht="12" customHeight="1">
      <c r="A53" s="2335" t="s">
        <v>1356</v>
      </c>
      <c r="B53" s="3907" t="s">
        <v>2291</v>
      </c>
      <c r="C53" s="3908"/>
      <c r="D53" s="1087">
        <f ca="1">ROUND(D45*'数据-取费表'!B41/(1+'数据-取费表'!C42),0)</f>
        <v>6422</v>
      </c>
      <c r="E53" s="2334" t="s">
        <v>1354</v>
      </c>
      <c r="F53" s="2554">
        <f>'数据-取费表'!B41</f>
        <v>5.6000000000000001E-2</v>
      </c>
      <c r="G53" s="2555"/>
      <c r="H53" s="2544"/>
      <c r="I53" s="1807"/>
      <c r="J53" s="2523">
        <v>2</v>
      </c>
      <c r="K53" s="3946" t="s">
        <v>1357</v>
      </c>
      <c r="L53" s="3946"/>
      <c r="M53" s="2525">
        <f t="shared" ref="M53:O54" ca="1" si="0">D55</f>
        <v>60</v>
      </c>
      <c r="N53" s="2523" t="str">
        <f t="shared" si="0"/>
        <v>销售额×税（费）率</v>
      </c>
      <c r="O53" s="2526">
        <f t="shared" si="0"/>
        <v>5.0000000000000001E-4</v>
      </c>
    </row>
    <row r="54" spans="1:35" ht="12" customHeight="1">
      <c r="A54" s="2335" t="s">
        <v>1358</v>
      </c>
      <c r="B54" s="3907" t="s">
        <v>2292</v>
      </c>
      <c r="C54" s="3908"/>
      <c r="D54" s="1087">
        <f ca="1">C68</f>
        <v>6422</v>
      </c>
      <c r="E54" s="327" t="s">
        <v>1359</v>
      </c>
      <c r="F54" s="2554">
        <f>'数据-取费表'!B41</f>
        <v>5.6000000000000001E-2</v>
      </c>
      <c r="G54" s="2555"/>
      <c r="H54" s="2556"/>
      <c r="I54" s="1807"/>
      <c r="J54" s="2523">
        <v>3</v>
      </c>
      <c r="K54" s="3946" t="s">
        <v>1360</v>
      </c>
      <c r="L54" s="3946"/>
      <c r="M54" s="2525">
        <f t="shared" ca="1" si="0"/>
        <v>31556</v>
      </c>
      <c r="N54" s="2523" t="str">
        <f t="shared" si="0"/>
        <v>增值额×税（费）率</v>
      </c>
      <c r="O54" s="2527" t="str">
        <f t="shared" si="0"/>
        <v>——</v>
      </c>
    </row>
    <row r="55" spans="1:35" ht="24" customHeight="1">
      <c r="A55" s="3896" t="s">
        <v>1361</v>
      </c>
      <c r="B55" s="3897"/>
      <c r="C55" s="3897"/>
      <c r="D55" s="2324">
        <f ca="1">IF(H55="个人住宅",0,ROUND(D45*I55,0))</f>
        <v>60</v>
      </c>
      <c r="E55" s="2334" t="s">
        <v>1362</v>
      </c>
      <c r="F55" s="2554">
        <f>IF(H55="正常",I55,"免征")</f>
        <v>5.0000000000000001E-4</v>
      </c>
      <c r="G55" s="2555"/>
      <c r="H55" s="2550" t="s">
        <v>3532</v>
      </c>
      <c r="I55" s="165">
        <f>'数据-取费表'!B49</f>
        <v>5.0000000000000001E-4</v>
      </c>
      <c r="J55" s="2523" t="str">
        <f>IF(H59="非个人房产","",4)</f>
        <v/>
      </c>
      <c r="K55" s="3946" t="str">
        <f>IF(H59="非个人房产","——","个人所得税")</f>
        <v>——</v>
      </c>
      <c r="L55" s="3946"/>
      <c r="M55" s="2528" t="str">
        <f>D59</f>
        <v>——</v>
      </c>
      <c r="N55" s="2040" t="str">
        <f>E59</f>
        <v>——</v>
      </c>
      <c r="O55" s="2529" t="str">
        <f>F59</f>
        <v>——</v>
      </c>
    </row>
    <row r="56" spans="1:35" ht="24.75">
      <c r="A56" s="3896" t="s">
        <v>1363</v>
      </c>
      <c r="B56" s="3897"/>
      <c r="C56" s="3897"/>
      <c r="D56" s="2324">
        <f ca="1">IF(H56="个人住宅",D57,D58)</f>
        <v>31556</v>
      </c>
      <c r="E56" s="2334" t="s">
        <v>1364</v>
      </c>
      <c r="F56" s="2554" t="str">
        <f>IF(H56="正常",F58,"免征")</f>
        <v>——</v>
      </c>
      <c r="G56" s="2557" t="s">
        <v>1365</v>
      </c>
      <c r="H56" s="2558" t="s">
        <v>3532</v>
      </c>
      <c r="I56" s="1808"/>
      <c r="J56" s="2523" t="str">
        <f>IF(项目基本情况!K6="上海银行",IF(J55="",4,J55+1),"")</f>
        <v/>
      </c>
      <c r="K56" s="3969" t="str">
        <f>IF(项目基本情况!K6="上海银行","其他处置费用","")</f>
        <v/>
      </c>
      <c r="L56" s="3970"/>
      <c r="M56" s="2525" t="str">
        <f>IF(项目基本情况!K6="上海银行",M69,"")</f>
        <v/>
      </c>
      <c r="N56" s="3969" t="str">
        <f>IF(项目基本情况!K6="上海银行","包含处置中涉及的律师、诉讼、拍卖、评估等费用","")</f>
        <v/>
      </c>
      <c r="O56" s="3972"/>
    </row>
    <row r="57" spans="1:35" ht="12.75">
      <c r="A57" s="2335" t="s">
        <v>1341</v>
      </c>
      <c r="B57" s="3907" t="s">
        <v>1366</v>
      </c>
      <c r="C57" s="3908"/>
      <c r="D57" s="1590">
        <v>0</v>
      </c>
      <c r="E57" s="324" t="s">
        <v>1343</v>
      </c>
      <c r="F57" s="302"/>
      <c r="G57" s="2555"/>
      <c r="H57" s="2559"/>
      <c r="I57" s="1808"/>
      <c r="J57" s="3946">
        <f>IF(AND(J55="",J56=""),4,IF(项目基本情况!K6="上海银行",结果表!J56+1,结果表!J55+1))</f>
        <v>4</v>
      </c>
      <c r="K57" s="3946" t="s">
        <v>1367</v>
      </c>
      <c r="L57" s="2530" t="s">
        <v>1368</v>
      </c>
      <c r="M57" s="2531"/>
      <c r="N57" s="2532">
        <f ca="1">SUMIF(M52:M56,"&lt;9e307")</f>
        <v>38038</v>
      </c>
      <c r="O57" s="2533"/>
      <c r="P57" s="2690">
        <f ca="1">N57/M49</f>
        <v>0.31590399468482683</v>
      </c>
    </row>
    <row r="58" spans="1:35" ht="24.75">
      <c r="A58" s="2335" t="s">
        <v>1352</v>
      </c>
      <c r="B58" s="3907" t="s">
        <v>1369</v>
      </c>
      <c r="C58" s="3881"/>
      <c r="D58" s="2324">
        <f ca="1">IF(H58="转让取得",C81,C97)</f>
        <v>31556</v>
      </c>
      <c r="E58" s="2334" t="s">
        <v>1364</v>
      </c>
      <c r="F58" s="302" t="s">
        <v>28</v>
      </c>
      <c r="G58" s="2555"/>
      <c r="H58" s="2558" t="s">
        <v>3559</v>
      </c>
      <c r="I58" s="1808"/>
      <c r="J58" s="3946"/>
      <c r="K58" s="3946"/>
      <c r="L58" s="2530" t="s">
        <v>1370</v>
      </c>
      <c r="M58" s="2534"/>
      <c r="N58" s="2535" t="str">
        <f ca="1">NUMBERSTRING(INT(N57*10000),2)&amp;"元整"</f>
        <v>叁亿捌仟零叁拾捌万元整</v>
      </c>
      <c r="O58" s="2536"/>
    </row>
    <row r="59" spans="1:35" ht="24.75" thickBot="1">
      <c r="A59" s="3949" t="s">
        <v>1371</v>
      </c>
      <c r="B59" s="3950"/>
      <c r="C59" s="3950"/>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3560</v>
      </c>
      <c r="I59" s="2313" t="s">
        <v>2137</v>
      </c>
      <c r="J59" s="3947">
        <f>J57+1</f>
        <v>5</v>
      </c>
      <c r="K59" s="3946" t="s">
        <v>1372</v>
      </c>
      <c r="L59" s="2523" t="s">
        <v>1368</v>
      </c>
      <c r="M59" s="2537"/>
      <c r="N59" s="2538">
        <f ca="1">M49-N57</f>
        <v>82372</v>
      </c>
      <c r="O59" s="2539"/>
    </row>
    <row r="60" spans="1:35" ht="12" customHeight="1">
      <c r="A60" s="1809"/>
      <c r="B60" s="1747"/>
      <c r="C60" s="1747"/>
      <c r="D60" s="1747"/>
      <c r="E60" s="1578"/>
      <c r="F60" s="1808"/>
      <c r="G60" s="1808"/>
      <c r="H60" s="1810"/>
      <c r="I60" s="129"/>
      <c r="J60" s="3948"/>
      <c r="K60" s="3946"/>
      <c r="L60" s="2530" t="s">
        <v>1370</v>
      </c>
      <c r="M60" s="2534"/>
      <c r="N60" s="2535" t="str">
        <f ca="1">NUMBERSTRING(INT(N59*10000),2)&amp;"元整"</f>
        <v>捌亿贰仟叁佰柒拾贰万元整</v>
      </c>
      <c r="O60" s="2536"/>
    </row>
    <row r="61" spans="1:35" ht="13.5" thickBot="1">
      <c r="A61" s="3894" t="s">
        <v>1373</v>
      </c>
      <c r="B61" s="3894"/>
      <c r="C61" s="3894"/>
      <c r="D61" s="3894"/>
      <c r="E61" s="3894"/>
      <c r="F61" s="1808"/>
      <c r="G61" s="1808"/>
      <c r="H61" s="1810"/>
      <c r="I61" s="129"/>
      <c r="J61" s="2523">
        <f>J59+1</f>
        <v>6</v>
      </c>
      <c r="K61" s="3946" t="s">
        <v>1374</v>
      </c>
      <c r="L61" s="3946"/>
      <c r="M61" s="2540"/>
      <c r="N61" s="2541">
        <f ca="1">ROUND(N59*10000/'数据-汇总表'!E3,0)</f>
        <v>23285</v>
      </c>
      <c r="O61" s="2542"/>
    </row>
    <row r="62" spans="1:35" ht="12.75">
      <c r="A62" s="3912" t="s">
        <v>1375</v>
      </c>
      <c r="B62" s="3913"/>
      <c r="C62" s="2021"/>
      <c r="D62" s="2021" t="s">
        <v>1376</v>
      </c>
      <c r="E62" s="166" t="s">
        <v>1377</v>
      </c>
      <c r="F62" s="1808"/>
      <c r="G62" s="1808"/>
      <c r="H62" s="1810"/>
      <c r="I62" s="129"/>
    </row>
    <row r="63" spans="1:35" ht="12.75">
      <c r="A63" s="173" t="s">
        <v>330</v>
      </c>
      <c r="B63" s="167" t="s">
        <v>1378</v>
      </c>
      <c r="C63" s="2564">
        <f ca="1">ROUND((C64+C65)/(1+'数据-取费表'!C42),0)</f>
        <v>114676</v>
      </c>
      <c r="D63" s="167"/>
      <c r="E63" s="168"/>
      <c r="F63" s="1808"/>
      <c r="G63" s="1808"/>
      <c r="H63" s="1810"/>
      <c r="I63" s="129"/>
      <c r="J63" s="3971" t="s">
        <v>1379</v>
      </c>
      <c r="K63" s="1332" t="s">
        <v>1380</v>
      </c>
      <c r="L63" s="1332">
        <f ca="1">IF(M49&gt;10000,M49*0.5%,IF(AND(M49&gt;1000,M49&lt;=10000),M49*1%,IF(AND(M49&gt;100,M49&lt;=1000),M49*3%,IF(AND(M49&gt;10,M49&lt;=100),M49*5%,M49*8%))))</f>
        <v>602.05000000000007</v>
      </c>
      <c r="M63" s="302">
        <f ca="1">ROUND(L63,1)</f>
        <v>602.1</v>
      </c>
      <c r="N63" s="2543"/>
      <c r="Z63" s="1752"/>
      <c r="AI63" s="1753"/>
    </row>
    <row r="64" spans="1:35" ht="14.25" customHeight="1">
      <c r="A64" s="169" t="s">
        <v>325</v>
      </c>
      <c r="B64" s="170" t="s">
        <v>1381</v>
      </c>
      <c r="C64" s="2565">
        <f ca="1">D45</f>
        <v>120410</v>
      </c>
      <c r="D64" s="170" t="s">
        <v>26</v>
      </c>
      <c r="E64" s="172"/>
      <c r="F64" s="1808"/>
      <c r="G64" s="1808"/>
      <c r="H64" s="1810"/>
      <c r="I64" s="129"/>
      <c r="J64" s="3971"/>
      <c r="K64" s="1332" t="s">
        <v>1382</v>
      </c>
      <c r="L64" s="1332">
        <f ca="1">IF(M49&gt;2000,M49*0.5%,IF(AND(M49&gt;1000,M49&lt;=2000),M49*0.6%,IF(AND(M49&gt;500,M49&lt;=1000),M49*0.7%,IF(AND(M49&gt;200,M49&lt;=500),M49*0.8%,IF(AND(M49&gt;100,M49&lt;=200),M49*0.9%,IF(AND(M49&gt;50,M49&lt;=100),M49*1%,IF(AND(M49&gt;20,M49&lt;=50),M49*1.5%,IF(AND(M49&gt;10,M49&lt;=20),M49*2%,IF(AND(M49&gt;1,M49&lt;=10),M49*2.5%)))))))))</f>
        <v>602.05000000000007</v>
      </c>
      <c r="M64" s="302">
        <f t="shared" ref="M64:M65" ca="1" si="1">ROUND(L64,1)</f>
        <v>602.1</v>
      </c>
      <c r="N64" s="2544" t="s">
        <v>1383</v>
      </c>
      <c r="Z64" s="1752"/>
      <c r="AI64" s="1753"/>
    </row>
    <row r="65" spans="1:35" ht="14.25" customHeight="1">
      <c r="A65" s="169" t="s">
        <v>326</v>
      </c>
      <c r="B65" s="170" t="s">
        <v>1384</v>
      </c>
      <c r="C65" s="2566"/>
      <c r="D65" s="170"/>
      <c r="E65" s="172"/>
      <c r="F65" s="1808"/>
      <c r="G65" s="1808"/>
      <c r="H65" s="1810"/>
      <c r="I65" s="129"/>
      <c r="J65" s="3971"/>
      <c r="K65" s="1332" t="s">
        <v>1385</v>
      </c>
      <c r="L65" s="1332">
        <f ca="1">IF(M49&gt;1000,M49*0.1%,IF(AND(M49&gt;500,M49&lt;=1000),M49*0.5%,IF(AND(M49&gt;50,M49&lt;=500),M49*1%,IF(AND(M49&gt;1,M49&lt;=50),M49*1.5%))))</f>
        <v>120.41</v>
      </c>
      <c r="M65" s="302">
        <f t="shared" ca="1" si="1"/>
        <v>120.4</v>
      </c>
      <c r="N65" s="2544" t="s">
        <v>1383</v>
      </c>
      <c r="Z65" s="1752"/>
      <c r="AI65" s="1753"/>
    </row>
    <row r="66" spans="1:35" ht="14.25" customHeight="1">
      <c r="A66" s="173" t="s">
        <v>327</v>
      </c>
      <c r="B66" s="174" t="s">
        <v>1386</v>
      </c>
      <c r="C66" s="2567"/>
      <c r="D66" s="174" t="s">
        <v>26</v>
      </c>
      <c r="E66" s="1338" t="s">
        <v>671</v>
      </c>
      <c r="F66" s="1808"/>
      <c r="G66" s="1808"/>
      <c r="H66" s="1810"/>
      <c r="I66" s="129"/>
      <c r="J66" s="3971"/>
      <c r="K66" s="1332" t="s">
        <v>1387</v>
      </c>
      <c r="L66" s="1332">
        <f ca="1">M49*0.5%</f>
        <v>602.05000000000007</v>
      </c>
      <c r="M66" s="302">
        <f ca="1">IF(L66&gt;0.5,0.5,ROUND(L66,0))</f>
        <v>0.5</v>
      </c>
      <c r="N66" s="2544" t="s">
        <v>1388</v>
      </c>
      <c r="Z66" s="1752"/>
      <c r="AI66" s="1753"/>
    </row>
    <row r="67" spans="1:35" ht="14.25" customHeight="1">
      <c r="A67" s="173" t="s">
        <v>328</v>
      </c>
      <c r="B67" s="174" t="s">
        <v>1389</v>
      </c>
      <c r="C67" s="2568">
        <f ca="1">C63-C66</f>
        <v>114676</v>
      </c>
      <c r="D67" s="170" t="s">
        <v>26</v>
      </c>
      <c r="E67" s="172"/>
      <c r="F67" s="1808"/>
      <c r="G67" s="1808"/>
      <c r="H67" s="1810"/>
      <c r="I67" s="129"/>
      <c r="J67" s="3971"/>
      <c r="K67" s="1332" t="s">
        <v>1390</v>
      </c>
      <c r="L67" s="1332">
        <f ca="1">IF(M49&gt;=10000,(8.25+(M49-10000)*0.01%),IF(AND(M49&gt;=8000,M49&lt;10000),(7.85+(M49-8000)*0.02%),IF(AND(M49&gt;=5000,M49&lt;8000),(6.65+(M49-5000)*0.04%),IF(AND(M49&gt;=2000,M49&lt;5000),(4.25+(PM49-2000)*0.08%),IF(AND(M49&gt;=1000,M49&lt;2000),(2.75+(M49-1000)*0.15%),IF(AND(M49&gt;=100,M49&lt;1000),(0.5+(M49-100)*0.25%),IF(AND(M49&gt;0,M49&lt;100),M49*0.5%)))))))</f>
        <v>19.291</v>
      </c>
      <c r="M67" s="302">
        <f ca="1">ROUND(L67*0.9,1)</f>
        <v>17.399999999999999</v>
      </c>
      <c r="N67" s="2543"/>
      <c r="Z67" s="1752"/>
      <c r="AI67" s="1753"/>
    </row>
    <row r="68" spans="1:35" ht="14.25" customHeight="1" thickBot="1">
      <c r="A68" s="176" t="s">
        <v>329</v>
      </c>
      <c r="B68" s="177" t="s">
        <v>1391</v>
      </c>
      <c r="C68" s="2569">
        <f ca="1">IF(C67&lt;=0,0,ROUND(C67*D68,0))</f>
        <v>6422</v>
      </c>
      <c r="D68" s="2570">
        <f>'数据-取费表'!B41</f>
        <v>5.6000000000000001E-2</v>
      </c>
      <c r="E68" s="178"/>
      <c r="F68" s="1808"/>
      <c r="G68" s="1808"/>
      <c r="H68" s="1810"/>
      <c r="I68" s="129"/>
      <c r="J68" s="3971"/>
      <c r="K68" s="1332" t="s">
        <v>1392</v>
      </c>
      <c r="L68" s="1332">
        <f ca="1">IF(M49&gt;10000,M49*0.5%,IF(AND(M49&gt;5000,M49&lt;=10000),M49*1%,IF(AND(M49&gt;1000,M49&lt;=5000),M49*2%,IF(AND(M49&gt;200,M49&lt;=1000),M49*3%,M49*5%))))</f>
        <v>602.05000000000007</v>
      </c>
      <c r="M68" s="302">
        <f ca="1">ROUND(L68,1)</f>
        <v>602.1</v>
      </c>
      <c r="N68" s="2543"/>
      <c r="Z68" s="1752"/>
      <c r="AI68" s="1753"/>
    </row>
    <row r="69" spans="1:35" s="1772" customFormat="1" ht="16.5" customHeight="1">
      <c r="A69" s="1811"/>
      <c r="B69" s="1812"/>
      <c r="C69" s="1813"/>
      <c r="D69" s="1814"/>
      <c r="E69" s="1815"/>
      <c r="F69" s="1578"/>
      <c r="G69" s="1578"/>
      <c r="H69" s="1577"/>
      <c r="I69" s="1747"/>
      <c r="J69" s="3971"/>
      <c r="K69" s="1332" t="s">
        <v>1393</v>
      </c>
      <c r="L69" s="1332"/>
      <c r="M69" s="302">
        <f ca="1">ROUND(SUM(M63:M68),0)</f>
        <v>1945</v>
      </c>
      <c r="N69" s="2545">
        <f ca="1">M69/M49</f>
        <v>1.6153143426625695E-2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933" t="s">
        <v>1394</v>
      </c>
      <c r="B70" s="3934"/>
      <c r="C70" s="3934"/>
      <c r="D70" s="3934"/>
      <c r="E70" s="3934"/>
      <c r="F70" s="3934"/>
      <c r="G70" s="3934"/>
      <c r="H70" s="393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912" t="s">
        <v>1375</v>
      </c>
      <c r="B71" s="391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114676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688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907" t="s">
        <v>1402</v>
      </c>
      <c r="F76" s="3881"/>
      <c r="G76" s="3881"/>
      <c r="H76" s="393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688</v>
      </c>
      <c r="D78" s="2577">
        <f>'数据-取费表'!B43</f>
        <v>6.000000000000001E-3</v>
      </c>
      <c r="E78" s="3891" t="s">
        <v>1406</v>
      </c>
      <c r="F78" s="3892"/>
      <c r="G78" s="3892"/>
      <c r="H78" s="39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113988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165.68023255813952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68152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933" t="s">
        <v>1410</v>
      </c>
      <c r="B83" s="3934"/>
      <c r="C83" s="3934"/>
      <c r="D83" s="3934"/>
      <c r="E83" s="3934"/>
      <c r="F83" s="3934"/>
      <c r="G83" s="3934"/>
      <c r="H83" s="393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912" t="s">
        <v>1375</v>
      </c>
      <c r="B84" s="391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114676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39664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2782</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2700</v>
      </c>
      <c r="D88" s="2577"/>
      <c r="E88" s="193" t="s">
        <v>1413</v>
      </c>
      <c r="F88" s="2327"/>
      <c r="G88" s="194" t="s">
        <v>1414</v>
      </c>
      <c r="H88" s="1824" t="s">
        <v>3561</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82</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973" t="s">
        <v>2129</v>
      </c>
      <c r="H90" s="397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27200</v>
      </c>
      <c r="D91" s="2577"/>
      <c r="E91" s="3891" t="s">
        <v>1419</v>
      </c>
      <c r="F91" s="3892"/>
      <c r="G91" s="3892"/>
      <c r="H91" s="1825" t="s">
        <v>3562</v>
      </c>
      <c r="I91" s="1826">
        <v>27200</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2998</v>
      </c>
      <c r="D92" s="2583">
        <v>0.1</v>
      </c>
      <c r="E92" s="3891" t="s">
        <v>1422</v>
      </c>
      <c r="F92" s="3892"/>
      <c r="G92" s="3892"/>
      <c r="H92" s="390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688</v>
      </c>
      <c r="D93" s="2577">
        <f>'数据-取费表'!B43</f>
        <v>6.000000000000001E-3</v>
      </c>
      <c r="E93" s="3891" t="s">
        <v>1406</v>
      </c>
      <c r="F93" s="3892"/>
      <c r="G93" s="3892"/>
      <c r="H93" s="39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5996</v>
      </c>
      <c r="D94" s="2577">
        <v>0.2</v>
      </c>
      <c r="E94" s="3902" t="s">
        <v>1426</v>
      </c>
      <c r="F94" s="3903"/>
      <c r="G94" s="3903"/>
      <c r="H94" s="390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75012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1.8911859620814844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31556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875" t="s">
        <v>1428</v>
      </c>
      <c r="B100" s="3876"/>
      <c r="C100" s="3876"/>
      <c r="D100" s="3893"/>
      <c r="E100" s="3876" t="s">
        <v>1429</v>
      </c>
      <c r="F100" s="3876"/>
      <c r="G100" s="3876"/>
      <c r="H100" s="3893"/>
      <c r="I100" s="129"/>
    </row>
    <row r="101" spans="1:35" ht="18.75" customHeight="1">
      <c r="A101" s="3954" t="s">
        <v>1430</v>
      </c>
      <c r="B101" s="3955"/>
      <c r="C101" s="2585" t="str">
        <f>C4</f>
        <v>成本法</v>
      </c>
      <c r="D101" s="2586" t="str">
        <f>D4</f>
        <v>比较法-办公</v>
      </c>
      <c r="E101" s="3968" t="s">
        <v>1431</v>
      </c>
      <c r="F101" s="3925"/>
      <c r="G101" s="1827" t="s">
        <v>1432</v>
      </c>
      <c r="H101" s="2595">
        <f ca="1">H118</f>
        <v>120410</v>
      </c>
      <c r="I101" s="129"/>
    </row>
    <row r="102" spans="1:35" ht="18.75" customHeight="1">
      <c r="A102" s="3927" t="s">
        <v>1433</v>
      </c>
      <c r="B102" s="2584" t="s">
        <v>1432</v>
      </c>
      <c r="C102" s="2585">
        <f ca="1">IF(D32="楼面单价",ROUND(C19,0),C19)</f>
        <v>97938</v>
      </c>
      <c r="D102" s="2586">
        <f ca="1">IF(D32="楼面单价",ROUND(D19,0),D19)</f>
        <v>135391</v>
      </c>
      <c r="E102" s="3968"/>
      <c r="F102" s="3925"/>
      <c r="G102" s="1827" t="s">
        <v>1434</v>
      </c>
      <c r="H102" s="2555">
        <f ca="1">I118</f>
        <v>34037</v>
      </c>
      <c r="I102" s="129"/>
    </row>
    <row r="103" spans="1:35" ht="42.75" customHeight="1">
      <c r="A103" s="3927"/>
      <c r="B103" s="2584" t="s">
        <v>1434</v>
      </c>
      <c r="C103" s="2587">
        <f ca="1">C20</f>
        <v>27685</v>
      </c>
      <c r="D103" s="2588">
        <f ca="1">D20</f>
        <v>38272</v>
      </c>
      <c r="E103" s="3962" t="s">
        <v>1435</v>
      </c>
      <c r="F103" s="3963"/>
      <c r="G103" s="1828" t="s">
        <v>1436</v>
      </c>
      <c r="H103" s="2595">
        <f>IF(D36="正常操作",H104+H105+H106,H105+H106)</f>
        <v>0</v>
      </c>
      <c r="I103" s="129"/>
    </row>
    <row r="104" spans="1:35" ht="18.75" customHeight="1">
      <c r="A104" s="3927" t="s">
        <v>1437</v>
      </c>
      <c r="B104" s="2589" t="s">
        <v>1432</v>
      </c>
      <c r="C104" s="2590">
        <f ca="1">H118</f>
        <v>120410</v>
      </c>
      <c r="D104" s="2591"/>
      <c r="E104" s="1674" t="s">
        <v>1438</v>
      </c>
      <c r="F104" s="1666"/>
      <c r="G104" s="1828" t="s">
        <v>1436</v>
      </c>
      <c r="H104" s="2596">
        <f>IF(D36="同一抵押权人同一抵押物续贷",C36&amp;"（续贷，未扣减，详见特别提示）",C36)</f>
        <v>0</v>
      </c>
      <c r="I104" s="129"/>
    </row>
    <row r="105" spans="1:35" ht="18.75" customHeight="1" thickBot="1">
      <c r="A105" s="3928"/>
      <c r="B105" s="2592" t="s">
        <v>1434</v>
      </c>
      <c r="C105" s="2593">
        <f ca="1">I118</f>
        <v>34037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924" t="str">
        <f>IF(项目基本情况!E8="已注销","——","3.房地产抵押价值")</f>
        <v>3.房地产抵押价值</v>
      </c>
      <c r="F107" s="3925"/>
      <c r="G107" s="1827" t="s">
        <v>1432</v>
      </c>
      <c r="H107" s="2595">
        <f ca="1">IF(E107="——","——",H101-H103)</f>
        <v>120410</v>
      </c>
      <c r="I107" s="129"/>
    </row>
    <row r="108" spans="1:35" ht="18.75" customHeight="1">
      <c r="A108" s="129"/>
      <c r="B108" s="129"/>
      <c r="C108" s="129"/>
      <c r="D108" s="129"/>
      <c r="E108" s="3924"/>
      <c r="F108" s="3925"/>
      <c r="G108" s="1827" t="s">
        <v>1434</v>
      </c>
      <c r="H108" s="2555">
        <f ca="1">IF(H107=H101,H102,ROUND(H107*10000/'数据-汇总表'!E3,0))</f>
        <v>34037</v>
      </c>
      <c r="I108" s="129"/>
    </row>
    <row r="109" spans="1:35" ht="18.75" customHeight="1">
      <c r="A109" s="129"/>
      <c r="B109" s="129"/>
      <c r="C109" s="129"/>
      <c r="D109" s="129"/>
      <c r="E109" s="3924" t="str">
        <f>IF(项目基本情况!E8="已注销及未注销","4.抵押担保权已注销时的房地产抵押价值",IF(项目基本情况!E8="已注销","3.抵押担保权已注销时的房地产抵押价值","——"))</f>
        <v>——</v>
      </c>
      <c r="F109" s="3925"/>
      <c r="G109" s="1827" t="s">
        <v>1432</v>
      </c>
      <c r="H109" s="2598" t="str">
        <f>IF(E109="——","——",H101-H105-H106)</f>
        <v>——</v>
      </c>
      <c r="I109" s="129"/>
    </row>
    <row r="110" spans="1:35" ht="18.75" customHeight="1">
      <c r="A110" s="129"/>
      <c r="B110" s="129"/>
      <c r="C110" s="129"/>
      <c r="D110" s="129"/>
      <c r="E110" s="3924"/>
      <c r="F110" s="3925"/>
      <c r="G110" s="1827" t="s">
        <v>1434</v>
      </c>
      <c r="H110" s="2555" t="str">
        <f>IF(H109="——","——",ROUND(H109*10000/'数据-汇总表'!E3,0))</f>
        <v>——</v>
      </c>
      <c r="I110" s="129"/>
    </row>
    <row r="111" spans="1:35" ht="18.75" customHeight="1">
      <c r="A111" s="129"/>
      <c r="B111" s="129"/>
      <c r="C111" s="129"/>
      <c r="D111" s="129"/>
      <c r="E111" s="3956" t="str">
        <f>IF(项目基本情况!E9="抵押净值",IF(OR(项目基本情况!E8="已注销",项目基本情况!E8="房地产抵押价值"),"4.抵押净值","5.抵押净值"),"——")</f>
        <v>4.抵押净值</v>
      </c>
      <c r="F111" s="3926"/>
      <c r="G111" s="1827" t="s">
        <v>1432</v>
      </c>
      <c r="H111" s="2595">
        <f ca="1">IF(E111="——","——",N59)</f>
        <v>82372</v>
      </c>
      <c r="I111" s="129"/>
    </row>
    <row r="112" spans="1:35" ht="18.75" customHeight="1" thickBot="1">
      <c r="A112" s="129"/>
      <c r="B112" s="129"/>
      <c r="C112" s="129"/>
      <c r="D112" s="129"/>
      <c r="E112" s="3957"/>
      <c r="F112" s="3958"/>
      <c r="G112" s="1830" t="s">
        <v>1434</v>
      </c>
      <c r="H112" s="2599">
        <f ca="1">IF(E111="——","——",N61)</f>
        <v>23285</v>
      </c>
      <c r="I112" s="129"/>
    </row>
    <row r="113" spans="1:27" ht="18.75" customHeight="1">
      <c r="A113" s="129"/>
      <c r="B113" s="129"/>
      <c r="C113" s="129"/>
      <c r="D113" s="129"/>
      <c r="E113" s="3929" t="s">
        <v>1440</v>
      </c>
      <c r="F113" s="3929"/>
      <c r="G113" s="3929"/>
      <c r="H113" s="3929"/>
      <c r="I113" s="129"/>
    </row>
    <row r="114" spans="1:27" ht="3.75" customHeight="1">
      <c r="A114" s="1747"/>
      <c r="B114" s="1747"/>
      <c r="C114" s="1747"/>
      <c r="D114" s="1747"/>
      <c r="E114" s="1809"/>
      <c r="F114" s="1809"/>
      <c r="G114" s="1809"/>
      <c r="H114" s="1809"/>
      <c r="I114" s="1747"/>
    </row>
    <row r="115" spans="1:27" ht="18.75" customHeight="1">
      <c r="A115" s="3939" t="s">
        <v>1442</v>
      </c>
      <c r="B115" s="3940"/>
      <c r="C115" s="3940"/>
      <c r="D115" s="3940"/>
      <c r="E115" s="3940"/>
      <c r="F115" s="3940"/>
      <c r="G115" s="3940"/>
      <c r="H115" s="3940"/>
      <c r="I115" s="3941"/>
    </row>
    <row r="116" spans="1:27" ht="27" customHeight="1">
      <c r="A116" s="3895" t="s">
        <v>1443</v>
      </c>
      <c r="B116" s="3930" t="s">
        <v>1444</v>
      </c>
      <c r="C116" s="3930" t="s">
        <v>1445</v>
      </c>
      <c r="D116" s="3943" t="s">
        <v>1446</v>
      </c>
      <c r="E116" s="3944"/>
      <c r="F116" s="3938" t="s">
        <v>1447</v>
      </c>
      <c r="G116" s="3938"/>
      <c r="H116" s="3895" t="s">
        <v>1448</v>
      </c>
      <c r="I116" s="3895"/>
    </row>
    <row r="117" spans="1:27" ht="18.75" customHeight="1">
      <c r="A117" s="3895"/>
      <c r="B117" s="3931"/>
      <c r="C117" s="393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35375.960000000006</v>
      </c>
      <c r="C118" s="2329">
        <f>M19</f>
        <v>6534.54</v>
      </c>
      <c r="D118" s="2329">
        <f ca="1">ROUND(IF(D32="总价",C34,E118*B118/10000),0)</f>
        <v>79832</v>
      </c>
      <c r="E118" s="2329">
        <f ca="1">ROUND(IF(C33="自定义",IF(D32="楼面单价",C34,D118*10000/B118),I118-G118),0)</f>
        <v>22566</v>
      </c>
      <c r="F118" s="2329">
        <f ca="1">ROUND(IF(D32="总价",C35,G118*B118/10000),0)</f>
        <v>40578</v>
      </c>
      <c r="G118" s="2329">
        <f ca="1">ROUND(IF(D32="楼面单价",C35,F118*10000/B118),0)</f>
        <v>11471</v>
      </c>
      <c r="H118" s="2329">
        <f ca="1">ROUND(IF(D32="总价",C32,I118*B118/10000),0)</f>
        <v>120410</v>
      </c>
      <c r="I118" s="2329">
        <f ca="1">ROUND(IF(D32="楼面单价",C32,H118*10000/B118),0)</f>
        <v>34037</v>
      </c>
    </row>
    <row r="119" spans="1:27" ht="18.75" customHeight="1">
      <c r="A119" s="3895" t="s">
        <v>1452</v>
      </c>
      <c r="B119" s="3895"/>
      <c r="C119" s="3895"/>
      <c r="D119" s="3935" t="str">
        <f ca="1">NUMBERSTRING(INT(D118*10000),2)&amp;"元整"</f>
        <v>柒亿玖仟捌佰叁拾贰万元整</v>
      </c>
      <c r="E119" s="3937"/>
      <c r="F119" s="3935" t="str">
        <f ca="1">NUMBERSTRING(INT(F118*10000),2)&amp;"元整"</f>
        <v>肆亿零伍佰柒拾捌万元整</v>
      </c>
      <c r="G119" s="3937"/>
      <c r="H119" s="3935" t="str">
        <f ca="1">NUMBERSTRING(INT(H118*10000),2)&amp;"元整"</f>
        <v>壹拾贰亿零肆佰壹拾万元整</v>
      </c>
      <c r="I119" s="3937"/>
    </row>
    <row r="120" spans="1:27" ht="18.75" customHeight="1">
      <c r="A120" s="3959" t="str">
        <f>IF(项目基本情况!B9="房地产市场价值","",MID(E103,3,LEN(E103)-2))</f>
        <v>估价师知悉的法定优先受偿款</v>
      </c>
      <c r="B120" s="3960"/>
      <c r="C120" s="3961"/>
      <c r="D120" s="3959">
        <f>H103</f>
        <v>0</v>
      </c>
      <c r="E120" s="3960"/>
      <c r="F120" s="3960"/>
      <c r="G120" s="3960"/>
      <c r="H120" s="3960"/>
      <c r="I120" s="39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935" t="s">
        <v>1452</v>
      </c>
      <c r="B121" s="3936"/>
      <c r="C121" s="3937"/>
      <c r="D121" s="3935" t="str">
        <f>IF(D120=0,"零元整",NUMBERSTRING(INT(D120*10000),2)&amp;"元整")</f>
        <v>零元整</v>
      </c>
      <c r="E121" s="3936"/>
      <c r="F121" s="3936"/>
      <c r="G121" s="3936"/>
      <c r="H121" s="3936"/>
      <c r="I121" s="3937"/>
      <c r="AA121" s="725"/>
    </row>
    <row r="122" spans="1:27" ht="18.75" customHeight="1">
      <c r="A122" s="3926" t="str">
        <f>IF(项目基本情况!B9="房地产市场价值","",MID(E107,3,LEN(E107)-2))</f>
        <v>房地产抵押价值</v>
      </c>
      <c r="B122" s="3926"/>
      <c r="C122" s="3926"/>
      <c r="D122" s="3959">
        <f ca="1">H107</f>
        <v>120410</v>
      </c>
      <c r="E122" s="3960"/>
      <c r="F122" s="3960"/>
      <c r="G122" s="3960"/>
      <c r="H122" s="3960"/>
      <c r="I122" s="3961"/>
      <c r="AA122" s="725"/>
    </row>
    <row r="123" spans="1:27" ht="18.75" customHeight="1">
      <c r="A123" s="3895" t="s">
        <v>1452</v>
      </c>
      <c r="B123" s="3895"/>
      <c r="C123" s="3895"/>
      <c r="D123" s="3935" t="str">
        <f ca="1">NUMBERSTRING(INT(D122*10000),2)&amp;"元整"</f>
        <v>壹拾贰亿零肆佰壹拾万元整</v>
      </c>
      <c r="E123" s="3936"/>
      <c r="F123" s="3936"/>
      <c r="G123" s="3936"/>
      <c r="H123" s="3936"/>
      <c r="I123" s="3937"/>
      <c r="AA123" s="725"/>
    </row>
    <row r="124" spans="1:27" ht="18.75" customHeight="1">
      <c r="A124" s="3926" t="str">
        <f>IF(项目基本情况!B9="房地产市场价值","",MID(E109,3,LEN(E109)-2))</f>
        <v/>
      </c>
      <c r="B124" s="3926"/>
      <c r="C124" s="3926"/>
      <c r="D124" s="3959" t="str">
        <f>H109</f>
        <v>——</v>
      </c>
      <c r="E124" s="3960"/>
      <c r="F124" s="3960"/>
      <c r="G124" s="3960"/>
      <c r="H124" s="3960"/>
      <c r="I124" s="3961"/>
      <c r="AA124" s="725"/>
    </row>
    <row r="125" spans="1:27" ht="18.75" customHeight="1">
      <c r="A125" s="3895" t="s">
        <v>1452</v>
      </c>
      <c r="B125" s="3895"/>
      <c r="C125" s="3895"/>
      <c r="D125" s="3935" t="e">
        <f>NUMBERSTRING(INT(D124*10000),2)&amp;"元整"</f>
        <v>#VALUE!</v>
      </c>
      <c r="E125" s="3936"/>
      <c r="F125" s="3936"/>
      <c r="G125" s="3936"/>
      <c r="H125" s="3936"/>
      <c r="I125" s="3937"/>
      <c r="AA125" s="725"/>
    </row>
    <row r="126" spans="1:27" ht="18.75" customHeight="1">
      <c r="A126" s="3926" t="str">
        <f>IF(项目基本情况!B9="房地产市场价值","",MID(E111,3,LEN(E111)-2))</f>
        <v>抵押净值</v>
      </c>
      <c r="B126" s="3926"/>
      <c r="C126" s="3926"/>
      <c r="D126" s="3959">
        <f ca="1">H111</f>
        <v>82372</v>
      </c>
      <c r="E126" s="3960"/>
      <c r="F126" s="3960"/>
      <c r="G126" s="3960"/>
      <c r="H126" s="3960"/>
      <c r="I126" s="3961"/>
      <c r="AA126" s="725"/>
    </row>
    <row r="127" spans="1:27" ht="18.75" customHeight="1">
      <c r="A127" s="3895" t="s">
        <v>1452</v>
      </c>
      <c r="B127" s="3895"/>
      <c r="C127" s="3895"/>
      <c r="D127" s="3935" t="str">
        <f ca="1">NUMBERSTRING(INT(D126*10000),2)&amp;"元整"</f>
        <v>捌亿贰仟叁佰柒拾贰万元整</v>
      </c>
      <c r="E127" s="3936"/>
      <c r="F127" s="3936"/>
      <c r="G127" s="3936"/>
      <c r="H127" s="3936"/>
      <c r="I127" s="3937"/>
      <c r="AA127" s="725"/>
    </row>
    <row r="128" spans="1:27" ht="21.75" customHeight="1">
      <c r="A128" s="3942" t="s">
        <v>1453</v>
      </c>
      <c r="B128" s="3942"/>
      <c r="C128" s="3942"/>
      <c r="D128" s="3942"/>
      <c r="E128" s="3942"/>
      <c r="F128" s="3942"/>
      <c r="G128" s="3942"/>
      <c r="H128" s="3942"/>
      <c r="I128" s="394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792" t="str">
        <f>项目基本情况!B1</f>
        <v>北京市房地产抵押价值预评估</v>
      </c>
      <c r="C37" s="3792"/>
      <c r="D37" s="3792"/>
      <c r="E37" s="3792"/>
      <c r="F37" s="3792"/>
      <c r="G37" s="3792"/>
      <c r="H37" s="3792"/>
      <c r="I37" s="379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S132"/>
  <sheetViews>
    <sheetView view="pageBreakPreview" zoomScale="85" zoomScaleNormal="70" zoomScaleSheetLayoutView="85" workbookViewId="0">
      <selection activeCell="E4" sqref="E4:F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3385</v>
      </c>
      <c r="E1" s="3433" t="s">
        <v>3553</v>
      </c>
      <c r="F1" s="1879" t="s">
        <v>3552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135391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38272</v>
      </c>
      <c r="C3" s="354" t="s">
        <v>1768</v>
      </c>
      <c r="D3" s="353">
        <f>IF(D1="",'数据-汇总表'!E3,SUMIF('数据-汇总表'!$C19:$C33,D1,'数据-汇总表'!$E19:$E33))</f>
        <v>35375.960000000006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993" t="s">
        <v>1770</v>
      </c>
      <c r="D4" s="3994"/>
      <c r="E4" s="3995" t="s">
        <v>1771</v>
      </c>
      <c r="F4" s="3996"/>
      <c r="G4" s="3993" t="s">
        <v>1772</v>
      </c>
      <c r="H4" s="3994"/>
      <c r="I4" s="3993" t="s">
        <v>1773</v>
      </c>
      <c r="J4" s="3994"/>
      <c r="K4" s="559" t="s">
        <v>1774</v>
      </c>
      <c r="L4" s="2715"/>
      <c r="M4" s="2716"/>
      <c r="N4" s="2716"/>
      <c r="O4" s="2716"/>
      <c r="P4" s="3997" t="s">
        <v>1775</v>
      </c>
      <c r="Q4" s="3998"/>
      <c r="R4" s="4003" t="s">
        <v>1771</v>
      </c>
      <c r="S4" s="4004"/>
      <c r="T4" s="4003" t="s">
        <v>1772</v>
      </c>
      <c r="U4" s="4004"/>
      <c r="V4" s="4009" t="s">
        <v>1773</v>
      </c>
      <c r="W4" s="4009"/>
      <c r="X4" s="1958"/>
      <c r="Y4" s="4003" t="s">
        <v>1775</v>
      </c>
      <c r="Z4" s="4004"/>
      <c r="AA4" s="4021" t="s">
        <v>1771</v>
      </c>
      <c r="AB4" s="4021" t="s">
        <v>1772</v>
      </c>
      <c r="AC4" s="3990" t="s">
        <v>1773</v>
      </c>
    </row>
    <row r="5" spans="1:29" ht="15">
      <c r="A5" s="358"/>
      <c r="B5" s="359"/>
      <c r="C5" s="4013" t="s">
        <v>1673</v>
      </c>
      <c r="D5" s="4014"/>
      <c r="E5" s="4024" t="s">
        <v>1674</v>
      </c>
      <c r="F5" s="4025"/>
      <c r="G5" s="4013" t="s">
        <v>1675</v>
      </c>
      <c r="H5" s="4014"/>
      <c r="I5" s="4013" t="s">
        <v>1676</v>
      </c>
      <c r="J5" s="4014"/>
      <c r="K5" s="559"/>
      <c r="L5" s="2715"/>
      <c r="M5" s="2716"/>
      <c r="N5" s="2716"/>
      <c r="O5" s="2716"/>
      <c r="P5" s="3999"/>
      <c r="Q5" s="4000"/>
      <c r="R5" s="4005"/>
      <c r="S5" s="4006"/>
      <c r="T5" s="4005"/>
      <c r="U5" s="4006"/>
      <c r="V5" s="4010"/>
      <c r="W5" s="4010"/>
      <c r="X5" s="1355"/>
      <c r="Y5" s="4005"/>
      <c r="Z5" s="4006"/>
      <c r="AA5" s="4022"/>
      <c r="AB5" s="4022"/>
      <c r="AC5" s="3991"/>
    </row>
    <row r="6" spans="1:29" ht="15.75" thickBot="1">
      <c r="A6" s="360"/>
      <c r="B6" s="361"/>
      <c r="C6" s="4011" t="s">
        <v>1677</v>
      </c>
      <c r="D6" s="4012"/>
      <c r="E6" s="4019" t="s">
        <v>1677</v>
      </c>
      <c r="F6" s="4020"/>
      <c r="G6" s="4011" t="s">
        <v>1677</v>
      </c>
      <c r="H6" s="4012"/>
      <c r="I6" s="4011" t="s">
        <v>1677</v>
      </c>
      <c r="J6" s="4012"/>
      <c r="K6" s="559" t="s">
        <v>1678</v>
      </c>
      <c r="L6" s="2715"/>
      <c r="M6" s="2716"/>
      <c r="N6" s="2716"/>
      <c r="O6" s="2716"/>
      <c r="P6" s="4001"/>
      <c r="Q6" s="4002"/>
      <c r="R6" s="4005"/>
      <c r="S6" s="4006"/>
      <c r="T6" s="4007"/>
      <c r="U6" s="4008"/>
      <c r="V6" s="4010"/>
      <c r="W6" s="4010"/>
      <c r="X6" s="1355"/>
      <c r="Y6" s="4007"/>
      <c r="Z6" s="4008"/>
      <c r="AA6" s="4023"/>
      <c r="AB6" s="4023"/>
      <c r="AC6" s="3992"/>
    </row>
    <row r="7" spans="1:29" s="108" customFormat="1" ht="15.75" thickBot="1">
      <c r="A7" s="362" t="s">
        <v>1679</v>
      </c>
      <c r="B7" s="363"/>
      <c r="C7" s="364">
        <f>'数据-取费表'!B2</f>
        <v>45530</v>
      </c>
      <c r="D7" s="365">
        <v>100</v>
      </c>
      <c r="E7" s="366">
        <f>'比较法-商业 (2)'!E7</f>
        <v>44652</v>
      </c>
      <c r="F7" s="367">
        <f>SUMIF(59:59,YEAR(E7)&amp;"-"&amp;MONTH(E7),60:60)</f>
        <v>98</v>
      </c>
      <c r="G7" s="366">
        <f>'比较法-商业 (2)'!G7</f>
        <v>44713</v>
      </c>
      <c r="H7" s="365">
        <f>SUMIF(59:59,YEAR(G7)&amp;"-"&amp;MONTH(G7),60:60)</f>
        <v>98</v>
      </c>
      <c r="I7" s="366">
        <f>'比较法-商业 (2)'!I7</f>
        <v>44287</v>
      </c>
      <c r="J7" s="365">
        <f>SUMIF(59:59,YEAR(I7)&amp;"-"&amp;MONTH(I7),60:60)</f>
        <v>98</v>
      </c>
      <c r="K7" s="560"/>
      <c r="L7" s="2717"/>
      <c r="M7" s="2718"/>
      <c r="N7" s="2718"/>
      <c r="O7" s="2718"/>
      <c r="P7" s="4015" t="s">
        <v>1680</v>
      </c>
      <c r="Q7" s="4018"/>
      <c r="R7" s="701" t="s">
        <v>14</v>
      </c>
      <c r="S7" s="702">
        <f t="shared" ref="S7:S15" si="0">F7</f>
        <v>98</v>
      </c>
      <c r="T7" s="701" t="s">
        <v>14</v>
      </c>
      <c r="U7" s="702">
        <f t="shared" ref="U7:U15" si="1">H7</f>
        <v>98</v>
      </c>
      <c r="V7" s="701" t="s">
        <v>14</v>
      </c>
      <c r="W7" s="702">
        <f t="shared" ref="W7:W15" si="2">J7</f>
        <v>98</v>
      </c>
      <c r="X7" s="703"/>
      <c r="Y7" s="4017" t="s">
        <v>1680</v>
      </c>
      <c r="Z7" s="4016"/>
      <c r="AA7" s="704">
        <f>D7/F7</f>
        <v>1.0204081632653061</v>
      </c>
      <c r="AB7" s="704">
        <f>D7/H7</f>
        <v>1.0204081632653061</v>
      </c>
      <c r="AC7" s="1959">
        <f>D7/J7</f>
        <v>1.0204081632653061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4015" t="s">
        <v>1683</v>
      </c>
      <c r="Q8" s="4016"/>
      <c r="R8" s="701" t="s">
        <v>14</v>
      </c>
      <c r="S8" s="702">
        <f t="shared" si="0"/>
        <v>100</v>
      </c>
      <c r="T8" s="701" t="s">
        <v>14</v>
      </c>
      <c r="U8" s="702">
        <f t="shared" si="1"/>
        <v>100</v>
      </c>
      <c r="V8" s="701" t="s">
        <v>14</v>
      </c>
      <c r="W8" s="702">
        <f t="shared" si="2"/>
        <v>100</v>
      </c>
      <c r="X8" s="703"/>
      <c r="Y8" s="4017" t="s">
        <v>1683</v>
      </c>
      <c r="Z8" s="401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975" t="s">
        <v>1686</v>
      </c>
      <c r="Q9" s="1343" t="str">
        <f t="shared" ref="Q9:Q15" si="6">B9</f>
        <v>用途</v>
      </c>
      <c r="R9" s="701" t="s">
        <v>14</v>
      </c>
      <c r="S9" s="702">
        <f t="shared" si="0"/>
        <v>100</v>
      </c>
      <c r="T9" s="701" t="s">
        <v>14</v>
      </c>
      <c r="U9" s="702">
        <f t="shared" si="1"/>
        <v>100</v>
      </c>
      <c r="V9" s="701" t="s">
        <v>14</v>
      </c>
      <c r="W9" s="702">
        <f t="shared" si="2"/>
        <v>100</v>
      </c>
      <c r="X9" s="703"/>
      <c r="Y9" s="388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975"/>
      <c r="Q10" s="1343" t="str">
        <f t="shared" si="6"/>
        <v>土地使用年限（年）</v>
      </c>
      <c r="R10" s="701" t="s">
        <v>14</v>
      </c>
      <c r="S10" s="702">
        <f t="shared" si="0"/>
        <v>100</v>
      </c>
      <c r="T10" s="701" t="s">
        <v>14</v>
      </c>
      <c r="U10" s="702">
        <f t="shared" si="1"/>
        <v>100</v>
      </c>
      <c r="V10" s="701" t="s">
        <v>14</v>
      </c>
      <c r="W10" s="702">
        <f t="shared" si="2"/>
        <v>100</v>
      </c>
      <c r="X10" s="703"/>
      <c r="Y10" s="388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975"/>
      <c r="Q11" s="1343" t="str">
        <f t="shared" si="6"/>
        <v>容积率</v>
      </c>
      <c r="R11" s="701" t="s">
        <v>14</v>
      </c>
      <c r="S11" s="702">
        <f t="shared" si="0"/>
        <v>100</v>
      </c>
      <c r="T11" s="701" t="s">
        <v>14</v>
      </c>
      <c r="U11" s="702">
        <f t="shared" si="1"/>
        <v>100</v>
      </c>
      <c r="V11" s="701" t="s">
        <v>14</v>
      </c>
      <c r="W11" s="702">
        <f t="shared" si="2"/>
        <v>100</v>
      </c>
      <c r="X11" s="703"/>
      <c r="Y11" s="388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975"/>
      <c r="Q12" s="1343">
        <f t="shared" si="6"/>
        <v>111</v>
      </c>
      <c r="R12" s="701" t="s">
        <v>14</v>
      </c>
      <c r="S12" s="702">
        <f t="shared" si="0"/>
        <v>100</v>
      </c>
      <c r="T12" s="701" t="s">
        <v>14</v>
      </c>
      <c r="U12" s="702">
        <f t="shared" si="1"/>
        <v>100</v>
      </c>
      <c r="V12" s="701" t="s">
        <v>14</v>
      </c>
      <c r="W12" s="702">
        <f t="shared" si="2"/>
        <v>100</v>
      </c>
      <c r="X12" s="703"/>
      <c r="Y12" s="388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975"/>
      <c r="Q13" s="1343">
        <f t="shared" si="6"/>
        <v>111</v>
      </c>
      <c r="R13" s="701" t="s">
        <v>14</v>
      </c>
      <c r="S13" s="702">
        <f t="shared" si="0"/>
        <v>100</v>
      </c>
      <c r="T13" s="701" t="s">
        <v>14</v>
      </c>
      <c r="U13" s="702">
        <f t="shared" si="1"/>
        <v>100</v>
      </c>
      <c r="V13" s="701" t="s">
        <v>14</v>
      </c>
      <c r="W13" s="702">
        <f t="shared" si="2"/>
        <v>100</v>
      </c>
      <c r="X13" s="703"/>
      <c r="Y13" s="388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975"/>
      <c r="Q14" s="1343">
        <f t="shared" si="6"/>
        <v>111</v>
      </c>
      <c r="R14" s="701" t="s">
        <v>14</v>
      </c>
      <c r="S14" s="702">
        <f t="shared" si="0"/>
        <v>100</v>
      </c>
      <c r="T14" s="701" t="s">
        <v>14</v>
      </c>
      <c r="U14" s="702">
        <f t="shared" si="1"/>
        <v>100</v>
      </c>
      <c r="V14" s="701" t="s">
        <v>14</v>
      </c>
      <c r="W14" s="702">
        <f t="shared" si="2"/>
        <v>100</v>
      </c>
      <c r="X14" s="703"/>
      <c r="Y14" s="388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981" t="s">
        <v>1691</v>
      </c>
      <c r="Q15" s="1352" t="str">
        <f t="shared" si="6"/>
        <v>办公集聚程度</v>
      </c>
      <c r="R15" s="705" t="s">
        <v>14</v>
      </c>
      <c r="S15" s="706">
        <f t="shared" si="0"/>
        <v>100</v>
      </c>
      <c r="T15" s="705" t="s">
        <v>14</v>
      </c>
      <c r="U15" s="706">
        <f t="shared" si="1"/>
        <v>100</v>
      </c>
      <c r="V15" s="705" t="s">
        <v>14</v>
      </c>
      <c r="W15" s="706">
        <f t="shared" si="2"/>
        <v>100</v>
      </c>
      <c r="X15" s="1355"/>
      <c r="Y15" s="398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982"/>
      <c r="Q16" s="1352"/>
      <c r="R16" s="705"/>
      <c r="S16" s="706"/>
      <c r="T16" s="705"/>
      <c r="U16" s="706"/>
      <c r="V16" s="705"/>
      <c r="W16" s="706"/>
      <c r="X16" s="1355"/>
      <c r="Y16" s="398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982"/>
      <c r="Q17" s="1352" t="str">
        <f>B17</f>
        <v>交通便捷度</v>
      </c>
      <c r="R17" s="705" t="s">
        <v>14</v>
      </c>
      <c r="S17" s="706">
        <f>F17</f>
        <v>100</v>
      </c>
      <c r="T17" s="705" t="s">
        <v>14</v>
      </c>
      <c r="U17" s="706">
        <f>H17</f>
        <v>100</v>
      </c>
      <c r="V17" s="705" t="s">
        <v>14</v>
      </c>
      <c r="W17" s="706">
        <f>J17</f>
        <v>100</v>
      </c>
      <c r="X17" s="1355"/>
      <c r="Y17" s="398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982"/>
      <c r="Q18" s="1352"/>
      <c r="R18" s="705"/>
      <c r="S18" s="706"/>
      <c r="T18" s="705"/>
      <c r="U18" s="706"/>
      <c r="V18" s="705"/>
      <c r="W18" s="706"/>
      <c r="X18" s="1355"/>
      <c r="Y18" s="398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982"/>
      <c r="Q19" s="1352" t="str">
        <f>B19</f>
        <v>公共配套设施</v>
      </c>
      <c r="R19" s="705" t="s">
        <v>14</v>
      </c>
      <c r="S19" s="706">
        <f>F19</f>
        <v>100</v>
      </c>
      <c r="T19" s="705" t="s">
        <v>14</v>
      </c>
      <c r="U19" s="706">
        <f>H19</f>
        <v>100</v>
      </c>
      <c r="V19" s="705" t="s">
        <v>14</v>
      </c>
      <c r="W19" s="706">
        <f>J19</f>
        <v>100</v>
      </c>
      <c r="X19" s="1355"/>
      <c r="Y19" s="398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982"/>
      <c r="Q20" s="1352"/>
      <c r="R20" s="705"/>
      <c r="S20" s="706"/>
      <c r="T20" s="705"/>
      <c r="U20" s="706"/>
      <c r="V20" s="705"/>
      <c r="W20" s="706"/>
      <c r="X20" s="1355"/>
      <c r="Y20" s="398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982"/>
      <c r="Q21" s="1352" t="str">
        <f>B21</f>
        <v>基础设施水平</v>
      </c>
      <c r="R21" s="705" t="s">
        <v>14</v>
      </c>
      <c r="S21" s="706">
        <f>F21</f>
        <v>100</v>
      </c>
      <c r="T21" s="705" t="s">
        <v>14</v>
      </c>
      <c r="U21" s="706">
        <f>H21</f>
        <v>100</v>
      </c>
      <c r="V21" s="705" t="s">
        <v>14</v>
      </c>
      <c r="W21" s="706">
        <f>J21</f>
        <v>100</v>
      </c>
      <c r="X21" s="1355"/>
      <c r="Y21" s="398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982"/>
      <c r="Q22" s="1352"/>
      <c r="R22" s="705"/>
      <c r="S22" s="706"/>
      <c r="T22" s="705"/>
      <c r="U22" s="706"/>
      <c r="V22" s="705"/>
      <c r="W22" s="706"/>
      <c r="X22" s="1355"/>
      <c r="Y22" s="398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982"/>
      <c r="Q23" s="1352" t="str">
        <f>B23</f>
        <v>环境质量</v>
      </c>
      <c r="R23" s="705" t="s">
        <v>14</v>
      </c>
      <c r="S23" s="706">
        <f>F23</f>
        <v>100</v>
      </c>
      <c r="T23" s="705" t="s">
        <v>14</v>
      </c>
      <c r="U23" s="706">
        <f>H23</f>
        <v>100</v>
      </c>
      <c r="V23" s="705" t="s">
        <v>14</v>
      </c>
      <c r="W23" s="706">
        <f>J23</f>
        <v>100</v>
      </c>
      <c r="X23" s="1355"/>
      <c r="Y23" s="398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982"/>
      <c r="Q24" s="1352"/>
      <c r="R24" s="705"/>
      <c r="S24" s="706"/>
      <c r="T24" s="705"/>
      <c r="U24" s="706"/>
      <c r="V24" s="705"/>
      <c r="W24" s="706"/>
      <c r="X24" s="1355"/>
      <c r="Y24" s="398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982"/>
      <c r="Q25" s="1352" t="str">
        <f>B25</f>
        <v>毗邻道路的类型与等级</v>
      </c>
      <c r="R25" s="705" t="s">
        <v>14</v>
      </c>
      <c r="S25" s="706">
        <f>F25</f>
        <v>100</v>
      </c>
      <c r="T25" s="705" t="s">
        <v>14</v>
      </c>
      <c r="U25" s="706">
        <f>H25</f>
        <v>100</v>
      </c>
      <c r="V25" s="705" t="s">
        <v>14</v>
      </c>
      <c r="W25" s="706">
        <f>J25</f>
        <v>100</v>
      </c>
      <c r="X25" s="1355"/>
      <c r="Y25" s="398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982"/>
      <c r="Q26" s="1352"/>
      <c r="R26" s="705"/>
      <c r="S26" s="706"/>
      <c r="T26" s="705"/>
      <c r="U26" s="706"/>
      <c r="V26" s="705"/>
      <c r="W26" s="706"/>
      <c r="X26" s="1355"/>
      <c r="Y26" s="398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982"/>
      <c r="Q27" s="1352" t="str">
        <f t="shared" ref="Q27:Q47" si="11">B27</f>
        <v>楼层</v>
      </c>
      <c r="R27" s="705" t="s">
        <v>14</v>
      </c>
      <c r="S27" s="706">
        <f>F27</f>
        <v>100</v>
      </c>
      <c r="T27" s="705" t="s">
        <v>14</v>
      </c>
      <c r="U27" s="706">
        <f>H27</f>
        <v>100</v>
      </c>
      <c r="V27" s="705" t="s">
        <v>14</v>
      </c>
      <c r="W27" s="706">
        <f>J27</f>
        <v>100</v>
      </c>
      <c r="X27" s="1355"/>
      <c r="Y27" s="398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982"/>
      <c r="Q28" s="1343" t="str">
        <f t="shared" si="11"/>
        <v>朝向</v>
      </c>
      <c r="R28" s="701" t="s">
        <v>14</v>
      </c>
      <c r="S28" s="702">
        <f>F28</f>
        <v>100</v>
      </c>
      <c r="T28" s="701" t="s">
        <v>14</v>
      </c>
      <c r="U28" s="702">
        <f>H28</f>
        <v>100</v>
      </c>
      <c r="V28" s="701" t="s">
        <v>14</v>
      </c>
      <c r="W28" s="702">
        <f>J28</f>
        <v>100</v>
      </c>
      <c r="X28" s="703"/>
      <c r="Y28" s="398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982"/>
      <c r="Q29" s="1352">
        <f t="shared" si="11"/>
        <v>111</v>
      </c>
      <c r="R29" s="705" t="s">
        <v>14</v>
      </c>
      <c r="S29" s="706">
        <f t="shared" ref="S29:S47" si="12">F29</f>
        <v>100</v>
      </c>
      <c r="T29" s="705" t="s">
        <v>14</v>
      </c>
      <c r="U29" s="706">
        <f t="shared" ref="U29:U47" si="13">H29</f>
        <v>100</v>
      </c>
      <c r="V29" s="705" t="s">
        <v>14</v>
      </c>
      <c r="W29" s="706">
        <f t="shared" ref="W29:W47" si="14">J29</f>
        <v>100</v>
      </c>
      <c r="X29" s="1355"/>
      <c r="Y29" s="398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982"/>
      <c r="Q30" s="1352">
        <f t="shared" si="11"/>
        <v>111</v>
      </c>
      <c r="R30" s="705" t="s">
        <v>14</v>
      </c>
      <c r="S30" s="706">
        <f t="shared" si="12"/>
        <v>100</v>
      </c>
      <c r="T30" s="705" t="s">
        <v>14</v>
      </c>
      <c r="U30" s="706">
        <f t="shared" si="13"/>
        <v>100</v>
      </c>
      <c r="V30" s="705" t="s">
        <v>14</v>
      </c>
      <c r="W30" s="706">
        <f t="shared" si="14"/>
        <v>100</v>
      </c>
      <c r="X30" s="1355"/>
      <c r="Y30" s="398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982"/>
      <c r="Q31" s="1352">
        <f t="shared" si="11"/>
        <v>111</v>
      </c>
      <c r="R31" s="705" t="s">
        <v>14</v>
      </c>
      <c r="S31" s="706">
        <f t="shared" si="12"/>
        <v>100</v>
      </c>
      <c r="T31" s="705" t="s">
        <v>14</v>
      </c>
      <c r="U31" s="706">
        <f t="shared" si="13"/>
        <v>100</v>
      </c>
      <c r="V31" s="705" t="s">
        <v>14</v>
      </c>
      <c r="W31" s="706">
        <f t="shared" si="14"/>
        <v>100</v>
      </c>
      <c r="X31" s="1355"/>
      <c r="Y31" s="398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982"/>
      <c r="Q32" s="1352">
        <f t="shared" si="11"/>
        <v>111</v>
      </c>
      <c r="R32" s="705" t="s">
        <v>14</v>
      </c>
      <c r="S32" s="706">
        <f t="shared" si="12"/>
        <v>100</v>
      </c>
      <c r="T32" s="705" t="s">
        <v>14</v>
      </c>
      <c r="U32" s="706">
        <f t="shared" si="13"/>
        <v>100</v>
      </c>
      <c r="V32" s="705" t="s">
        <v>14</v>
      </c>
      <c r="W32" s="706">
        <f t="shared" si="14"/>
        <v>100</v>
      </c>
      <c r="X32" s="1355"/>
      <c r="Y32" s="398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985" t="s">
        <v>1696</v>
      </c>
      <c r="Q33" s="1352" t="str">
        <f t="shared" si="11"/>
        <v>建筑类型</v>
      </c>
      <c r="R33" s="705" t="s">
        <v>14</v>
      </c>
      <c r="S33" s="706">
        <f t="shared" si="12"/>
        <v>100</v>
      </c>
      <c r="T33" s="705" t="s">
        <v>14</v>
      </c>
      <c r="U33" s="706">
        <f t="shared" si="13"/>
        <v>100</v>
      </c>
      <c r="V33" s="705" t="s">
        <v>14</v>
      </c>
      <c r="W33" s="706">
        <f t="shared" si="14"/>
        <v>100</v>
      </c>
      <c r="X33" s="1355"/>
      <c r="Y33" s="398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986"/>
      <c r="Q34" s="707" t="str">
        <f t="shared" si="11"/>
        <v>项目建筑规模</v>
      </c>
      <c r="R34" s="708" t="s">
        <v>14</v>
      </c>
      <c r="S34" s="709">
        <f t="shared" si="12"/>
        <v>100</v>
      </c>
      <c r="T34" s="708" t="s">
        <v>14</v>
      </c>
      <c r="U34" s="709">
        <f t="shared" si="13"/>
        <v>100</v>
      </c>
      <c r="V34" s="708" t="s">
        <v>14</v>
      </c>
      <c r="W34" s="709">
        <f t="shared" si="14"/>
        <v>100</v>
      </c>
      <c r="X34" s="710"/>
      <c r="Y34" s="3988"/>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986"/>
      <c r="Q35" s="1352" t="str">
        <f t="shared" si="11"/>
        <v>建筑结构</v>
      </c>
      <c r="R35" s="705" t="s">
        <v>14</v>
      </c>
      <c r="S35" s="706">
        <f t="shared" si="12"/>
        <v>100</v>
      </c>
      <c r="T35" s="705" t="s">
        <v>14</v>
      </c>
      <c r="U35" s="706">
        <f t="shared" si="13"/>
        <v>100</v>
      </c>
      <c r="V35" s="705" t="s">
        <v>14</v>
      </c>
      <c r="W35" s="706">
        <f t="shared" si="14"/>
        <v>100</v>
      </c>
      <c r="X35" s="1355"/>
      <c r="Y35" s="398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986"/>
      <c r="Q36" s="1352" t="str">
        <f t="shared" si="11"/>
        <v>公共部分装修</v>
      </c>
      <c r="R36" s="705" t="s">
        <v>14</v>
      </c>
      <c r="S36" s="706">
        <f t="shared" si="12"/>
        <v>100</v>
      </c>
      <c r="T36" s="705" t="s">
        <v>14</v>
      </c>
      <c r="U36" s="706">
        <f t="shared" si="13"/>
        <v>100</v>
      </c>
      <c r="V36" s="705" t="s">
        <v>14</v>
      </c>
      <c r="W36" s="706">
        <f t="shared" si="14"/>
        <v>100</v>
      </c>
      <c r="X36" s="1355"/>
      <c r="Y36" s="3988"/>
      <c r="Z36" s="1356" t="str">
        <f t="shared" si="15"/>
        <v>公共部分装修</v>
      </c>
      <c r="AA36" s="1353">
        <f t="shared" si="3"/>
        <v>1</v>
      </c>
      <c r="AB36" s="1353">
        <f t="shared" si="4"/>
        <v>1</v>
      </c>
      <c r="AC36" s="1962">
        <f t="shared" si="5"/>
        <v>1</v>
      </c>
    </row>
    <row r="37" spans="1:29" ht="15">
      <c r="A37" s="423"/>
      <c r="B37" s="375" t="s">
        <v>1786</v>
      </c>
      <c r="C37" s="425">
        <f>'数据-取费表'!N6</f>
        <v>0.77</v>
      </c>
      <c r="D37" s="386">
        <v>100</v>
      </c>
      <c r="E37" s="425">
        <f>'比较法-商业 (2)'!E36</f>
        <v>0.7</v>
      </c>
      <c r="F37" s="412">
        <f>LOOKUP(E37,111:111,112:112)-LOOKUP(C37,111:111,112:112)+100</f>
        <v>100</v>
      </c>
      <c r="G37" s="425">
        <f>E37</f>
        <v>0.7</v>
      </c>
      <c r="H37" s="412">
        <f>LOOKUP(G37,111:111,112:112)-LOOKUP(C37,111:111,112:112)+100</f>
        <v>100</v>
      </c>
      <c r="I37" s="425">
        <f>'比较法-商业 (2)'!I36</f>
        <v>0.6</v>
      </c>
      <c r="J37" s="386">
        <f>LOOKUP(I37,111:111,112:112)-LOOKUP(C37,111:111,112:112)+100</f>
        <v>99</v>
      </c>
      <c r="K37" s="561">
        <v>1</v>
      </c>
      <c r="L37" s="2722"/>
      <c r="M37" s="2716"/>
      <c r="N37" s="2716"/>
      <c r="O37" s="2716"/>
      <c r="P37" s="3986"/>
      <c r="Q37" s="1352" t="str">
        <f t="shared" si="11"/>
        <v>成新度</v>
      </c>
      <c r="R37" s="705" t="s">
        <v>14</v>
      </c>
      <c r="S37" s="706">
        <f t="shared" si="12"/>
        <v>100</v>
      </c>
      <c r="T37" s="705" t="s">
        <v>14</v>
      </c>
      <c r="U37" s="706">
        <f t="shared" si="13"/>
        <v>100</v>
      </c>
      <c r="V37" s="705" t="s">
        <v>14</v>
      </c>
      <c r="W37" s="706">
        <f t="shared" si="14"/>
        <v>99</v>
      </c>
      <c r="X37" s="1355"/>
      <c r="Y37" s="3988"/>
      <c r="Z37" s="1356" t="str">
        <f t="shared" si="15"/>
        <v>成新度</v>
      </c>
      <c r="AA37" s="1353">
        <f t="shared" si="3"/>
        <v>1</v>
      </c>
      <c r="AB37" s="1353">
        <f t="shared" si="4"/>
        <v>1</v>
      </c>
      <c r="AC37" s="1962">
        <f t="shared" si="5"/>
        <v>1.0101010101010102</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986"/>
      <c r="Q38" s="1343" t="str">
        <f t="shared" si="11"/>
        <v>写字楼等级</v>
      </c>
      <c r="R38" s="701" t="s">
        <v>14</v>
      </c>
      <c r="S38" s="702">
        <f t="shared" si="12"/>
        <v>100</v>
      </c>
      <c r="T38" s="701" t="s">
        <v>14</v>
      </c>
      <c r="U38" s="702">
        <f t="shared" si="13"/>
        <v>100</v>
      </c>
      <c r="V38" s="701" t="s">
        <v>14</v>
      </c>
      <c r="W38" s="702">
        <f t="shared" si="14"/>
        <v>100</v>
      </c>
      <c r="X38" s="703"/>
      <c r="Y38" s="398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986" t="s">
        <v>1696</v>
      </c>
      <c r="Q39" s="1352" t="str">
        <f t="shared" si="11"/>
        <v>物业管理</v>
      </c>
      <c r="R39" s="705" t="s">
        <v>14</v>
      </c>
      <c r="S39" s="706">
        <f t="shared" si="12"/>
        <v>100</v>
      </c>
      <c r="T39" s="705" t="s">
        <v>14</v>
      </c>
      <c r="U39" s="706">
        <f t="shared" si="13"/>
        <v>100</v>
      </c>
      <c r="V39" s="705" t="s">
        <v>14</v>
      </c>
      <c r="W39" s="706">
        <f t="shared" si="14"/>
        <v>100</v>
      </c>
      <c r="X39" s="1355"/>
      <c r="Y39" s="398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986"/>
      <c r="Q40" s="1352" t="str">
        <f t="shared" si="11"/>
        <v>市政基础设施</v>
      </c>
      <c r="R40" s="705" t="s">
        <v>14</v>
      </c>
      <c r="S40" s="706">
        <f t="shared" si="12"/>
        <v>100</v>
      </c>
      <c r="T40" s="705" t="s">
        <v>14</v>
      </c>
      <c r="U40" s="706">
        <f t="shared" si="13"/>
        <v>100</v>
      </c>
      <c r="V40" s="705" t="s">
        <v>14</v>
      </c>
      <c r="W40" s="706">
        <f t="shared" si="14"/>
        <v>100</v>
      </c>
      <c r="X40" s="1355"/>
      <c r="Y40" s="398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986"/>
      <c r="Q41" s="1352" t="str">
        <f t="shared" si="11"/>
        <v>层高</v>
      </c>
      <c r="R41" s="705" t="s">
        <v>14</v>
      </c>
      <c r="S41" s="706">
        <f t="shared" si="12"/>
        <v>100</v>
      </c>
      <c r="T41" s="705" t="s">
        <v>14</v>
      </c>
      <c r="U41" s="706">
        <f t="shared" si="13"/>
        <v>100</v>
      </c>
      <c r="V41" s="705" t="s">
        <v>14</v>
      </c>
      <c r="W41" s="706">
        <f t="shared" si="14"/>
        <v>100</v>
      </c>
      <c r="X41" s="1355"/>
      <c r="Y41" s="398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986"/>
      <c r="Q42" s="707" t="str">
        <f t="shared" si="11"/>
        <v>单套建筑面积</v>
      </c>
      <c r="R42" s="708" t="s">
        <v>14</v>
      </c>
      <c r="S42" s="709">
        <f t="shared" si="12"/>
        <v>100</v>
      </c>
      <c r="T42" s="708" t="s">
        <v>14</v>
      </c>
      <c r="U42" s="709">
        <f t="shared" si="13"/>
        <v>100</v>
      </c>
      <c r="V42" s="708" t="s">
        <v>14</v>
      </c>
      <c r="W42" s="709">
        <f t="shared" si="14"/>
        <v>100</v>
      </c>
      <c r="X42" s="710"/>
      <c r="Y42" s="398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986"/>
      <c r="Q43" s="1352" t="str">
        <f t="shared" si="11"/>
        <v>内部装修</v>
      </c>
      <c r="R43" s="705" t="s">
        <v>14</v>
      </c>
      <c r="S43" s="706">
        <f t="shared" si="12"/>
        <v>100</v>
      </c>
      <c r="T43" s="705" t="s">
        <v>14</v>
      </c>
      <c r="U43" s="706">
        <f t="shared" si="13"/>
        <v>100</v>
      </c>
      <c r="V43" s="705" t="s">
        <v>14</v>
      </c>
      <c r="W43" s="706">
        <f t="shared" si="14"/>
        <v>100</v>
      </c>
      <c r="X43" s="1355"/>
      <c r="Y43" s="398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986"/>
      <c r="Q44" s="1352" t="str">
        <f t="shared" si="11"/>
        <v>内部装修维护情况</v>
      </c>
      <c r="R44" s="705" t="s">
        <v>14</v>
      </c>
      <c r="S44" s="706">
        <f t="shared" si="12"/>
        <v>100</v>
      </c>
      <c r="T44" s="705" t="s">
        <v>14</v>
      </c>
      <c r="U44" s="706">
        <f t="shared" si="13"/>
        <v>100</v>
      </c>
      <c r="V44" s="705" t="s">
        <v>14</v>
      </c>
      <c r="W44" s="706">
        <f t="shared" si="14"/>
        <v>100</v>
      </c>
      <c r="X44" s="1355"/>
      <c r="Y44" s="3988"/>
      <c r="Z44" s="1356" t="str">
        <f t="shared" si="15"/>
        <v>内部装修维护情况</v>
      </c>
      <c r="AA44" s="1353">
        <f t="shared" si="3"/>
        <v>1</v>
      </c>
      <c r="AB44" s="1353">
        <f t="shared" si="4"/>
        <v>1</v>
      </c>
      <c r="AC44" s="1962">
        <f t="shared" si="5"/>
        <v>1</v>
      </c>
    </row>
    <row r="45" spans="1:29" s="108" customFormat="1" ht="15">
      <c r="A45" s="424"/>
      <c r="B45" s="3671" t="s">
        <v>3518</v>
      </c>
      <c r="C45" s="3652" t="s">
        <v>3471</v>
      </c>
      <c r="D45" s="127">
        <v>100</v>
      </c>
      <c r="E45" s="3652" t="s">
        <v>3470</v>
      </c>
      <c r="F45" s="376">
        <f>SUMIF(127:127,E45,128:128)-SUMIF(127:127,C45,128:128)+100</f>
        <v>94</v>
      </c>
      <c r="G45" s="3652" t="s">
        <v>3472</v>
      </c>
      <c r="H45" s="127">
        <f>SUMIF(127:127,G45,128:128)-SUMIF(127:127,C45,128:128)+100</f>
        <v>112</v>
      </c>
      <c r="I45" s="3652" t="s">
        <v>3471</v>
      </c>
      <c r="J45" s="127">
        <f>SUMIF(127:127,I45,128:128)-SUMIF(127:127,C45,128:128)+100</f>
        <v>100</v>
      </c>
      <c r="K45" s="562"/>
      <c r="L45" s="2717"/>
      <c r="M45" s="2718"/>
      <c r="N45" s="2718"/>
      <c r="O45" s="2718"/>
      <c r="P45" s="3986"/>
      <c r="Q45" s="1343" t="str">
        <f t="shared" si="11"/>
        <v>地下占比</v>
      </c>
      <c r="R45" s="701" t="s">
        <v>14</v>
      </c>
      <c r="S45" s="702">
        <f t="shared" si="12"/>
        <v>94</v>
      </c>
      <c r="T45" s="701" t="s">
        <v>14</v>
      </c>
      <c r="U45" s="702">
        <f t="shared" si="13"/>
        <v>112</v>
      </c>
      <c r="V45" s="701" t="s">
        <v>14</v>
      </c>
      <c r="W45" s="702">
        <f t="shared" si="14"/>
        <v>100</v>
      </c>
      <c r="X45" s="703"/>
      <c r="Y45" s="3988"/>
      <c r="Z45" s="52" t="str">
        <f t="shared" si="15"/>
        <v>地下占比</v>
      </c>
      <c r="AA45" s="704">
        <f t="shared" si="3"/>
        <v>1.0638297872340425</v>
      </c>
      <c r="AB45" s="704">
        <f t="shared" si="4"/>
        <v>0.8928571428571429</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986"/>
      <c r="Q46" s="1352">
        <f t="shared" si="11"/>
        <v>111</v>
      </c>
      <c r="R46" s="705" t="s">
        <v>14</v>
      </c>
      <c r="S46" s="706">
        <f t="shared" si="12"/>
        <v>100</v>
      </c>
      <c r="T46" s="705" t="s">
        <v>14</v>
      </c>
      <c r="U46" s="706">
        <f t="shared" si="13"/>
        <v>100</v>
      </c>
      <c r="V46" s="705" t="s">
        <v>14</v>
      </c>
      <c r="W46" s="706">
        <f t="shared" si="14"/>
        <v>100</v>
      </c>
      <c r="X46" s="1355"/>
      <c r="Y46" s="398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987"/>
      <c r="Q47" s="1352">
        <f t="shared" si="11"/>
        <v>111</v>
      </c>
      <c r="R47" s="705" t="s">
        <v>14</v>
      </c>
      <c r="S47" s="706">
        <f t="shared" si="12"/>
        <v>100</v>
      </c>
      <c r="T47" s="705" t="s">
        <v>14</v>
      </c>
      <c r="U47" s="706">
        <f t="shared" si="13"/>
        <v>100</v>
      </c>
      <c r="V47" s="705" t="s">
        <v>14</v>
      </c>
      <c r="W47" s="706">
        <f t="shared" si="14"/>
        <v>100</v>
      </c>
      <c r="X47" s="1355"/>
      <c r="Y47" s="3989"/>
      <c r="Z47" s="1356">
        <f t="shared" si="15"/>
        <v>111</v>
      </c>
      <c r="AA47" s="1353">
        <f t="shared" si="3"/>
        <v>1</v>
      </c>
      <c r="AB47" s="1353">
        <f t="shared" si="4"/>
        <v>1</v>
      </c>
      <c r="AC47" s="1962">
        <f t="shared" si="5"/>
        <v>1</v>
      </c>
    </row>
    <row r="48" spans="1:29" ht="15">
      <c r="A48" s="430" t="s">
        <v>1708</v>
      </c>
      <c r="B48" s="431"/>
      <c r="C48" s="1154" t="s">
        <v>0</v>
      </c>
      <c r="D48" s="1155"/>
      <c r="E48" s="1156">
        <f>'比较法-商业 (2)'!E47</f>
        <v>35857</v>
      </c>
      <c r="F48" s="1157"/>
      <c r="G48" s="1158">
        <f>'比较法-商业 (2)'!G47</f>
        <v>38411</v>
      </c>
      <c r="H48" s="1159"/>
      <c r="I48" s="1156">
        <f>'比较法-商业 (2)'!I47</f>
        <v>39678</v>
      </c>
      <c r="J48" s="436"/>
      <c r="K48" s="714"/>
      <c r="L48" s="2724"/>
      <c r="M48" s="2716"/>
      <c r="N48" s="2716"/>
      <c r="O48" s="2716"/>
      <c r="P48" s="3975" t="str">
        <f>A48</f>
        <v>成交单价（元/平方米）</v>
      </c>
      <c r="Q48" s="3976"/>
      <c r="R48" s="3977">
        <f>E48</f>
        <v>35857</v>
      </c>
      <c r="S48" s="3977"/>
      <c r="T48" s="3977">
        <f>G48</f>
        <v>38411</v>
      </c>
      <c r="U48" s="3977"/>
      <c r="V48" s="3977">
        <f>I48</f>
        <v>39678</v>
      </c>
      <c r="W48" s="3977"/>
      <c r="X48" s="397"/>
      <c r="Y48" s="712"/>
      <c r="Z48" s="397"/>
      <c r="AA48" s="397"/>
      <c r="AB48" s="397"/>
      <c r="AC48" s="578"/>
    </row>
    <row r="49" spans="1:45" ht="15.75" thickBot="1">
      <c r="A49" s="437" t="s">
        <v>1793</v>
      </c>
      <c r="B49" s="438"/>
      <c r="C49" s="1160">
        <f>R50</f>
        <v>38272</v>
      </c>
      <c r="D49" s="2317" t="s">
        <v>2138</v>
      </c>
      <c r="E49" s="1161">
        <f>R49</f>
        <v>38924</v>
      </c>
      <c r="F49" s="2318"/>
      <c r="G49" s="1160">
        <f>T49</f>
        <v>34995</v>
      </c>
      <c r="H49" s="2318"/>
      <c r="I49" s="1161">
        <f>V49</f>
        <v>40897</v>
      </c>
      <c r="J49" s="2318"/>
      <c r="K49" s="2320">
        <f>F49+H49+J49</f>
        <v>0</v>
      </c>
      <c r="L49" s="2724"/>
      <c r="M49" s="2716"/>
      <c r="N49" s="2716"/>
      <c r="O49" s="2716"/>
      <c r="P49" s="3975" t="str">
        <f>A49</f>
        <v>比较价值（元/平方米）</v>
      </c>
      <c r="Q49" s="3976"/>
      <c r="R49" s="3977">
        <f>IF(F1="售价",ROUND(PRODUCT(R48,AA7:AA47),0),ROUND(PRODUCT(R48,AA7:AA47),1))</f>
        <v>38924</v>
      </c>
      <c r="S49" s="3977"/>
      <c r="T49" s="3977">
        <f>IF(F1="售价",ROUND(PRODUCT(T48,AB7:AB47),0),ROUND(PRODUCT(T48,AB7:AB47),1))</f>
        <v>34995</v>
      </c>
      <c r="U49" s="3977"/>
      <c r="V49" s="3977">
        <f>IF(F1="售价",ROUND(PRODUCT(V48,AC7:AC47),0),ROUND(PRODUCT(V48,AC7:AC47),1))</f>
        <v>40897</v>
      </c>
      <c r="W49" s="3977"/>
      <c r="X49" s="397"/>
      <c r="Y49" s="397"/>
      <c r="Z49" s="397"/>
      <c r="AA49" s="397"/>
      <c r="AB49" s="397"/>
      <c r="AC49" s="578"/>
    </row>
    <row r="50" spans="1:45" ht="15.75" thickBot="1">
      <c r="A50" s="441" t="s">
        <v>1794</v>
      </c>
      <c r="B50" s="442"/>
      <c r="C50" s="1163">
        <f>R50</f>
        <v>38272</v>
      </c>
      <c r="D50" s="1163"/>
      <c r="E50" s="1163"/>
      <c r="F50" s="1163"/>
      <c r="G50" s="1163"/>
      <c r="H50" s="1163"/>
      <c r="I50" s="1163"/>
      <c r="J50" s="443"/>
      <c r="K50" s="715"/>
      <c r="L50" s="2724"/>
      <c r="M50" s="2716"/>
      <c r="N50" s="2716"/>
      <c r="O50" s="2716"/>
      <c r="P50" s="3978" t="str">
        <f>A50</f>
        <v>估价对象XX用房的比较价值（楼面单价，元/平方米）</v>
      </c>
      <c r="Q50" s="3979"/>
      <c r="R50" s="3980">
        <f>IF(F1="售价",ROUND(IF(D49="简单平均",AVERAGE(R49:V49),R49*F49+T49*H49+V49*J49),0),ROUND(IF(D49="简单平均",AVERAGE(R49:V49),R49*F49+T49*H49+V49*J49),1))</f>
        <v>38272</v>
      </c>
      <c r="S50" s="3980"/>
      <c r="T50" s="3980"/>
      <c r="U50" s="3980"/>
      <c r="V50" s="3980"/>
      <c r="W50" s="3980"/>
      <c r="X50" s="1946"/>
      <c r="Y50" s="1946"/>
      <c r="Z50" s="1946"/>
      <c r="AA50" s="1946"/>
      <c r="AB50" s="1946"/>
      <c r="AC50" s="1947"/>
    </row>
    <row r="51" spans="1:45">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45">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45" ht="13.5" customHeight="1">
      <c r="A53" s="2725"/>
      <c r="B53" s="2725"/>
      <c r="C53" s="446" t="s">
        <v>1795</v>
      </c>
      <c r="D53" s="447"/>
      <c r="E53" s="448">
        <f>IF(E48&lt;E49,E49/E48-1,E48/E49-1)</f>
        <v>8.5534205315558998E-2</v>
      </c>
      <c r="F53" s="449" t="str">
        <f>IF(OR(E53&gt;=0.3,E53&lt;=-0.3),"超过30%","")</f>
        <v/>
      </c>
      <c r="G53" s="448">
        <f>IF(G48&lt;G49,G49/G48-1,G48/G49-1)</f>
        <v>9.7613944849264112E-2</v>
      </c>
      <c r="H53" s="449" t="str">
        <f>IF(OR(G53&gt;=0.3,G53&lt;=-0.3),"超过30%","")</f>
        <v/>
      </c>
      <c r="I53" s="448">
        <f>IF(I48&lt;I49,I49/I48-1,I48/I49-1)</f>
        <v>3.0722314632793957E-2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45" ht="13.5" customHeight="1">
      <c r="A54" s="2725"/>
      <c r="B54" s="2725"/>
      <c r="C54" s="446" t="s">
        <v>1796</v>
      </c>
      <c r="D54" s="450"/>
      <c r="E54" s="448">
        <f>IF(E49&lt;G49,G49/E49-1,E49/G49-1)</f>
        <v>0.11227318188312618</v>
      </c>
      <c r="F54" s="449" t="str">
        <f>IF(OR(E54&gt;=0.2,E54&lt;=-0.2),"超过20%","")</f>
        <v/>
      </c>
      <c r="G54" s="448">
        <f>IF(G49&lt;I49,I49/G49-1,G49/I49-1)</f>
        <v>0.16865266466638085</v>
      </c>
      <c r="H54" s="449" t="str">
        <f>IF(OR(G54&gt;=0.2,G54&lt;=-0.2),"超过20%","")</f>
        <v/>
      </c>
      <c r="I54" s="448">
        <f>IF(I49&lt;E49,E49/I49-1,I49/E49-1)</f>
        <v>5.0688521220840554E-2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45" s="451" customFormat="1" ht="13.5" customHeight="1">
      <c r="A55" s="2728"/>
      <c r="B55" s="2728"/>
      <c r="C55" s="446" t="s">
        <v>1797</v>
      </c>
      <c r="D55" s="450"/>
      <c r="E55" s="448">
        <f>IF(E48&lt;G48,G48/E48-1,E48/G48-1)</f>
        <v>7.1227375407870053E-2</v>
      </c>
      <c r="F55" s="449" t="str">
        <f>IF(OR(E55&gt;=0.3,E55&lt;=-0.3),"超过30%","")</f>
        <v/>
      </c>
      <c r="G55" s="448">
        <f>IF(G48&lt;I48,I48/G48-1,G48/I48-1)</f>
        <v>3.2985342740360801E-2</v>
      </c>
      <c r="H55" s="449" t="str">
        <f>IF(OR(G55&gt;=0.3,G55&lt;=-0.3),"超过30%","")</f>
        <v/>
      </c>
      <c r="I55" s="448">
        <f>IF(I48&lt;E48,E48/I48-1,I48/E48-1)</f>
        <v>0.1065621775385559</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45"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45">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45"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45" s="457" customFormat="1" ht="15">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3790">
        <f t="shared" ref="P59" si="17">EDATE(O59,-1)</f>
        <v>45108</v>
      </c>
      <c r="Q59" s="3790">
        <f t="shared" ref="Q59" si="18">EDATE(P59,-1)</f>
        <v>45078</v>
      </c>
      <c r="R59" s="3790">
        <f t="shared" ref="R59" si="19">EDATE(Q59,-1)</f>
        <v>45047</v>
      </c>
      <c r="S59" s="3790">
        <f t="shared" ref="S59" si="20">EDATE(R59,-1)</f>
        <v>45017</v>
      </c>
      <c r="T59" s="3790">
        <f t="shared" ref="T59" si="21">EDATE(S59,-1)</f>
        <v>44986</v>
      </c>
      <c r="U59" s="3790">
        <f t="shared" ref="U59" si="22">EDATE(T59,-1)</f>
        <v>44958</v>
      </c>
      <c r="V59" s="3790">
        <f t="shared" ref="V59" si="23">EDATE(U59,-1)</f>
        <v>44927</v>
      </c>
      <c r="W59" s="3790">
        <f t="shared" ref="W59" si="24">EDATE(V59,-1)</f>
        <v>44896</v>
      </c>
      <c r="X59" s="3790">
        <f t="shared" ref="X59" si="25">EDATE(W59,-1)</f>
        <v>44866</v>
      </c>
      <c r="Y59" s="3790">
        <f t="shared" ref="Y59" si="26">EDATE(X59,-1)</f>
        <v>44835</v>
      </c>
      <c r="Z59" s="3790">
        <f t="shared" ref="Z59" si="27">EDATE(Y59,-1)</f>
        <v>44805</v>
      </c>
      <c r="AA59" s="3790">
        <f t="shared" ref="AA59" si="28">EDATE(Z59,-1)</f>
        <v>44774</v>
      </c>
      <c r="AB59" s="3790">
        <f t="shared" ref="AB59" si="29">EDATE(AA59,-1)</f>
        <v>44743</v>
      </c>
      <c r="AC59" s="3790">
        <f t="shared" ref="AC59" si="30">EDATE(AB59,-1)</f>
        <v>44713</v>
      </c>
      <c r="AD59" s="3790">
        <f t="shared" ref="AD59" si="31">EDATE(AC59,-1)</f>
        <v>44682</v>
      </c>
      <c r="AE59" s="3790">
        <f t="shared" ref="AE59" si="32">EDATE(AD59,-1)</f>
        <v>44652</v>
      </c>
      <c r="AF59" s="3790">
        <f t="shared" ref="AF59" si="33">EDATE(AE59,-1)</f>
        <v>44621</v>
      </c>
      <c r="AG59" s="3790">
        <f t="shared" ref="AG59" si="34">EDATE(AF59,-1)</f>
        <v>44593</v>
      </c>
      <c r="AH59" s="3790">
        <f t="shared" ref="AH59" si="35">EDATE(AG59,-1)</f>
        <v>44562</v>
      </c>
      <c r="AI59" s="3790">
        <f t="shared" ref="AI59" si="36">EDATE(AH59,-1)</f>
        <v>44531</v>
      </c>
      <c r="AJ59" s="3790">
        <f t="shared" ref="AJ59" si="37">EDATE(AI59,-1)</f>
        <v>44501</v>
      </c>
      <c r="AK59" s="3790">
        <f t="shared" ref="AK59" si="38">EDATE(AJ59,-1)</f>
        <v>44470</v>
      </c>
      <c r="AL59" s="3790">
        <f t="shared" ref="AL59" si="39">EDATE(AK59,-1)</f>
        <v>44440</v>
      </c>
      <c r="AM59" s="3790">
        <f t="shared" ref="AM59" si="40">EDATE(AL59,-1)</f>
        <v>44409</v>
      </c>
      <c r="AN59" s="3790">
        <f t="shared" ref="AN59" si="41">EDATE(AM59,-1)</f>
        <v>44378</v>
      </c>
      <c r="AO59" s="3790">
        <f t="shared" ref="AO59" si="42">EDATE(AN59,-1)</f>
        <v>44348</v>
      </c>
      <c r="AP59" s="3790">
        <f t="shared" ref="AP59" si="43">EDATE(AO59,-1)</f>
        <v>44317</v>
      </c>
      <c r="AQ59" s="3790">
        <f t="shared" ref="AQ59" si="44">EDATE(AP59,-1)</f>
        <v>44287</v>
      </c>
      <c r="AR59" s="3790">
        <f t="shared" ref="AR59" si="45">EDATE(AQ59,-1)</f>
        <v>44256</v>
      </c>
      <c r="AS59" s="3790">
        <f t="shared" ref="AS59" si="46">EDATE(AR59,-1)</f>
        <v>44228</v>
      </c>
    </row>
    <row r="60" spans="1:45" s="108" customFormat="1" ht="15">
      <c r="A60" s="458"/>
      <c r="B60" s="459"/>
      <c r="C60" s="1183">
        <v>100</v>
      </c>
      <c r="D60" s="461">
        <f>'比较法-商业 (2)'!D59</f>
        <v>100</v>
      </c>
      <c r="E60" s="461">
        <f>'比较法-商业 (2)'!E59</f>
        <v>100</v>
      </c>
      <c r="F60" s="461">
        <f>'比较法-商业 (2)'!F59</f>
        <v>100</v>
      </c>
      <c r="G60" s="461">
        <f>'比较法-商业 (2)'!G59</f>
        <v>100</v>
      </c>
      <c r="H60" s="461">
        <f>'比较法-商业 (2)'!H59</f>
        <v>100</v>
      </c>
      <c r="I60" s="461">
        <f>'比较法-商业 (2)'!I59</f>
        <v>100</v>
      </c>
      <c r="J60" s="461">
        <f>'比较法-商业 (2)'!J59</f>
        <v>100</v>
      </c>
      <c r="K60" s="461">
        <f>'比较法-商业 (2)'!K59</f>
        <v>100</v>
      </c>
      <c r="L60" s="461">
        <f>'比较法-商业 (2)'!L59</f>
        <v>100</v>
      </c>
      <c r="M60" s="461">
        <f>'比较法-商业 (2)'!M59</f>
        <v>100</v>
      </c>
      <c r="N60" s="461">
        <f>'比较法-商业 (2)'!N59</f>
        <v>99</v>
      </c>
      <c r="O60" s="461">
        <f>'比较法-商业 (2)'!O59</f>
        <v>99</v>
      </c>
      <c r="P60" s="461">
        <f>'比较法-商业 (2)'!P59</f>
        <v>99</v>
      </c>
      <c r="Q60" s="461">
        <f>'比较法-商业 (2)'!Q59</f>
        <v>99</v>
      </c>
      <c r="R60" s="461">
        <f>'比较法-商业 (2)'!R59</f>
        <v>99</v>
      </c>
      <c r="S60" s="461">
        <f>'比较法-商业 (2)'!S59</f>
        <v>99</v>
      </c>
      <c r="T60" s="461">
        <f>'比较法-商业 (2)'!T59</f>
        <v>99</v>
      </c>
      <c r="U60" s="461">
        <f>'比较法-商业 (2)'!U59</f>
        <v>99</v>
      </c>
      <c r="V60" s="461">
        <f>'比较法-商业 (2)'!V59</f>
        <v>99</v>
      </c>
      <c r="W60" s="461">
        <f>'比较法-商业 (2)'!W59</f>
        <v>99</v>
      </c>
      <c r="X60" s="461">
        <f>'比较法-商业 (2)'!X59</f>
        <v>99</v>
      </c>
      <c r="Y60" s="461">
        <f>'比较法-商业 (2)'!Y59</f>
        <v>99</v>
      </c>
      <c r="Z60" s="461">
        <f>'比较法-商业 (2)'!Z59</f>
        <v>98</v>
      </c>
      <c r="AA60" s="461">
        <f>'比较法-商业 (2)'!AA59</f>
        <v>98</v>
      </c>
      <c r="AB60" s="461">
        <f>'比较法-商业 (2)'!AB59</f>
        <v>98</v>
      </c>
      <c r="AC60" s="461">
        <f>'比较法-商业 (2)'!AC59</f>
        <v>98</v>
      </c>
      <c r="AD60" s="461">
        <f>'比较法-商业 (2)'!AD59</f>
        <v>98</v>
      </c>
      <c r="AE60" s="461">
        <f>'比较法-商业 (2)'!AE59</f>
        <v>98</v>
      </c>
      <c r="AF60" s="461">
        <f>'比较法-商业 (2)'!AF59</f>
        <v>98</v>
      </c>
      <c r="AG60" s="461">
        <f>'比较法-商业 (2)'!AG59</f>
        <v>98</v>
      </c>
      <c r="AH60" s="461">
        <f>'比较法-商业 (2)'!AH59</f>
        <v>98</v>
      </c>
      <c r="AI60" s="461">
        <f>AH60</f>
        <v>98</v>
      </c>
      <c r="AJ60" s="461">
        <f>AI60</f>
        <v>98</v>
      </c>
      <c r="AK60" s="461">
        <f>AJ60</f>
        <v>98</v>
      </c>
      <c r="AL60" s="461">
        <f>AK60</f>
        <v>98</v>
      </c>
      <c r="AM60" s="461">
        <f>AL60</f>
        <v>98</v>
      </c>
      <c r="AN60" s="461">
        <f t="shared" ref="AN60:AS60" si="47">AM60</f>
        <v>98</v>
      </c>
      <c r="AO60" s="461">
        <f t="shared" si="47"/>
        <v>98</v>
      </c>
      <c r="AP60" s="461">
        <f t="shared" si="47"/>
        <v>98</v>
      </c>
      <c r="AQ60" s="461">
        <f t="shared" si="47"/>
        <v>98</v>
      </c>
      <c r="AR60" s="461">
        <f t="shared" si="47"/>
        <v>98</v>
      </c>
      <c r="AS60" s="461">
        <f t="shared" si="47"/>
        <v>98</v>
      </c>
    </row>
    <row r="61" spans="1:45" s="108" customFormat="1" ht="15.75" thickBot="1">
      <c r="A61" s="464" t="s">
        <v>1716</v>
      </c>
      <c r="B61" s="465"/>
      <c r="C61" s="466"/>
      <c r="D61" s="467"/>
      <c r="E61" s="467"/>
      <c r="F61" s="467"/>
      <c r="G61" s="467"/>
      <c r="H61" s="467"/>
      <c r="I61" s="467"/>
      <c r="J61" s="467"/>
      <c r="K61" s="467"/>
      <c r="L61" s="467"/>
      <c r="M61" s="468"/>
      <c r="N61" s="467"/>
      <c r="O61" s="468"/>
      <c r="P61" s="467"/>
      <c r="Q61" s="468"/>
      <c r="R61" s="467"/>
      <c r="S61" s="468"/>
      <c r="T61" s="467"/>
      <c r="U61" s="468"/>
      <c r="V61" s="467"/>
      <c r="W61" s="468"/>
      <c r="X61" s="467"/>
      <c r="Y61" s="468"/>
      <c r="Z61" s="467"/>
      <c r="AA61" s="468"/>
      <c r="AB61" s="467"/>
      <c r="AC61" s="467"/>
      <c r="AD61" s="468"/>
      <c r="AE61" s="467"/>
      <c r="AF61" s="468"/>
      <c r="AG61" s="467"/>
      <c r="AH61" s="468"/>
      <c r="AI61" s="467"/>
      <c r="AJ61" s="468"/>
      <c r="AK61" s="467"/>
      <c r="AL61" s="468"/>
      <c r="AM61" s="467"/>
      <c r="AN61" s="468"/>
      <c r="AO61" s="467"/>
      <c r="AP61" s="468"/>
      <c r="AQ61" s="467"/>
      <c r="AR61" s="468"/>
      <c r="AS61" s="467"/>
    </row>
    <row r="62" spans="1:45"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45"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45">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48">D69&amp;"（含）"&amp;"-"&amp;E69</f>
        <v>3（含）-</v>
      </c>
      <c r="E68" s="496" t="str">
        <f t="shared" si="48"/>
        <v>（含）-</v>
      </c>
      <c r="F68" s="496" t="str">
        <f t="shared" si="48"/>
        <v>（含）-</v>
      </c>
      <c r="G68" s="496" t="str">
        <f t="shared" si="48"/>
        <v>（含）-</v>
      </c>
      <c r="H68" s="496" t="str">
        <f t="shared" si="48"/>
        <v>（含）-</v>
      </c>
      <c r="I68" s="496" t="str">
        <f t="shared" si="48"/>
        <v>（含）-</v>
      </c>
      <c r="J68" s="496" t="str">
        <f t="shared" si="48"/>
        <v>（含）-</v>
      </c>
      <c r="K68" s="496" t="str">
        <f t="shared" si="48"/>
        <v>（含）-</v>
      </c>
      <c r="L68" s="496" t="str">
        <f t="shared" si="4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49">C70-$K11</f>
        <v>100</v>
      </c>
      <c r="E70" s="493">
        <f t="shared" si="49"/>
        <v>100</v>
      </c>
      <c r="F70" s="493">
        <f t="shared" si="49"/>
        <v>100</v>
      </c>
      <c r="G70" s="493">
        <f t="shared" si="49"/>
        <v>100</v>
      </c>
      <c r="H70" s="493">
        <f t="shared" si="49"/>
        <v>100</v>
      </c>
      <c r="I70" s="493">
        <f t="shared" si="49"/>
        <v>100</v>
      </c>
      <c r="J70" s="493">
        <f t="shared" si="49"/>
        <v>100</v>
      </c>
      <c r="K70" s="493">
        <f t="shared" si="49"/>
        <v>100</v>
      </c>
      <c r="L70" s="493">
        <f t="shared" si="49"/>
        <v>100</v>
      </c>
      <c r="M70" s="494">
        <f t="shared" si="4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50">C88-$K25</f>
        <v>100</v>
      </c>
      <c r="E88" s="493">
        <f t="shared" si="50"/>
        <v>100</v>
      </c>
      <c r="F88" s="493">
        <f t="shared" si="50"/>
        <v>100</v>
      </c>
      <c r="G88" s="493">
        <f t="shared" si="50"/>
        <v>100</v>
      </c>
      <c r="H88" s="493">
        <f t="shared" si="50"/>
        <v>100</v>
      </c>
      <c r="I88" s="493">
        <f t="shared" si="50"/>
        <v>100</v>
      </c>
      <c r="J88" s="493">
        <f t="shared" si="50"/>
        <v>100</v>
      </c>
      <c r="K88" s="493">
        <f t="shared" si="50"/>
        <v>100</v>
      </c>
      <c r="L88" s="493">
        <f t="shared" si="50"/>
        <v>100</v>
      </c>
      <c r="M88" s="493">
        <f t="shared" si="5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51">D90-$K27</f>
        <v>100</v>
      </c>
      <c r="F90" s="493">
        <f t="shared" si="51"/>
        <v>100</v>
      </c>
      <c r="G90" s="493">
        <f t="shared" si="51"/>
        <v>100</v>
      </c>
      <c r="H90" s="493">
        <f t="shared" si="51"/>
        <v>100</v>
      </c>
      <c r="I90" s="493">
        <f t="shared" si="51"/>
        <v>100</v>
      </c>
      <c r="J90" s="493">
        <f t="shared" si="51"/>
        <v>100</v>
      </c>
      <c r="K90" s="493">
        <f t="shared" si="51"/>
        <v>100</v>
      </c>
      <c r="L90" s="493">
        <f t="shared" si="51"/>
        <v>100</v>
      </c>
      <c r="M90" s="493">
        <f t="shared" si="51"/>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52">C92-$K28</f>
        <v>100</v>
      </c>
      <c r="E92" s="493">
        <f t="shared" si="52"/>
        <v>100</v>
      </c>
      <c r="F92" s="493">
        <f t="shared" si="52"/>
        <v>100</v>
      </c>
      <c r="G92" s="493">
        <f t="shared" si="52"/>
        <v>100</v>
      </c>
      <c r="H92" s="493">
        <f t="shared" si="52"/>
        <v>100</v>
      </c>
      <c r="I92" s="493">
        <f t="shared" si="52"/>
        <v>100</v>
      </c>
      <c r="J92" s="493">
        <f t="shared" si="52"/>
        <v>100</v>
      </c>
      <c r="K92" s="493">
        <f t="shared" si="52"/>
        <v>100</v>
      </c>
      <c r="L92" s="493">
        <f t="shared" si="52"/>
        <v>100</v>
      </c>
      <c r="M92" s="493">
        <f t="shared" si="5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53">C102-$K33</f>
        <v>100</v>
      </c>
      <c r="E102" s="493">
        <f t="shared" si="53"/>
        <v>100</v>
      </c>
      <c r="F102" s="493">
        <f t="shared" si="53"/>
        <v>100</v>
      </c>
      <c r="G102" s="493">
        <f t="shared" si="53"/>
        <v>100</v>
      </c>
      <c r="H102" s="493">
        <f t="shared" si="53"/>
        <v>100</v>
      </c>
      <c r="I102" s="493">
        <f t="shared" si="53"/>
        <v>100</v>
      </c>
      <c r="J102" s="493">
        <f t="shared" si="53"/>
        <v>100</v>
      </c>
      <c r="K102" s="493">
        <f t="shared" si="53"/>
        <v>100</v>
      </c>
      <c r="L102" s="493">
        <f t="shared" si="53"/>
        <v>100</v>
      </c>
      <c r="M102" s="494">
        <f t="shared" si="53"/>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54">D104&amp;"(含)"&amp;"-"&amp;E104</f>
        <v>100(含)-</v>
      </c>
      <c r="E103" s="527" t="str">
        <f t="shared" si="54"/>
        <v>(含)-</v>
      </c>
      <c r="F103" s="527" t="str">
        <f t="shared" si="54"/>
        <v>(含)-</v>
      </c>
      <c r="G103" s="527" t="str">
        <f t="shared" si="54"/>
        <v>(含)-</v>
      </c>
      <c r="H103" s="527" t="str">
        <f t="shared" si="54"/>
        <v>(含)-</v>
      </c>
      <c r="I103" s="527" t="str">
        <f t="shared" si="54"/>
        <v>(含)-</v>
      </c>
      <c r="J103" s="527" t="str">
        <f t="shared" si="54"/>
        <v>(含)-</v>
      </c>
      <c r="K103" s="527" t="str">
        <f t="shared" si="54"/>
        <v>(含)-</v>
      </c>
      <c r="L103" s="527" t="str">
        <f t="shared" si="5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55">C107-$K35</f>
        <v>100</v>
      </c>
      <c r="E107" s="493">
        <f t="shared" si="55"/>
        <v>100</v>
      </c>
      <c r="F107" s="493">
        <f t="shared" si="55"/>
        <v>100</v>
      </c>
      <c r="G107" s="493">
        <f t="shared" si="55"/>
        <v>100</v>
      </c>
      <c r="H107" s="493">
        <f t="shared" si="55"/>
        <v>100</v>
      </c>
      <c r="I107" s="493">
        <f t="shared" si="55"/>
        <v>100</v>
      </c>
      <c r="J107" s="493">
        <f t="shared" si="55"/>
        <v>100</v>
      </c>
      <c r="K107" s="493">
        <f t="shared" si="55"/>
        <v>100</v>
      </c>
      <c r="L107" s="493">
        <f t="shared" si="55"/>
        <v>100</v>
      </c>
      <c r="M107" s="494">
        <f t="shared" si="5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56">C109-$K36</f>
        <v>100</v>
      </c>
      <c r="E109" s="493">
        <f t="shared" si="56"/>
        <v>100</v>
      </c>
      <c r="F109" s="493">
        <f t="shared" si="56"/>
        <v>100</v>
      </c>
      <c r="G109" s="493">
        <f t="shared" si="56"/>
        <v>100</v>
      </c>
      <c r="H109" s="493">
        <f t="shared" si="56"/>
        <v>100</v>
      </c>
      <c r="I109" s="493">
        <f t="shared" si="56"/>
        <v>100</v>
      </c>
      <c r="J109" s="493">
        <f t="shared" si="56"/>
        <v>100</v>
      </c>
      <c r="K109" s="493">
        <f t="shared" si="56"/>
        <v>100</v>
      </c>
      <c r="L109" s="493">
        <f t="shared" si="56"/>
        <v>100</v>
      </c>
      <c r="M109" s="494">
        <f t="shared" si="56"/>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57">D112+$K37</f>
        <v>102</v>
      </c>
      <c r="F112" s="493">
        <f t="shared" si="57"/>
        <v>103</v>
      </c>
      <c r="G112" s="493">
        <f t="shared" si="57"/>
        <v>104</v>
      </c>
      <c r="H112" s="493">
        <f t="shared" si="57"/>
        <v>105</v>
      </c>
      <c r="I112" s="493">
        <f t="shared" si="57"/>
        <v>106</v>
      </c>
      <c r="J112" s="493">
        <f t="shared" si="57"/>
        <v>107</v>
      </c>
      <c r="K112" s="493">
        <f t="shared" si="57"/>
        <v>108</v>
      </c>
      <c r="L112" s="493">
        <f t="shared" si="57"/>
        <v>109</v>
      </c>
      <c r="M112" s="493">
        <f t="shared" si="57"/>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58">D114-$K38</f>
        <v>100</v>
      </c>
      <c r="F114" s="493">
        <f t="shared" si="58"/>
        <v>100</v>
      </c>
      <c r="G114" s="493">
        <f t="shared" si="58"/>
        <v>100</v>
      </c>
      <c r="H114" s="493">
        <f t="shared" si="58"/>
        <v>100</v>
      </c>
      <c r="I114" s="493">
        <f t="shared" si="58"/>
        <v>100</v>
      </c>
      <c r="J114" s="493">
        <f t="shared" si="58"/>
        <v>100</v>
      </c>
      <c r="K114" s="493">
        <f t="shared" si="58"/>
        <v>100</v>
      </c>
      <c r="L114" s="493">
        <f t="shared" si="58"/>
        <v>100</v>
      </c>
      <c r="M114" s="493">
        <f t="shared" si="5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59">C116-$K39</f>
        <v>100</v>
      </c>
      <c r="E116" s="493">
        <f t="shared" si="59"/>
        <v>100</v>
      </c>
      <c r="F116" s="493">
        <f t="shared" si="59"/>
        <v>100</v>
      </c>
      <c r="G116" s="493">
        <f t="shared" si="59"/>
        <v>100</v>
      </c>
      <c r="H116" s="493">
        <f t="shared" si="59"/>
        <v>100</v>
      </c>
      <c r="I116" s="493">
        <f t="shared" si="59"/>
        <v>100</v>
      </c>
      <c r="J116" s="493">
        <f t="shared" si="59"/>
        <v>100</v>
      </c>
      <c r="K116" s="493">
        <f t="shared" si="59"/>
        <v>100</v>
      </c>
      <c r="L116" s="493">
        <f t="shared" si="59"/>
        <v>100</v>
      </c>
      <c r="M116" s="494">
        <f t="shared" si="59"/>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60">D120-$K41</f>
        <v>100</v>
      </c>
      <c r="F120" s="493">
        <f t="shared" si="60"/>
        <v>100</v>
      </c>
      <c r="G120" s="493">
        <f t="shared" si="60"/>
        <v>100</v>
      </c>
      <c r="H120" s="493">
        <f t="shared" si="60"/>
        <v>100</v>
      </c>
      <c r="I120" s="493">
        <f t="shared" si="60"/>
        <v>100</v>
      </c>
      <c r="J120" s="493">
        <f t="shared" si="60"/>
        <v>100</v>
      </c>
      <c r="K120" s="493">
        <f t="shared" si="60"/>
        <v>100</v>
      </c>
      <c r="L120" s="493">
        <f t="shared" si="60"/>
        <v>100</v>
      </c>
      <c r="M120" s="493">
        <f t="shared" si="6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61">C124-$K43</f>
        <v>100</v>
      </c>
      <c r="E124" s="493">
        <f t="shared" si="61"/>
        <v>100</v>
      </c>
      <c r="F124" s="493">
        <f t="shared" si="61"/>
        <v>100</v>
      </c>
      <c r="G124" s="493">
        <f t="shared" si="61"/>
        <v>100</v>
      </c>
      <c r="H124" s="493">
        <f t="shared" si="61"/>
        <v>100</v>
      </c>
      <c r="I124" s="493">
        <f t="shared" si="61"/>
        <v>100</v>
      </c>
      <c r="J124" s="493">
        <f t="shared" si="61"/>
        <v>100</v>
      </c>
      <c r="K124" s="493">
        <f t="shared" si="61"/>
        <v>100</v>
      </c>
      <c r="L124" s="493">
        <f t="shared" si="61"/>
        <v>100</v>
      </c>
      <c r="M124" s="494">
        <f t="shared" si="61"/>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t="str">
        <f>B45</f>
        <v>地下占比</v>
      </c>
      <c r="C127" s="3483" t="s">
        <v>3472</v>
      </c>
      <c r="D127" s="3483" t="s">
        <v>3471</v>
      </c>
      <c r="E127" s="3483" t="s">
        <v>3470</v>
      </c>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3488">
        <v>118</v>
      </c>
      <c r="D128" s="3487">
        <v>106</v>
      </c>
      <c r="E128" s="3487">
        <v>100</v>
      </c>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Q131"/>
  <sheetViews>
    <sheetView view="pageBreakPreview" topLeftCell="A19" zoomScale="85" zoomScaleNormal="70" zoomScaleSheetLayoutView="85" workbookViewId="0">
      <selection activeCell="G44" sqref="G44"/>
    </sheetView>
  </sheetViews>
  <sheetFormatPr defaultColWidth="9" defaultRowHeight="14.25"/>
  <cols>
    <col min="1" max="1" width="10.5" style="3465" customWidth="1"/>
    <col min="2" max="2" width="15.75" style="3465" customWidth="1"/>
    <col min="3" max="3" width="15.125" style="3465" customWidth="1"/>
    <col min="4" max="4" width="12.25" style="3465" customWidth="1"/>
    <col min="5" max="5" width="14.375" style="3465" customWidth="1"/>
    <col min="6" max="6" width="12.25" style="3465" customWidth="1"/>
    <col min="7" max="7" width="14.5" style="3465" customWidth="1"/>
    <col min="8" max="8" width="12.25" style="3465" customWidth="1"/>
    <col min="9" max="9" width="14.5" style="3465" customWidth="1"/>
    <col min="10" max="10" width="12.25" style="3465" customWidth="1"/>
    <col min="11" max="11" width="12.25" style="3468" customWidth="1"/>
    <col min="12" max="12" width="12.25" style="3467" customWidth="1"/>
    <col min="13" max="15" width="12.25" style="3465" customWidth="1"/>
    <col min="16" max="16" width="4.75" style="3466" customWidth="1"/>
    <col min="17" max="17" width="19.5" style="3465" customWidth="1"/>
    <col min="18" max="18" width="9.5" style="3465" customWidth="1"/>
    <col min="19" max="19" width="12.75" style="3465" customWidth="1"/>
    <col min="20" max="22" width="6.125" style="3465" customWidth="1"/>
    <col min="23" max="23" width="5.75" style="3465" customWidth="1"/>
    <col min="24" max="24" width="4.25" style="3465" customWidth="1"/>
    <col min="25" max="25" width="3.5" style="3465" customWidth="1"/>
    <col min="26" max="26" width="19.75" style="3465" customWidth="1"/>
    <col min="27" max="28" width="9.375" style="3465" customWidth="1"/>
    <col min="29" max="30" width="9" style="3465"/>
    <col min="31" max="31" width="14.25" style="3465" customWidth="1"/>
    <col min="32" max="32" width="9" style="3465"/>
    <col min="33" max="33" width="13.625" style="3465" customWidth="1"/>
    <col min="34" max="34" width="15.25" style="3465" customWidth="1"/>
    <col min="35" max="35" width="14" style="3465" customWidth="1"/>
    <col min="36" max="16384" width="9" style="3465"/>
  </cols>
  <sheetData>
    <row r="1" spans="1:29" s="3776" customFormat="1" ht="28.5" customHeight="1" thickBot="1">
      <c r="A1" s="3789" t="s">
        <v>3556</v>
      </c>
      <c r="B1" s="3788" t="s">
        <v>3555</v>
      </c>
      <c r="C1" s="3780" t="s">
        <v>3554</v>
      </c>
      <c r="D1" s="3787" t="s">
        <v>3482</v>
      </c>
      <c r="E1" s="3786" t="s">
        <v>3553</v>
      </c>
      <c r="F1" s="3785" t="s">
        <v>3552</v>
      </c>
      <c r="G1" s="3784" t="s">
        <v>3551</v>
      </c>
      <c r="H1" s="3783"/>
      <c r="I1" s="3783"/>
      <c r="J1" s="3783"/>
      <c r="K1" s="3782"/>
      <c r="L1" s="3781"/>
      <c r="M1" s="3780"/>
      <c r="N1" s="3780"/>
      <c r="O1" s="3780"/>
      <c r="P1" s="3779"/>
      <c r="Q1" s="3778"/>
      <c r="R1" s="3778"/>
      <c r="S1" s="3778"/>
      <c r="T1" s="3778"/>
      <c r="U1" s="3778"/>
      <c r="V1" s="3778"/>
      <c r="W1" s="3778"/>
      <c r="X1" s="3778"/>
      <c r="Y1" s="3778"/>
      <c r="Z1" s="3778"/>
      <c r="AA1" s="3778"/>
      <c r="AB1" s="3778"/>
      <c r="AC1" s="3777"/>
    </row>
    <row r="2" spans="1:29" s="3761" customFormat="1" ht="28.5" customHeight="1" thickTop="1">
      <c r="A2" s="1221" t="s">
        <v>3550</v>
      </c>
      <c r="B2" s="3775" t="e">
        <f>IF(E1="项目模式",IF(C2="——",ROUND(C49*D3/10000,0),ROUND(C49*D3/10000,0)-D2),IF(E1="单套模式",IF(C2="——",ROUND(C49*D3/10000,4),ROUND(C49*D3/10000,4)-D2)))</f>
        <v>#VALUE!</v>
      </c>
      <c r="C2" s="1881" t="s">
        <v>43</v>
      </c>
      <c r="D2" s="3774" t="e">
        <f ca="1">IF(E1="项目模式",SUMIF(INDIRECT("'"&amp;F2&amp;"'"&amp;"!A:A"),"承租人权益价值",INDIRECT("'"&amp;F2&amp;"'"&amp;"!c:c")),SUMIF(INDIRECT("'"&amp;F2&amp;"'"&amp;"!A:A"),"承租人权益价值（单套）",INDIRECT("'"&amp;F2&amp;"'"&amp;"!c:c")))</f>
        <v>#REF!</v>
      </c>
      <c r="E2" s="1882" t="s">
        <v>3549</v>
      </c>
      <c r="F2" s="1883"/>
      <c r="G2" s="3768"/>
      <c r="H2" s="3768"/>
      <c r="I2" s="3768"/>
      <c r="J2" s="3768"/>
      <c r="K2" s="3768"/>
      <c r="L2" s="3766"/>
      <c r="M2" s="3765"/>
      <c r="N2" s="3765"/>
      <c r="O2" s="3765"/>
      <c r="P2" s="3764"/>
      <c r="Q2" s="3763"/>
      <c r="R2" s="3763"/>
      <c r="S2" s="3763"/>
      <c r="T2" s="3763"/>
      <c r="U2" s="3763"/>
      <c r="V2" s="3763"/>
      <c r="W2" s="3763"/>
      <c r="X2" s="3763"/>
      <c r="Y2" s="3763"/>
      <c r="Z2" s="3763"/>
      <c r="AA2" s="3763"/>
      <c r="AB2" s="3763"/>
      <c r="AC2" s="3773"/>
    </row>
    <row r="3" spans="1:29" s="3761" customFormat="1" ht="28.5" customHeight="1" thickBot="1">
      <c r="A3" s="203" t="s">
        <v>3548</v>
      </c>
      <c r="B3" s="3772">
        <f>IF(C2="——",C49,ROUND(B2*10000/D3,0))</f>
        <v>33973</v>
      </c>
      <c r="C3" s="3771" t="s">
        <v>3547</v>
      </c>
      <c r="D3" s="3770" t="e">
        <f>IF(D1="",'[1]数据-汇总表'!E3,SUMIF('[1]数据-汇总表'!$C19:$C33,D1,'[1]数据-汇总表'!$E19:$E33))</f>
        <v>#VALUE!</v>
      </c>
      <c r="E3" s="3762"/>
      <c r="F3" s="3769"/>
      <c r="G3" s="3768"/>
      <c r="H3" s="3768"/>
      <c r="I3" s="3768"/>
      <c r="J3" s="3768"/>
      <c r="K3" s="3767"/>
      <c r="L3" s="3766"/>
      <c r="M3" s="3765"/>
      <c r="N3" s="3765"/>
      <c r="O3" s="3765"/>
      <c r="P3" s="3764"/>
      <c r="Q3" s="3763"/>
      <c r="R3" s="3763"/>
      <c r="S3" s="3763"/>
      <c r="T3" s="3763"/>
      <c r="U3" s="3763"/>
      <c r="V3" s="3763"/>
      <c r="W3" s="3763"/>
      <c r="X3" s="3763"/>
      <c r="Y3" s="3763"/>
      <c r="Z3" s="3763"/>
      <c r="AA3" s="3763"/>
      <c r="AB3" s="3763"/>
      <c r="AC3" s="3762"/>
    </row>
    <row r="4" spans="1:29" ht="15">
      <c r="A4" s="3760" t="s">
        <v>3546</v>
      </c>
      <c r="B4" s="3759"/>
      <c r="C4" s="4034" t="s">
        <v>3545</v>
      </c>
      <c r="D4" s="4035"/>
      <c r="E4" s="4036" t="s">
        <v>3542</v>
      </c>
      <c r="F4" s="4037"/>
      <c r="G4" s="4034" t="s">
        <v>3541</v>
      </c>
      <c r="H4" s="4035"/>
      <c r="I4" s="4034" t="s">
        <v>3540</v>
      </c>
      <c r="J4" s="4035"/>
      <c r="K4" s="3754" t="s">
        <v>3544</v>
      </c>
      <c r="L4" s="3753"/>
      <c r="M4" s="3619"/>
      <c r="N4" s="3619"/>
      <c r="O4" s="3619"/>
      <c r="P4" s="4038" t="s">
        <v>3543</v>
      </c>
      <c r="Q4" s="4039"/>
      <c r="R4" s="4030" t="s">
        <v>3542</v>
      </c>
      <c r="S4" s="4031"/>
      <c r="T4" s="4030" t="s">
        <v>3541</v>
      </c>
      <c r="U4" s="4031"/>
      <c r="V4" s="4029" t="s">
        <v>3540</v>
      </c>
      <c r="W4" s="4029"/>
      <c r="X4" s="3646"/>
      <c r="Y4" s="4030" t="s">
        <v>3543</v>
      </c>
      <c r="Z4" s="4031"/>
      <c r="AA4" s="4026" t="s">
        <v>3542</v>
      </c>
      <c r="AB4" s="4029" t="s">
        <v>3541</v>
      </c>
      <c r="AC4" s="4026" t="s">
        <v>3540</v>
      </c>
    </row>
    <row r="5" spans="1:29" ht="15" customHeight="1">
      <c r="A5" s="3758"/>
      <c r="B5" s="3757"/>
      <c r="C5" s="4044" t="s">
        <v>3539</v>
      </c>
      <c r="D5" s="4045"/>
      <c r="E5" s="4050" t="s">
        <v>3538</v>
      </c>
      <c r="F5" s="4051"/>
      <c r="G5" s="4052" t="s">
        <v>3537</v>
      </c>
      <c r="H5" s="4051"/>
      <c r="I5" s="4050" t="s">
        <v>3536</v>
      </c>
      <c r="J5" s="4051"/>
      <c r="K5" s="3754"/>
      <c r="L5" s="3753"/>
      <c r="M5" s="3619"/>
      <c r="N5" s="3619"/>
      <c r="O5" s="3619"/>
      <c r="P5" s="4040"/>
      <c r="Q5" s="4041"/>
      <c r="R5" s="4032"/>
      <c r="S5" s="4033"/>
      <c r="T5" s="4032"/>
      <c r="U5" s="4033"/>
      <c r="V5" s="4029"/>
      <c r="W5" s="4029"/>
      <c r="X5" s="3646"/>
      <c r="Y5" s="4032"/>
      <c r="Z5" s="4033"/>
      <c r="AA5" s="4027"/>
      <c r="AB5" s="4029"/>
      <c r="AC5" s="4027"/>
    </row>
    <row r="6" spans="1:29" ht="15.75" thickBot="1">
      <c r="A6" s="3756"/>
      <c r="B6" s="3755"/>
      <c r="C6" s="4046" t="s">
        <v>3535</v>
      </c>
      <c r="D6" s="4047"/>
      <c r="E6" s="4048" t="s">
        <v>3535</v>
      </c>
      <c r="F6" s="4049"/>
      <c r="G6" s="4046" t="s">
        <v>3535</v>
      </c>
      <c r="H6" s="4047"/>
      <c r="I6" s="4046" t="s">
        <v>3535</v>
      </c>
      <c r="J6" s="4047"/>
      <c r="K6" s="3754" t="s">
        <v>3534</v>
      </c>
      <c r="L6" s="3753"/>
      <c r="M6" s="3619"/>
      <c r="N6" s="3619"/>
      <c r="O6" s="3619"/>
      <c r="P6" s="4042"/>
      <c r="Q6" s="4043"/>
      <c r="R6" s="4032"/>
      <c r="S6" s="4033"/>
      <c r="T6" s="4056"/>
      <c r="U6" s="4057"/>
      <c r="V6" s="4029"/>
      <c r="W6" s="4029"/>
      <c r="X6" s="3646"/>
      <c r="Y6" s="4056"/>
      <c r="Z6" s="4057"/>
      <c r="AA6" s="4028"/>
      <c r="AB6" s="4029"/>
      <c r="AC6" s="4028"/>
    </row>
    <row r="7" spans="1:29" s="3542" customFormat="1" ht="15.75" thickBot="1">
      <c r="A7" s="3750" t="s">
        <v>3509</v>
      </c>
      <c r="B7" s="3749"/>
      <c r="C7" s="3752">
        <f>'[1]数据-取费表'!B2</f>
        <v>45252</v>
      </c>
      <c r="D7" s="3746">
        <v>100</v>
      </c>
      <c r="E7" s="3751">
        <v>44652</v>
      </c>
      <c r="F7" s="3748">
        <f>SUMIF(58:58,YEAR(E7)&amp;"-"&amp;MONTH(E7),59:59)</f>
        <v>99</v>
      </c>
      <c r="G7" s="3751">
        <v>44713</v>
      </c>
      <c r="H7" s="3746">
        <f>SUMIF(58:58,YEAR(G7)&amp;"-"&amp;MONTH(G7),59:59)</f>
        <v>99</v>
      </c>
      <c r="I7" s="3751">
        <v>44287</v>
      </c>
      <c r="J7" s="3746">
        <f>SUMIF(58:58,YEAR(I7)&amp;"-"&amp;MONTH(I7),59:59)</f>
        <v>98</v>
      </c>
      <c r="K7" s="3737"/>
      <c r="L7" s="3690"/>
      <c r="M7" s="3689"/>
      <c r="N7" s="3689"/>
      <c r="O7" s="3689"/>
      <c r="P7" s="4053" t="s">
        <v>3533</v>
      </c>
      <c r="Q7" s="4054"/>
      <c r="R7" s="3665" t="s">
        <v>3517</v>
      </c>
      <c r="S7" s="3664">
        <f t="shared" ref="S7:S15" si="0">F7</f>
        <v>99</v>
      </c>
      <c r="T7" s="3665" t="s">
        <v>3517</v>
      </c>
      <c r="U7" s="3664">
        <f t="shared" ref="U7:U15" si="1">H7</f>
        <v>99</v>
      </c>
      <c r="V7" s="3665" t="s">
        <v>3517</v>
      </c>
      <c r="W7" s="3664">
        <f t="shared" ref="W7:W15" si="2">J7</f>
        <v>98</v>
      </c>
      <c r="X7" s="3663"/>
      <c r="Y7" s="4053" t="s">
        <v>3533</v>
      </c>
      <c r="Z7" s="4055"/>
      <c r="AA7" s="3661">
        <f t="shared" ref="AA7:AA15" si="3">D7/F7</f>
        <v>1.0101010101010102</v>
      </c>
      <c r="AB7" s="3661">
        <f t="shared" ref="AB7:AB15" si="4">D7/H7</f>
        <v>1.0101010101010102</v>
      </c>
      <c r="AC7" s="3661">
        <f t="shared" ref="AC7:AC15" si="5">D7/J7</f>
        <v>1.0204081632653061</v>
      </c>
    </row>
    <row r="8" spans="1:29" s="3542" customFormat="1" ht="15.75" thickBot="1">
      <c r="A8" s="3750" t="s">
        <v>3507</v>
      </c>
      <c r="B8" s="3749"/>
      <c r="C8" s="3747" t="s">
        <v>3532</v>
      </c>
      <c r="D8" s="3746">
        <v>100</v>
      </c>
      <c r="E8" s="3747" t="s">
        <v>3532</v>
      </c>
      <c r="F8" s="3748">
        <f>SUMIF(61:61,E8,62:62)-SUMIF(61:61,C8,62:62)+100</f>
        <v>100</v>
      </c>
      <c r="G8" s="3747" t="s">
        <v>3532</v>
      </c>
      <c r="H8" s="3746">
        <f>SUMIF(61:61,G8,62:62)-SUMIF(61:61,C8,62:62)+100</f>
        <v>100</v>
      </c>
      <c r="I8" s="3747" t="s">
        <v>3532</v>
      </c>
      <c r="J8" s="3746">
        <f>SUMIF(61:61,I8,62:62)-SUMIF(61:61,C8,62:62)+100</f>
        <v>100</v>
      </c>
      <c r="K8" s="3737"/>
      <c r="L8" s="3690"/>
      <c r="M8" s="3689"/>
      <c r="N8" s="3689"/>
      <c r="O8" s="3689"/>
      <c r="P8" s="4053" t="s">
        <v>3531</v>
      </c>
      <c r="Q8" s="4055"/>
      <c r="R8" s="3665" t="s">
        <v>3517</v>
      </c>
      <c r="S8" s="3664">
        <f t="shared" si="0"/>
        <v>100</v>
      </c>
      <c r="T8" s="3665" t="s">
        <v>3517</v>
      </c>
      <c r="U8" s="3664">
        <f t="shared" si="1"/>
        <v>100</v>
      </c>
      <c r="V8" s="3665" t="s">
        <v>3517</v>
      </c>
      <c r="W8" s="3664">
        <f t="shared" si="2"/>
        <v>100</v>
      </c>
      <c r="X8" s="3663"/>
      <c r="Y8" s="4053" t="s">
        <v>3531</v>
      </c>
      <c r="Z8" s="4055"/>
      <c r="AA8" s="3661">
        <f t="shared" si="3"/>
        <v>1</v>
      </c>
      <c r="AB8" s="3661">
        <f t="shared" si="4"/>
        <v>1</v>
      </c>
      <c r="AC8" s="3661">
        <f t="shared" si="5"/>
        <v>1</v>
      </c>
    </row>
    <row r="9" spans="1:29" s="3542" customFormat="1">
      <c r="A9" s="3745" t="s">
        <v>3530</v>
      </c>
      <c r="B9" s="3697" t="s">
        <v>3505</v>
      </c>
      <c r="C9" s="3744" t="s">
        <v>673</v>
      </c>
      <c r="D9" s="3741">
        <v>100</v>
      </c>
      <c r="E9" s="3742" t="s">
        <v>673</v>
      </c>
      <c r="F9" s="3743">
        <f>SUMIF(63:63,E9,64:64)-SUMIF(63:63,C9,64:64)+100</f>
        <v>100</v>
      </c>
      <c r="G9" s="3742" t="s">
        <v>673</v>
      </c>
      <c r="H9" s="3741">
        <f>SUMIF(63:63,G9,64:64)-SUMIF(63:63,C9,64:64)+100</f>
        <v>100</v>
      </c>
      <c r="I9" s="3742" t="s">
        <v>673</v>
      </c>
      <c r="J9" s="3741">
        <f>SUMIF(63:63,I9,64:64)-SUMIF(63:63,C9,64:64)+100</f>
        <v>100</v>
      </c>
      <c r="K9" s="3737"/>
      <c r="L9" s="3690"/>
      <c r="M9" s="3689"/>
      <c r="N9" s="3689"/>
      <c r="O9" s="3689"/>
      <c r="P9" s="4058" t="s">
        <v>3529</v>
      </c>
      <c r="Q9" s="3666" t="str">
        <f t="shared" ref="Q9:Q15" si="6">B9</f>
        <v>用途</v>
      </c>
      <c r="R9" s="3665" t="s">
        <v>3517</v>
      </c>
      <c r="S9" s="3664">
        <f t="shared" si="0"/>
        <v>100</v>
      </c>
      <c r="T9" s="3665" t="s">
        <v>3517</v>
      </c>
      <c r="U9" s="3664">
        <f t="shared" si="1"/>
        <v>100</v>
      </c>
      <c r="V9" s="3665" t="s">
        <v>3517</v>
      </c>
      <c r="W9" s="3664">
        <f t="shared" si="2"/>
        <v>100</v>
      </c>
      <c r="X9" s="3663"/>
      <c r="Y9" s="4059" t="s">
        <v>3528</v>
      </c>
      <c r="Z9" s="3662" t="str">
        <f t="shared" ref="Z9:Z15" si="7">Q9</f>
        <v>用途</v>
      </c>
      <c r="AA9" s="3661">
        <f t="shared" si="3"/>
        <v>1</v>
      </c>
      <c r="AB9" s="3661">
        <f t="shared" si="4"/>
        <v>1</v>
      </c>
      <c r="AC9" s="3661">
        <f t="shared" si="5"/>
        <v>1</v>
      </c>
    </row>
    <row r="10" spans="1:29" s="3734" customFormat="1" ht="27">
      <c r="A10" s="3740"/>
      <c r="B10" s="3676" t="s">
        <v>3504</v>
      </c>
      <c r="C10" s="3739" t="s">
        <v>3503</v>
      </c>
      <c r="D10" s="3668">
        <v>100</v>
      </c>
      <c r="E10" s="3738" t="s">
        <v>3502</v>
      </c>
      <c r="F10" s="3669">
        <f>SUMIF(65:65,E10,66:66)-SUMIF(65:65,C10,66:66)+100</f>
        <v>97</v>
      </c>
      <c r="G10" s="3738" t="s">
        <v>3502</v>
      </c>
      <c r="H10" s="3668">
        <f>SUMIF(65:65,G10,66:66)-SUMIF(65:65,C10,66:66)+100</f>
        <v>97</v>
      </c>
      <c r="I10" s="3571" t="s">
        <v>3501</v>
      </c>
      <c r="J10" s="3668">
        <f>SUMIF(65:65,I10,66:66)-SUMIF(65:65,C10,66:66)+100</f>
        <v>94</v>
      </c>
      <c r="K10" s="3737"/>
      <c r="L10" s="3736"/>
      <c r="M10" s="3735"/>
      <c r="N10" s="3735"/>
      <c r="O10" s="3735"/>
      <c r="P10" s="4058"/>
      <c r="Q10" s="3666" t="str">
        <f t="shared" si="6"/>
        <v>土地使用年限（年）</v>
      </c>
      <c r="R10" s="3665" t="s">
        <v>3517</v>
      </c>
      <c r="S10" s="3664">
        <f t="shared" si="0"/>
        <v>97</v>
      </c>
      <c r="T10" s="3665" t="s">
        <v>3517</v>
      </c>
      <c r="U10" s="3664">
        <f t="shared" si="1"/>
        <v>97</v>
      </c>
      <c r="V10" s="3665" t="s">
        <v>3517</v>
      </c>
      <c r="W10" s="3664">
        <f t="shared" si="2"/>
        <v>94</v>
      </c>
      <c r="X10" s="3663"/>
      <c r="Y10" s="4059"/>
      <c r="Z10" s="3662" t="str">
        <f t="shared" si="7"/>
        <v>土地使用年限（年）</v>
      </c>
      <c r="AA10" s="3661">
        <f t="shared" si="3"/>
        <v>1.0309278350515463</v>
      </c>
      <c r="AB10" s="3661">
        <f t="shared" si="4"/>
        <v>1.0309278350515463</v>
      </c>
      <c r="AC10" s="3661">
        <f t="shared" si="5"/>
        <v>1.0638297872340425</v>
      </c>
    </row>
    <row r="11" spans="1:29" ht="15">
      <c r="A11" s="3700"/>
      <c r="B11" s="3676" t="s">
        <v>3500</v>
      </c>
      <c r="C11" s="3693"/>
      <c r="D11" s="3668">
        <v>100</v>
      </c>
      <c r="E11" s="3694"/>
      <c r="F11" s="3669">
        <f>LOOKUP(E11,68:68,69:69)-LOOKUP(C11,68:68,69:69)+100</f>
        <v>100</v>
      </c>
      <c r="G11" s="3693"/>
      <c r="H11" s="3668">
        <f>LOOKUP(G11,68:68,69:69)-LOOKUP(C11,68:68,69:69)+100</f>
        <v>100</v>
      </c>
      <c r="I11" s="3693"/>
      <c r="J11" s="3668">
        <f>LOOKUP(I11,68:68,69:69)-LOOKUP(C11,68:68,69:69)+100</f>
        <v>100</v>
      </c>
      <c r="K11" s="3674"/>
      <c r="L11" s="3683"/>
      <c r="M11" s="3619"/>
      <c r="N11" s="3619"/>
      <c r="O11" s="3619"/>
      <c r="P11" s="4058"/>
      <c r="Q11" s="3666" t="str">
        <f t="shared" si="6"/>
        <v>容积率</v>
      </c>
      <c r="R11" s="3665" t="s">
        <v>3517</v>
      </c>
      <c r="S11" s="3664">
        <f t="shared" si="0"/>
        <v>100</v>
      </c>
      <c r="T11" s="3665" t="s">
        <v>3517</v>
      </c>
      <c r="U11" s="3664">
        <f t="shared" si="1"/>
        <v>100</v>
      </c>
      <c r="V11" s="3665" t="s">
        <v>3517</v>
      </c>
      <c r="W11" s="3664">
        <f t="shared" si="2"/>
        <v>100</v>
      </c>
      <c r="X11" s="3663"/>
      <c r="Y11" s="4059"/>
      <c r="Z11" s="3662" t="str">
        <f t="shared" si="7"/>
        <v>容积率</v>
      </c>
      <c r="AA11" s="3661">
        <f t="shared" si="3"/>
        <v>1</v>
      </c>
      <c r="AB11" s="3661">
        <f t="shared" si="4"/>
        <v>1</v>
      </c>
      <c r="AC11" s="3661">
        <f t="shared" si="5"/>
        <v>1</v>
      </c>
    </row>
    <row r="12" spans="1:29" s="3542" customFormat="1" ht="15">
      <c r="A12" s="3705"/>
      <c r="B12" s="3731">
        <v>111</v>
      </c>
      <c r="C12" s="3733"/>
      <c r="D12" s="3732">
        <v>100</v>
      </c>
      <c r="E12" s="3652"/>
      <c r="F12" s="3669">
        <f>SUMIF(70:70,E12,71:71)-SUMIF(70:70,C12,71:71)+100</f>
        <v>100</v>
      </c>
      <c r="G12" s="3652"/>
      <c r="H12" s="3668">
        <f>SUMIF(70:70,G12,71:71)-SUMIF(70:70,C12,71:71)+100</f>
        <v>100</v>
      </c>
      <c r="I12" s="3652"/>
      <c r="J12" s="3668">
        <f>SUMIF(70:70,I12,71:71)-SUMIF(70:70,C12,71:71)+100</f>
        <v>100</v>
      </c>
      <c r="K12" s="3650"/>
      <c r="L12" s="3690"/>
      <c r="M12" s="3689"/>
      <c r="N12" s="3689"/>
      <c r="O12" s="3689"/>
      <c r="P12" s="4058"/>
      <c r="Q12" s="3666">
        <f t="shared" si="6"/>
        <v>111</v>
      </c>
      <c r="R12" s="3665" t="s">
        <v>3517</v>
      </c>
      <c r="S12" s="3664">
        <f t="shared" si="0"/>
        <v>100</v>
      </c>
      <c r="T12" s="3665" t="s">
        <v>3517</v>
      </c>
      <c r="U12" s="3664">
        <f t="shared" si="1"/>
        <v>100</v>
      </c>
      <c r="V12" s="3665" t="s">
        <v>3517</v>
      </c>
      <c r="W12" s="3664">
        <f t="shared" si="2"/>
        <v>100</v>
      </c>
      <c r="X12" s="3663"/>
      <c r="Y12" s="4059"/>
      <c r="Z12" s="3662">
        <f t="shared" si="7"/>
        <v>111</v>
      </c>
      <c r="AA12" s="3661">
        <f t="shared" si="3"/>
        <v>1</v>
      </c>
      <c r="AB12" s="3661">
        <f t="shared" si="4"/>
        <v>1</v>
      </c>
      <c r="AC12" s="3661">
        <f t="shared" si="5"/>
        <v>1</v>
      </c>
    </row>
    <row r="13" spans="1:29" ht="15">
      <c r="A13" s="3700"/>
      <c r="B13" s="3731">
        <v>111</v>
      </c>
      <c r="C13" s="3652"/>
      <c r="D13" s="3657">
        <v>100</v>
      </c>
      <c r="E13" s="3652"/>
      <c r="F13" s="3669">
        <f>SUMIF(72:72,E13,73:73)-SUMIF(72:72,C13,73:73)+100</f>
        <v>100</v>
      </c>
      <c r="G13" s="3652"/>
      <c r="H13" s="3657">
        <f>SUMIF(72:72,G13,73:73)-SUMIF(72:72,C13,73:73)+100</f>
        <v>100</v>
      </c>
      <c r="I13" s="3652"/>
      <c r="J13" s="3657">
        <f>SUMIF(72:72,I13,73:73)-SUMIF(72:72,C13,73:73)+100</f>
        <v>100</v>
      </c>
      <c r="K13" s="3650"/>
      <c r="L13" s="3673"/>
      <c r="M13" s="3619"/>
      <c r="N13" s="3619"/>
      <c r="O13" s="3619"/>
      <c r="P13" s="4058"/>
      <c r="Q13" s="3666">
        <f t="shared" si="6"/>
        <v>111</v>
      </c>
      <c r="R13" s="3665" t="s">
        <v>3517</v>
      </c>
      <c r="S13" s="3664">
        <f t="shared" si="0"/>
        <v>100</v>
      </c>
      <c r="T13" s="3665" t="s">
        <v>3517</v>
      </c>
      <c r="U13" s="3664">
        <f t="shared" si="1"/>
        <v>100</v>
      </c>
      <c r="V13" s="3665" t="s">
        <v>3517</v>
      </c>
      <c r="W13" s="3664">
        <f t="shared" si="2"/>
        <v>100</v>
      </c>
      <c r="X13" s="3663"/>
      <c r="Y13" s="4059"/>
      <c r="Z13" s="3662">
        <f t="shared" si="7"/>
        <v>111</v>
      </c>
      <c r="AA13" s="3661">
        <f t="shared" si="3"/>
        <v>1</v>
      </c>
      <c r="AB13" s="3661">
        <f t="shared" si="4"/>
        <v>1</v>
      </c>
      <c r="AC13" s="3661">
        <f t="shared" si="5"/>
        <v>1</v>
      </c>
    </row>
    <row r="14" spans="1:29" ht="15.75" thickBot="1">
      <c r="A14" s="3699"/>
      <c r="B14" s="3655">
        <v>111</v>
      </c>
      <c r="C14" s="3654"/>
      <c r="D14" s="3651">
        <v>100</v>
      </c>
      <c r="E14" s="3652"/>
      <c r="F14" s="3653">
        <f>SUMIF(74:74,E14,75:75)-SUMIF(74:74,C14,75:75)+100</f>
        <v>100</v>
      </c>
      <c r="G14" s="3652"/>
      <c r="H14" s="3651">
        <f>SUMIF(74:74,G14,75:75)-SUMIF(74:74,C14,75:75)+100</f>
        <v>100</v>
      </c>
      <c r="I14" s="3652"/>
      <c r="J14" s="3651">
        <f>SUMIF(74:74,I14,75:75)-SUMIF(74:74,C14,75:75)+100</f>
        <v>100</v>
      </c>
      <c r="K14" s="3650"/>
      <c r="L14" s="3673"/>
      <c r="M14" s="3619"/>
      <c r="N14" s="3619"/>
      <c r="O14" s="3619"/>
      <c r="P14" s="4058"/>
      <c r="Q14" s="3666">
        <f t="shared" si="6"/>
        <v>111</v>
      </c>
      <c r="R14" s="3665" t="s">
        <v>3517</v>
      </c>
      <c r="S14" s="3664">
        <f t="shared" si="0"/>
        <v>100</v>
      </c>
      <c r="T14" s="3665" t="s">
        <v>3517</v>
      </c>
      <c r="U14" s="3664">
        <f t="shared" si="1"/>
        <v>100</v>
      </c>
      <c r="V14" s="3665" t="s">
        <v>3517</v>
      </c>
      <c r="W14" s="3664">
        <f t="shared" si="2"/>
        <v>100</v>
      </c>
      <c r="X14" s="3663"/>
      <c r="Y14" s="4059"/>
      <c r="Z14" s="3662">
        <f t="shared" si="7"/>
        <v>111</v>
      </c>
      <c r="AA14" s="3661">
        <f t="shared" si="3"/>
        <v>1</v>
      </c>
      <c r="AB14" s="3661">
        <f t="shared" si="4"/>
        <v>1</v>
      </c>
      <c r="AC14" s="3661">
        <f t="shared" si="5"/>
        <v>1</v>
      </c>
    </row>
    <row r="15" spans="1:29" ht="71.25">
      <c r="A15" s="3698" t="s">
        <v>3499</v>
      </c>
      <c r="B15" s="3730" t="s">
        <v>3527</v>
      </c>
      <c r="C15" s="3729" t="str">
        <f>[1]估价对象房地状况!C4</f>
        <v>估价对象位于XX商圈，周边商业氛围成熟，人流量大，商业繁华度好</v>
      </c>
      <c r="D15" s="3725">
        <v>100</v>
      </c>
      <c r="E15" s="3726"/>
      <c r="F15" s="3728">
        <f>SUMIF(76:76,E16,77:77)-SUMIF(76:76,C16,77:77)+100</f>
        <v>106</v>
      </c>
      <c r="G15" s="3727"/>
      <c r="H15" s="3725">
        <f>SUMIF(76:76,G16,77:77)-SUMIF(76:76,C16,77:77)+100</f>
        <v>106</v>
      </c>
      <c r="I15" s="3726"/>
      <c r="J15" s="3725">
        <f>SUMIF(76:76,I16,77:77)-SUMIF(76:76,C16,77:77)+100</f>
        <v>106</v>
      </c>
      <c r="K15" s="3710">
        <v>3</v>
      </c>
      <c r="L15" s="3673"/>
      <c r="M15" s="3619"/>
      <c r="N15" s="3619"/>
      <c r="O15" s="3619"/>
      <c r="P15" s="4060" t="s">
        <v>3526</v>
      </c>
      <c r="Q15" s="3649" t="str">
        <f t="shared" si="6"/>
        <v>商业繁华度</v>
      </c>
      <c r="R15" s="3648" t="s">
        <v>3517</v>
      </c>
      <c r="S15" s="3647">
        <f t="shared" si="0"/>
        <v>106</v>
      </c>
      <c r="T15" s="3648" t="s">
        <v>3517</v>
      </c>
      <c r="U15" s="3647">
        <f t="shared" si="1"/>
        <v>106</v>
      </c>
      <c r="V15" s="3648" t="s">
        <v>3517</v>
      </c>
      <c r="W15" s="3647">
        <f t="shared" si="2"/>
        <v>106</v>
      </c>
      <c r="X15" s="3646"/>
      <c r="Y15" s="4062" t="s">
        <v>3526</v>
      </c>
      <c r="Z15" s="3645" t="str">
        <f t="shared" si="7"/>
        <v>商业繁华度</v>
      </c>
      <c r="AA15" s="3644">
        <f t="shared" si="3"/>
        <v>0.94339622641509435</v>
      </c>
      <c r="AB15" s="3644">
        <f t="shared" si="4"/>
        <v>0.94339622641509435</v>
      </c>
      <c r="AC15" s="3644">
        <f t="shared" si="5"/>
        <v>0.94339622641509435</v>
      </c>
    </row>
    <row r="16" spans="1:29" ht="15">
      <c r="A16" s="3700"/>
      <c r="B16" s="3724"/>
      <c r="C16" s="3707" t="s">
        <v>3430</v>
      </c>
      <c r="D16" s="3569"/>
      <c r="E16" s="3707" t="s">
        <v>3435</v>
      </c>
      <c r="F16" s="3708"/>
      <c r="G16" s="3707" t="s">
        <v>3435</v>
      </c>
      <c r="H16" s="3546"/>
      <c r="I16" s="3707" t="s">
        <v>3435</v>
      </c>
      <c r="J16" s="3569"/>
      <c r="K16" s="3706"/>
      <c r="L16" s="3673"/>
      <c r="M16" s="3619"/>
      <c r="N16" s="3619"/>
      <c r="O16" s="3619"/>
      <c r="P16" s="4061"/>
      <c r="Q16" s="3649"/>
      <c r="R16" s="3648"/>
      <c r="S16" s="3647"/>
      <c r="T16" s="3648"/>
      <c r="U16" s="3647"/>
      <c r="V16" s="3648"/>
      <c r="W16" s="3647"/>
      <c r="X16" s="3646"/>
      <c r="Y16" s="4063"/>
      <c r="Z16" s="3645"/>
      <c r="AA16" s="3644">
        <v>1</v>
      </c>
      <c r="AB16" s="3644">
        <v>1</v>
      </c>
      <c r="AC16" s="3644">
        <v>1</v>
      </c>
    </row>
    <row r="17" spans="1:29" ht="85.5">
      <c r="A17" s="3700"/>
      <c r="B17" s="3704" t="s">
        <v>1259</v>
      </c>
      <c r="C17" s="3722" t="str">
        <f>[1]估价对象房地状况!C6</f>
        <v>估价对象周边道路状况、公共交通通达情况、停车便捷程度，综合评价交通便捷度较好</v>
      </c>
      <c r="D17" s="3546">
        <v>100</v>
      </c>
      <c r="E17" s="3711"/>
      <c r="F17" s="3713">
        <f>SUMIF(78:78,E18,79:79)-SUMIF(78:78,C18,79:79)+100</f>
        <v>103</v>
      </c>
      <c r="G17" s="3712"/>
      <c r="H17" s="3721">
        <f>SUMIF(78:78,G18,79:79)-SUMIF(78:78,C18,79:79)+100</f>
        <v>103</v>
      </c>
      <c r="I17" s="3711"/>
      <c r="J17" s="3721">
        <f>SUMIF(78:78,I18,79:79)-SUMIF(78:78,C18,79:79)+100</f>
        <v>103</v>
      </c>
      <c r="K17" s="3710">
        <v>3</v>
      </c>
      <c r="L17" s="3673"/>
      <c r="M17" s="3619"/>
      <c r="N17" s="3619"/>
      <c r="O17" s="3619"/>
      <c r="P17" s="4061"/>
      <c r="Q17" s="3649" t="str">
        <f>B17</f>
        <v>交通便捷度</v>
      </c>
      <c r="R17" s="3648" t="s">
        <v>3517</v>
      </c>
      <c r="S17" s="3647">
        <f>F17</f>
        <v>103</v>
      </c>
      <c r="T17" s="3648" t="s">
        <v>3517</v>
      </c>
      <c r="U17" s="3647">
        <f>H17</f>
        <v>103</v>
      </c>
      <c r="V17" s="3648" t="s">
        <v>3517</v>
      </c>
      <c r="W17" s="3647">
        <f>J17</f>
        <v>103</v>
      </c>
      <c r="X17" s="3646"/>
      <c r="Y17" s="4063"/>
      <c r="Z17" s="3645" t="str">
        <f>Q17</f>
        <v>交通便捷度</v>
      </c>
      <c r="AA17" s="3644">
        <f>D17/F17</f>
        <v>0.970873786407767</v>
      </c>
      <c r="AB17" s="3644">
        <f>D17/H17</f>
        <v>0.970873786407767</v>
      </c>
      <c r="AC17" s="3644">
        <f>D17/J17</f>
        <v>0.970873786407767</v>
      </c>
    </row>
    <row r="18" spans="1:29" ht="15">
      <c r="A18" s="3700"/>
      <c r="B18" s="3709"/>
      <c r="C18" s="3707" t="s">
        <v>3430</v>
      </c>
      <c r="D18" s="3546"/>
      <c r="E18" s="3707" t="s">
        <v>3429</v>
      </c>
      <c r="F18" s="3713"/>
      <c r="G18" s="3707" t="s">
        <v>3429</v>
      </c>
      <c r="H18" s="3569"/>
      <c r="I18" s="3707" t="s">
        <v>3429</v>
      </c>
      <c r="J18" s="3569"/>
      <c r="K18" s="3706"/>
      <c r="L18" s="3673"/>
      <c r="M18" s="3619"/>
      <c r="N18" s="3619"/>
      <c r="O18" s="3619"/>
      <c r="P18" s="4061"/>
      <c r="Q18" s="3649"/>
      <c r="R18" s="3648"/>
      <c r="S18" s="3647"/>
      <c r="T18" s="3648"/>
      <c r="U18" s="3647"/>
      <c r="V18" s="3648"/>
      <c r="W18" s="3647"/>
      <c r="X18" s="3646"/>
      <c r="Y18" s="4063"/>
      <c r="Z18" s="3645"/>
      <c r="AA18" s="3644">
        <v>1</v>
      </c>
      <c r="AB18" s="3644">
        <v>1</v>
      </c>
      <c r="AC18" s="3644">
        <v>1</v>
      </c>
    </row>
    <row r="19" spans="1:29" ht="42.75">
      <c r="A19" s="3700"/>
      <c r="B19" s="3704" t="s">
        <v>3498</v>
      </c>
      <c r="C19" s="3722" t="str">
        <f>[1]估价对象房地状况!C7</f>
        <v>估价对象所在区域公共配套设施齐备情况</v>
      </c>
      <c r="D19" s="3721">
        <v>100</v>
      </c>
      <c r="E19" s="3718"/>
      <c r="F19" s="3720">
        <f>SUMIF(80:80,E20,81:81)-SUMIF(80:80,C20,81:81)+100</f>
        <v>103</v>
      </c>
      <c r="G19" s="3719"/>
      <c r="H19" s="3546">
        <f>SUMIF(80:80,G20,81:81)-SUMIF(80:80,C20,81:81)+100</f>
        <v>103</v>
      </c>
      <c r="I19" s="3718"/>
      <c r="J19" s="3546">
        <f>SUMIF(80:80,I20,81:81)-SUMIF(80:80,C20,81:81)+100</f>
        <v>103</v>
      </c>
      <c r="K19" s="3710">
        <v>3</v>
      </c>
      <c r="L19" s="3673"/>
      <c r="M19" s="3619"/>
      <c r="N19" s="3619"/>
      <c r="O19" s="3619"/>
      <c r="P19" s="4061"/>
      <c r="Q19" s="3649" t="str">
        <f>B19</f>
        <v>公共配套设施</v>
      </c>
      <c r="R19" s="3648" t="s">
        <v>3517</v>
      </c>
      <c r="S19" s="3647">
        <f>F19</f>
        <v>103</v>
      </c>
      <c r="T19" s="3648" t="s">
        <v>3517</v>
      </c>
      <c r="U19" s="3647">
        <f>H19</f>
        <v>103</v>
      </c>
      <c r="V19" s="3648" t="s">
        <v>3517</v>
      </c>
      <c r="W19" s="3647">
        <f>J19</f>
        <v>103</v>
      </c>
      <c r="X19" s="3646"/>
      <c r="Y19" s="4063"/>
      <c r="Z19" s="3645" t="str">
        <f>Q19</f>
        <v>公共配套设施</v>
      </c>
      <c r="AA19" s="3644">
        <f>D19/F19</f>
        <v>0.970873786407767</v>
      </c>
      <c r="AB19" s="3644">
        <f>D19/H19</f>
        <v>0.970873786407767</v>
      </c>
      <c r="AC19" s="3644">
        <f>D19/J19</f>
        <v>0.970873786407767</v>
      </c>
    </row>
    <row r="20" spans="1:29" ht="15">
      <c r="A20" s="3700"/>
      <c r="B20" s="3709"/>
      <c r="C20" s="3723" t="s">
        <v>3429</v>
      </c>
      <c r="D20" s="3569"/>
      <c r="E20" s="3723" t="s">
        <v>3435</v>
      </c>
      <c r="F20" s="3708"/>
      <c r="G20" s="3723" t="s">
        <v>3435</v>
      </c>
      <c r="H20" s="3569"/>
      <c r="I20" s="3723" t="s">
        <v>3435</v>
      </c>
      <c r="J20" s="3569"/>
      <c r="K20" s="3706"/>
      <c r="L20" s="3673"/>
      <c r="M20" s="3619"/>
      <c r="N20" s="3619"/>
      <c r="O20" s="3619"/>
      <c r="P20" s="4061"/>
      <c r="Q20" s="3649"/>
      <c r="R20" s="3648"/>
      <c r="S20" s="3647"/>
      <c r="T20" s="3648"/>
      <c r="U20" s="3647"/>
      <c r="V20" s="3648"/>
      <c r="W20" s="3647"/>
      <c r="X20" s="3646"/>
      <c r="Y20" s="4063"/>
      <c r="Z20" s="3645"/>
      <c r="AA20" s="3644">
        <v>1</v>
      </c>
      <c r="AB20" s="3644">
        <v>1</v>
      </c>
      <c r="AC20" s="3644">
        <v>1</v>
      </c>
    </row>
    <row r="21" spans="1:29" ht="28.5">
      <c r="A21" s="3700"/>
      <c r="B21" s="3717" t="s">
        <v>3497</v>
      </c>
      <c r="C21" s="3722" t="str">
        <f>[1]估价对象房地状况!C8</f>
        <v>估价对象所在区域基础设施水平</v>
      </c>
      <c r="D21" s="3721">
        <v>100</v>
      </c>
      <c r="E21" s="3718"/>
      <c r="F21" s="3720">
        <f>SUMIF(82:82,E22,83:83)-SUMIF(82:82,C22,83:83)+100</f>
        <v>100</v>
      </c>
      <c r="G21" s="3719"/>
      <c r="H21" s="3546">
        <f>SUMIF(82:82,G22,83:83)-SUMIF(82:82,C22,83:83)+100</f>
        <v>100</v>
      </c>
      <c r="I21" s="3718"/>
      <c r="J21" s="3546">
        <f>SUMIF(82:82,I22,83:83)-SUMIF(82:82,C22,83:83)+100</f>
        <v>100</v>
      </c>
      <c r="K21" s="3710">
        <v>1</v>
      </c>
      <c r="L21" s="3673"/>
      <c r="M21" s="3619"/>
      <c r="N21" s="3619"/>
      <c r="O21" s="3619"/>
      <c r="P21" s="4061"/>
      <c r="Q21" s="3649" t="str">
        <f>B21</f>
        <v>基础设施水平</v>
      </c>
      <c r="R21" s="3648" t="s">
        <v>3517</v>
      </c>
      <c r="S21" s="3647">
        <f>F21</f>
        <v>100</v>
      </c>
      <c r="T21" s="3648" t="s">
        <v>3517</v>
      </c>
      <c r="U21" s="3647">
        <f>H21</f>
        <v>100</v>
      </c>
      <c r="V21" s="3648" t="s">
        <v>3517</v>
      </c>
      <c r="W21" s="3647">
        <f>J21</f>
        <v>100</v>
      </c>
      <c r="X21" s="3646"/>
      <c r="Y21" s="4063"/>
      <c r="Z21" s="3645" t="str">
        <f>Q21</f>
        <v>基础设施水平</v>
      </c>
      <c r="AA21" s="3644">
        <f>D21/F21</f>
        <v>1</v>
      </c>
      <c r="AB21" s="3644">
        <f>D21/H21</f>
        <v>1</v>
      </c>
      <c r="AC21" s="3644">
        <f>D21/J21</f>
        <v>1</v>
      </c>
    </row>
    <row r="22" spans="1:29" ht="15">
      <c r="A22" s="3700"/>
      <c r="B22" s="3717"/>
      <c r="C22" s="3716" t="s">
        <v>3525</v>
      </c>
      <c r="D22" s="3569"/>
      <c r="E22" s="3716" t="s">
        <v>3525</v>
      </c>
      <c r="F22" s="3708"/>
      <c r="G22" s="3716" t="s">
        <v>3525</v>
      </c>
      <c r="H22" s="3569"/>
      <c r="I22" s="3716" t="s">
        <v>3525</v>
      </c>
      <c r="J22" s="3569"/>
      <c r="K22" s="3715"/>
      <c r="L22" s="3673"/>
      <c r="M22" s="3619"/>
      <c r="N22" s="3619"/>
      <c r="O22" s="3619"/>
      <c r="P22" s="4061"/>
      <c r="Q22" s="3649"/>
      <c r="R22" s="3648"/>
      <c r="S22" s="3647"/>
      <c r="T22" s="3648"/>
      <c r="U22" s="3647"/>
      <c r="V22" s="3648"/>
      <c r="W22" s="3647"/>
      <c r="X22" s="3646"/>
      <c r="Y22" s="4063"/>
      <c r="Z22" s="3645"/>
      <c r="AA22" s="3644">
        <v>1</v>
      </c>
      <c r="AB22" s="3644">
        <v>1</v>
      </c>
      <c r="AC22" s="3644">
        <v>1</v>
      </c>
    </row>
    <row r="23" spans="1:29" ht="57">
      <c r="A23" s="3700"/>
      <c r="B23" s="3704" t="s">
        <v>1261</v>
      </c>
      <c r="C23" s="3714" t="str">
        <f>[1]估价对象房地状况!C9</f>
        <v>区域自然环境：；人文环境；综合评价环境状况一般</v>
      </c>
      <c r="D23" s="3546">
        <v>100</v>
      </c>
      <c r="E23" s="3711"/>
      <c r="F23" s="3713">
        <f>SUMIF(84:84,E24,85:85)-SUMIF(84:84,C24,85:85)+100</f>
        <v>100</v>
      </c>
      <c r="G23" s="3712"/>
      <c r="H23" s="3546">
        <f>SUMIF(84:84,G24,85:85)-SUMIF(84:84,C24,85:85)+100</f>
        <v>100</v>
      </c>
      <c r="I23" s="3711"/>
      <c r="J23" s="3546">
        <f>SUMIF(84:84,I24,85:85)-SUMIF(84:84,C24,85:85)+100</f>
        <v>100</v>
      </c>
      <c r="K23" s="3710">
        <v>2</v>
      </c>
      <c r="L23" s="3673"/>
      <c r="M23" s="3619"/>
      <c r="N23" s="3619"/>
      <c r="O23" s="3619"/>
      <c r="P23" s="4061"/>
      <c r="Q23" s="3649" t="str">
        <f>B23</f>
        <v>自然及人文环境</v>
      </c>
      <c r="R23" s="3648" t="s">
        <v>3517</v>
      </c>
      <c r="S23" s="3647">
        <f>F23</f>
        <v>100</v>
      </c>
      <c r="T23" s="3648" t="s">
        <v>3517</v>
      </c>
      <c r="U23" s="3647">
        <f>H23</f>
        <v>100</v>
      </c>
      <c r="V23" s="3648" t="s">
        <v>3517</v>
      </c>
      <c r="W23" s="3647">
        <f>J23</f>
        <v>100</v>
      </c>
      <c r="X23" s="3646"/>
      <c r="Y23" s="4063"/>
      <c r="Z23" s="3645" t="str">
        <f>Q23</f>
        <v>自然及人文环境</v>
      </c>
      <c r="AA23" s="3644">
        <f>D23/F23</f>
        <v>1</v>
      </c>
      <c r="AB23" s="3644">
        <f>D23/H23</f>
        <v>1</v>
      </c>
      <c r="AC23" s="3644">
        <f>D23/J23</f>
        <v>1</v>
      </c>
    </row>
    <row r="24" spans="1:29" ht="15">
      <c r="A24" s="3700"/>
      <c r="B24" s="3709"/>
      <c r="C24" s="3707" t="s">
        <v>3430</v>
      </c>
      <c r="D24" s="3569"/>
      <c r="E24" s="3707" t="s">
        <v>3430</v>
      </c>
      <c r="F24" s="3708"/>
      <c r="G24" s="3707" t="s">
        <v>3430</v>
      </c>
      <c r="H24" s="3569"/>
      <c r="I24" s="3707" t="s">
        <v>3430</v>
      </c>
      <c r="J24" s="3569"/>
      <c r="K24" s="3706"/>
      <c r="L24" s="3673"/>
      <c r="M24" s="3619"/>
      <c r="N24" s="3619"/>
      <c r="O24" s="3619"/>
      <c r="P24" s="4061"/>
      <c r="Q24" s="3649"/>
      <c r="R24" s="3648"/>
      <c r="S24" s="3647"/>
      <c r="T24" s="3648"/>
      <c r="U24" s="3647"/>
      <c r="V24" s="3648"/>
      <c r="W24" s="3647"/>
      <c r="X24" s="3646"/>
      <c r="Y24" s="4063"/>
      <c r="Z24" s="3645"/>
      <c r="AA24" s="3644">
        <v>1</v>
      </c>
      <c r="AB24" s="3644">
        <v>1</v>
      </c>
      <c r="AC24" s="3644">
        <v>1</v>
      </c>
    </row>
    <row r="25" spans="1:29" ht="15" hidden="1">
      <c r="A25" s="3700"/>
      <c r="B25" s="3676" t="s">
        <v>3491</v>
      </c>
      <c r="C25" s="3684"/>
      <c r="D25" s="3657">
        <v>100</v>
      </c>
      <c r="E25" s="3684"/>
      <c r="F25" s="3658">
        <f>SUMIF(86:86,E25,87:87)-SUMIF(86:86,C25,87:87)+100</f>
        <v>100</v>
      </c>
      <c r="G25" s="3684"/>
      <c r="H25" s="3657">
        <f>SUMIF(86:86,G25,87:87)-SUMIF(86:86,C25,87:87)+100</f>
        <v>100</v>
      </c>
      <c r="I25" s="3684"/>
      <c r="J25" s="3657">
        <f>SUMIF(86:86,I25,87:87)-SUMIF(86:86,C25,87:87)+100</f>
        <v>100</v>
      </c>
      <c r="K25" s="3674"/>
      <c r="L25" s="3673"/>
      <c r="M25" s="3619"/>
      <c r="N25" s="3619"/>
      <c r="O25" s="3619"/>
      <c r="P25" s="4061"/>
      <c r="Q25" s="3649" t="str">
        <f t="shared" ref="Q25:Q46" si="8">B25</f>
        <v>临街状况</v>
      </c>
      <c r="R25" s="3648" t="s">
        <v>3517</v>
      </c>
      <c r="S25" s="3647">
        <f t="shared" ref="S25:S46" si="9">F25</f>
        <v>100</v>
      </c>
      <c r="T25" s="3648" t="s">
        <v>3517</v>
      </c>
      <c r="U25" s="3647">
        <f t="shared" ref="U25:U46" si="10">H25</f>
        <v>100</v>
      </c>
      <c r="V25" s="3648" t="s">
        <v>3517</v>
      </c>
      <c r="W25" s="3647">
        <f t="shared" ref="W25:W46" si="11">J25</f>
        <v>100</v>
      </c>
      <c r="X25" s="3646"/>
      <c r="Y25" s="4063"/>
      <c r="Z25" s="3645" t="str">
        <f t="shared" ref="Z25:Z46" si="12">Q25</f>
        <v>临街状况</v>
      </c>
      <c r="AA25" s="3644">
        <f t="shared" ref="AA25:AA46" si="13">D25/F25</f>
        <v>1</v>
      </c>
      <c r="AB25" s="3644">
        <f t="shared" ref="AB25:AB46" si="14">D25/H25</f>
        <v>1</v>
      </c>
      <c r="AC25" s="3644">
        <f t="shared" ref="AC25:AC46" si="15">D25/J25</f>
        <v>1</v>
      </c>
    </row>
    <row r="26" spans="1:29" ht="15" hidden="1">
      <c r="A26" s="3700"/>
      <c r="B26" s="3659" t="s">
        <v>3524</v>
      </c>
      <c r="C26" s="3652"/>
      <c r="D26" s="3657">
        <v>100</v>
      </c>
      <c r="E26" s="3652"/>
      <c r="F26" s="3658">
        <f>SUMIF(88:88,E26,89:89)-SUMIF(88:88,C26,89:89)+100</f>
        <v>100</v>
      </c>
      <c r="G26" s="3652"/>
      <c r="H26" s="3657">
        <f>SUMIF(88:88,G26,89:89)-SUMIF(88:88,C26,89:89)+100</f>
        <v>100</v>
      </c>
      <c r="I26" s="3652"/>
      <c r="J26" s="3657">
        <f>SUMIF(88:88,I26,89:89)-SUMIF(88:88,C26,89:89)+100</f>
        <v>100</v>
      </c>
      <c r="K26" s="3650"/>
      <c r="L26" s="3673"/>
      <c r="M26" s="3619"/>
      <c r="N26" s="3619"/>
      <c r="O26" s="3619"/>
      <c r="P26" s="4061"/>
      <c r="Q26" s="3649" t="str">
        <f t="shared" si="8"/>
        <v>平面位置/可视性</v>
      </c>
      <c r="R26" s="3648" t="s">
        <v>3517</v>
      </c>
      <c r="S26" s="3647">
        <f t="shared" si="9"/>
        <v>100</v>
      </c>
      <c r="T26" s="3648" t="s">
        <v>3517</v>
      </c>
      <c r="U26" s="3647">
        <f t="shared" si="10"/>
        <v>100</v>
      </c>
      <c r="V26" s="3648" t="s">
        <v>3517</v>
      </c>
      <c r="W26" s="3647">
        <f t="shared" si="11"/>
        <v>100</v>
      </c>
      <c r="X26" s="3646"/>
      <c r="Y26" s="4063"/>
      <c r="Z26" s="3645" t="str">
        <f t="shared" si="12"/>
        <v>平面位置/可视性</v>
      </c>
      <c r="AA26" s="3644">
        <f t="shared" si="13"/>
        <v>1</v>
      </c>
      <c r="AB26" s="3644">
        <f t="shared" si="14"/>
        <v>1</v>
      </c>
      <c r="AC26" s="3644">
        <f t="shared" si="15"/>
        <v>1</v>
      </c>
    </row>
    <row r="27" spans="1:29" s="3542" customFormat="1" ht="15" hidden="1">
      <c r="A27" s="3705"/>
      <c r="B27" s="3704" t="s">
        <v>3523</v>
      </c>
      <c r="C27" s="3702"/>
      <c r="D27" s="3701">
        <v>100</v>
      </c>
      <c r="E27" s="3702"/>
      <c r="F27" s="3703">
        <f>SUMIF(90:90,E27,91:91)-SUMIF(90:90,C27,91:91)+100</f>
        <v>100</v>
      </c>
      <c r="G27" s="3702"/>
      <c r="H27" s="3701">
        <f>SUMIF(90:90,G27,91:91)-SUMIF(90:90,C27,91:91)+100</f>
        <v>100</v>
      </c>
      <c r="I27" s="3702"/>
      <c r="J27" s="3701">
        <f>SUMIF(90:90,I27,91:91)-SUMIF(90:90,C27,91:91)+100</f>
        <v>100</v>
      </c>
      <c r="K27" s="3674"/>
      <c r="L27" s="3690"/>
      <c r="M27" s="3689"/>
      <c r="N27" s="3689"/>
      <c r="O27" s="3689"/>
      <c r="P27" s="4061"/>
      <c r="Q27" s="3666" t="str">
        <f t="shared" si="8"/>
        <v>人流量</v>
      </c>
      <c r="R27" s="3665" t="s">
        <v>3517</v>
      </c>
      <c r="S27" s="3664">
        <f t="shared" si="9"/>
        <v>100</v>
      </c>
      <c r="T27" s="3665" t="s">
        <v>3517</v>
      </c>
      <c r="U27" s="3664">
        <f t="shared" si="10"/>
        <v>100</v>
      </c>
      <c r="V27" s="3665" t="s">
        <v>3517</v>
      </c>
      <c r="W27" s="3664">
        <f t="shared" si="11"/>
        <v>100</v>
      </c>
      <c r="X27" s="3663"/>
      <c r="Y27" s="4063"/>
      <c r="Z27" s="3662" t="str">
        <f t="shared" si="12"/>
        <v>人流量</v>
      </c>
      <c r="AA27" s="3644">
        <f t="shared" si="13"/>
        <v>1</v>
      </c>
      <c r="AB27" s="3644">
        <f t="shared" si="14"/>
        <v>1</v>
      </c>
      <c r="AC27" s="3644">
        <f t="shared" si="15"/>
        <v>1</v>
      </c>
    </row>
    <row r="28" spans="1:29" ht="15" hidden="1">
      <c r="A28" s="3700"/>
      <c r="B28" s="3676" t="s">
        <v>3522</v>
      </c>
      <c r="C28" s="3684"/>
      <c r="D28" s="3657">
        <v>100</v>
      </c>
      <c r="E28" s="3684"/>
      <c r="F28" s="3658">
        <f>SUMIF(92:92,E28,93:93)-SUMIF(92:92,C28,93:93)+100</f>
        <v>100</v>
      </c>
      <c r="G28" s="3684"/>
      <c r="H28" s="3657">
        <f>SUMIF(92:92,G28,93:93)-SUMIF(92:92,C28,93:93)+100</f>
        <v>100</v>
      </c>
      <c r="I28" s="3684"/>
      <c r="J28" s="3657">
        <f>SUMIF(92:92,I28,93:93)-SUMIF(92:92,C28,93:93)+100</f>
        <v>100</v>
      </c>
      <c r="K28" s="3650"/>
      <c r="L28" s="3673"/>
      <c r="M28" s="3619"/>
      <c r="N28" s="3619"/>
      <c r="O28" s="3619"/>
      <c r="P28" s="4061"/>
      <c r="Q28" s="3649" t="str">
        <f t="shared" si="8"/>
        <v>楼层</v>
      </c>
      <c r="R28" s="3648" t="s">
        <v>3517</v>
      </c>
      <c r="S28" s="3647">
        <f t="shared" si="9"/>
        <v>100</v>
      </c>
      <c r="T28" s="3648" t="s">
        <v>3517</v>
      </c>
      <c r="U28" s="3647">
        <f t="shared" si="10"/>
        <v>100</v>
      </c>
      <c r="V28" s="3648" t="s">
        <v>3517</v>
      </c>
      <c r="W28" s="3647">
        <f t="shared" si="11"/>
        <v>100</v>
      </c>
      <c r="X28" s="3646"/>
      <c r="Y28" s="4063"/>
      <c r="Z28" s="3645" t="str">
        <f t="shared" si="12"/>
        <v>楼层</v>
      </c>
      <c r="AA28" s="3644">
        <f t="shared" si="13"/>
        <v>1</v>
      </c>
      <c r="AB28" s="3644">
        <f t="shared" si="14"/>
        <v>1</v>
      </c>
      <c r="AC28" s="3644">
        <f t="shared" si="15"/>
        <v>1</v>
      </c>
    </row>
    <row r="29" spans="1:29" ht="15">
      <c r="A29" s="3700"/>
      <c r="B29" s="3671" t="s">
        <v>3521</v>
      </c>
      <c r="C29" s="3539" t="s">
        <v>3490</v>
      </c>
      <c r="D29" s="3657">
        <v>100</v>
      </c>
      <c r="E29" s="3539" t="s">
        <v>3490</v>
      </c>
      <c r="F29" s="3658">
        <f>SUMIF(94:94,E29,95:95)-SUMIF(94:94,C29,95:95)+100</f>
        <v>100</v>
      </c>
      <c r="G29" s="3539" t="s">
        <v>3489</v>
      </c>
      <c r="H29" s="3657">
        <f>SUMIF(94:94,G29,95:95)-SUMIF(94:94,C29,95:95)+100</f>
        <v>97</v>
      </c>
      <c r="I29" s="3539" t="s">
        <v>3489</v>
      </c>
      <c r="J29" s="3657">
        <f>SUMIF(94:94,I29,95:95)-SUMIF(94:94,C29,95:95)+100</f>
        <v>97</v>
      </c>
      <c r="K29" s="3650"/>
      <c r="L29" s="3673"/>
      <c r="M29" s="3619"/>
      <c r="N29" s="3619"/>
      <c r="O29" s="3619"/>
      <c r="P29" s="4061"/>
      <c r="Q29" s="3649" t="str">
        <f t="shared" si="8"/>
        <v>消费人群</v>
      </c>
      <c r="R29" s="3648" t="s">
        <v>3517</v>
      </c>
      <c r="S29" s="3647">
        <f t="shared" si="9"/>
        <v>100</v>
      </c>
      <c r="T29" s="3648" t="s">
        <v>3517</v>
      </c>
      <c r="U29" s="3647">
        <f t="shared" si="10"/>
        <v>97</v>
      </c>
      <c r="V29" s="3648" t="s">
        <v>3517</v>
      </c>
      <c r="W29" s="3647">
        <f t="shared" si="11"/>
        <v>97</v>
      </c>
      <c r="X29" s="3646"/>
      <c r="Y29" s="4063"/>
      <c r="Z29" s="3645" t="str">
        <f t="shared" si="12"/>
        <v>消费人群</v>
      </c>
      <c r="AA29" s="3644">
        <f t="shared" si="13"/>
        <v>1</v>
      </c>
      <c r="AB29" s="3644">
        <f t="shared" si="14"/>
        <v>1.0309278350515463</v>
      </c>
      <c r="AC29" s="3644">
        <f t="shared" si="15"/>
        <v>1.0309278350515463</v>
      </c>
    </row>
    <row r="30" spans="1:29" ht="15">
      <c r="A30" s="3700"/>
      <c r="B30" s="3659">
        <v>111</v>
      </c>
      <c r="C30" s="3652"/>
      <c r="D30" s="3657">
        <v>100</v>
      </c>
      <c r="E30" s="3652"/>
      <c r="F30" s="3658">
        <f>SUMIF(96:96,E30,97:97)-SUMIF(96:96,C30,97:97)+100</f>
        <v>100</v>
      </c>
      <c r="G30" s="3652"/>
      <c r="H30" s="3657">
        <f>SUMIF(96:96,G30,97:97)-SUMIF(96:96,C30,97:97)+100</f>
        <v>100</v>
      </c>
      <c r="I30" s="3539"/>
      <c r="J30" s="3657">
        <f>SUMIF(96:96,I30,97:97)-SUMIF(96:96,C30,97:97)+100</f>
        <v>100</v>
      </c>
      <c r="K30" s="3650"/>
      <c r="L30" s="3673"/>
      <c r="M30" s="3619"/>
      <c r="N30" s="3619"/>
      <c r="O30" s="3619"/>
      <c r="P30" s="4061"/>
      <c r="Q30" s="3649">
        <f t="shared" si="8"/>
        <v>111</v>
      </c>
      <c r="R30" s="3648" t="s">
        <v>3517</v>
      </c>
      <c r="S30" s="3647">
        <f t="shared" si="9"/>
        <v>100</v>
      </c>
      <c r="T30" s="3648" t="s">
        <v>3517</v>
      </c>
      <c r="U30" s="3647">
        <f t="shared" si="10"/>
        <v>100</v>
      </c>
      <c r="V30" s="3648" t="s">
        <v>3517</v>
      </c>
      <c r="W30" s="3647">
        <f t="shared" si="11"/>
        <v>100</v>
      </c>
      <c r="X30" s="3646"/>
      <c r="Y30" s="4063"/>
      <c r="Z30" s="3645">
        <f t="shared" si="12"/>
        <v>111</v>
      </c>
      <c r="AA30" s="3644">
        <f t="shared" si="13"/>
        <v>1</v>
      </c>
      <c r="AB30" s="3644">
        <f t="shared" si="14"/>
        <v>1</v>
      </c>
      <c r="AC30" s="3644">
        <f t="shared" si="15"/>
        <v>1</v>
      </c>
    </row>
    <row r="31" spans="1:29" ht="15.75" thickBot="1">
      <c r="A31" s="3699"/>
      <c r="B31" s="3659">
        <v>111</v>
      </c>
      <c r="C31" s="3654"/>
      <c r="D31" s="3651">
        <v>100</v>
      </c>
      <c r="E31" s="3652"/>
      <c r="F31" s="3653">
        <f>SUMIF(98:98,E31,99:99)-SUMIF(98:98,C31,99:99)+100</f>
        <v>100</v>
      </c>
      <c r="G31" s="3652"/>
      <c r="H31" s="3651">
        <f>SUMIF(98:98,G31,99:99)-SUMIF(98:98,C31,99:99)+100</f>
        <v>100</v>
      </c>
      <c r="I31" s="3652"/>
      <c r="J31" s="3651">
        <f>SUMIF(98:98,I31,99:99)-SUMIF(98:98,C31,99:99)+100</f>
        <v>100</v>
      </c>
      <c r="K31" s="3650"/>
      <c r="L31" s="3673"/>
      <c r="M31" s="3619"/>
      <c r="N31" s="3619"/>
      <c r="O31" s="3619"/>
      <c r="P31" s="4061"/>
      <c r="Q31" s="3649">
        <f t="shared" si="8"/>
        <v>111</v>
      </c>
      <c r="R31" s="3648" t="s">
        <v>3517</v>
      </c>
      <c r="S31" s="3647">
        <f t="shared" si="9"/>
        <v>100</v>
      </c>
      <c r="T31" s="3648" t="s">
        <v>3517</v>
      </c>
      <c r="U31" s="3647">
        <f t="shared" si="10"/>
        <v>100</v>
      </c>
      <c r="V31" s="3648" t="s">
        <v>3517</v>
      </c>
      <c r="W31" s="3647">
        <f t="shared" si="11"/>
        <v>100</v>
      </c>
      <c r="X31" s="3646"/>
      <c r="Y31" s="4063"/>
      <c r="Z31" s="3645">
        <f t="shared" si="12"/>
        <v>111</v>
      </c>
      <c r="AA31" s="3644">
        <f t="shared" si="13"/>
        <v>1</v>
      </c>
      <c r="AB31" s="3644">
        <f t="shared" si="14"/>
        <v>1</v>
      </c>
      <c r="AC31" s="3644">
        <f t="shared" si="15"/>
        <v>1</v>
      </c>
    </row>
    <row r="32" spans="1:29" ht="15">
      <c r="A32" s="3698" t="s">
        <v>3488</v>
      </c>
      <c r="B32" s="3697" t="s">
        <v>3487</v>
      </c>
      <c r="C32" s="3696"/>
      <c r="D32" s="3695">
        <v>100</v>
      </c>
      <c r="E32" s="3696"/>
      <c r="F32" s="3658">
        <f>SUMIF(100:100,E32,101:101)-SUMIF(100:100,C32,101:101)+100</f>
        <v>100</v>
      </c>
      <c r="G32" s="3696"/>
      <c r="H32" s="3657">
        <f>SUMIF(100:100,G32,101:101)-SUMIF(100:100,C32,101:101)+100</f>
        <v>100</v>
      </c>
      <c r="I32" s="3696"/>
      <c r="J32" s="3695">
        <f>SUMIF(100:100,I32,101:101)-SUMIF(100:100,C32,101:101)+100</f>
        <v>100</v>
      </c>
      <c r="K32" s="3674"/>
      <c r="L32" s="3673"/>
      <c r="M32" s="3619"/>
      <c r="N32" s="3619"/>
      <c r="O32" s="3619"/>
      <c r="P32" s="4064" t="s">
        <v>3520</v>
      </c>
      <c r="Q32" s="3649" t="str">
        <f t="shared" si="8"/>
        <v>商业类型</v>
      </c>
      <c r="R32" s="3648" t="s">
        <v>3517</v>
      </c>
      <c r="S32" s="3647">
        <f t="shared" si="9"/>
        <v>100</v>
      </c>
      <c r="T32" s="3648" t="s">
        <v>3517</v>
      </c>
      <c r="U32" s="3647">
        <f t="shared" si="10"/>
        <v>100</v>
      </c>
      <c r="V32" s="3648" t="s">
        <v>3517</v>
      </c>
      <c r="W32" s="3647">
        <f t="shared" si="11"/>
        <v>100</v>
      </c>
      <c r="X32" s="3646"/>
      <c r="Y32" s="4067" t="s">
        <v>3520</v>
      </c>
      <c r="Z32" s="3645" t="str">
        <f t="shared" si="12"/>
        <v>商业类型</v>
      </c>
      <c r="AA32" s="3644">
        <f t="shared" si="13"/>
        <v>1</v>
      </c>
      <c r="AB32" s="3644">
        <f t="shared" si="14"/>
        <v>1</v>
      </c>
      <c r="AC32" s="3644">
        <f t="shared" si="15"/>
        <v>1</v>
      </c>
    </row>
    <row r="33" spans="1:29" s="3496" customFormat="1" ht="15">
      <c r="A33" s="3686"/>
      <c r="B33" s="3676" t="s">
        <v>1697</v>
      </c>
      <c r="C33" s="3670"/>
      <c r="D33" s="3668">
        <v>100</v>
      </c>
      <c r="E33" s="3694"/>
      <c r="F33" s="3669">
        <f>LOOKUP(E33,103:103,104:104)-LOOKUP(C33,103:103,104:104)+100</f>
        <v>100</v>
      </c>
      <c r="G33" s="3693"/>
      <c r="H33" s="3668">
        <f>LOOKUP(G33,103:103,104:104)-LOOKUP(C33,103:103,104:104)+100</f>
        <v>100</v>
      </c>
      <c r="I33" s="3693"/>
      <c r="J33" s="3668">
        <f>LOOKUP(I33,103:103,104:104)-LOOKUP(C33,103:103,104:104)+100</f>
        <v>100</v>
      </c>
      <c r="K33" s="3650"/>
      <c r="L33" s="3683"/>
      <c r="M33" s="3682"/>
      <c r="N33" s="3682"/>
      <c r="O33" s="3682"/>
      <c r="P33" s="4065"/>
      <c r="Q33" s="3681" t="str">
        <f t="shared" si="8"/>
        <v>项目建筑规模</v>
      </c>
      <c r="R33" s="3680" t="s">
        <v>3517</v>
      </c>
      <c r="S33" s="3679">
        <f t="shared" si="9"/>
        <v>100</v>
      </c>
      <c r="T33" s="3680" t="s">
        <v>3517</v>
      </c>
      <c r="U33" s="3679">
        <f t="shared" si="10"/>
        <v>100</v>
      </c>
      <c r="V33" s="3680" t="s">
        <v>3517</v>
      </c>
      <c r="W33" s="3679">
        <f t="shared" si="11"/>
        <v>100</v>
      </c>
      <c r="X33" s="3678"/>
      <c r="Y33" s="4067"/>
      <c r="Z33" s="3677" t="str">
        <f t="shared" si="12"/>
        <v>项目建筑规模</v>
      </c>
      <c r="AA33" s="3644">
        <f t="shared" si="13"/>
        <v>1</v>
      </c>
      <c r="AB33" s="3644">
        <f t="shared" si="14"/>
        <v>1</v>
      </c>
      <c r="AC33" s="3644">
        <f t="shared" si="15"/>
        <v>1</v>
      </c>
    </row>
    <row r="34" spans="1:29" ht="15">
      <c r="A34" s="3660"/>
      <c r="B34" s="3676" t="s">
        <v>1698</v>
      </c>
      <c r="C34" s="3692" t="s">
        <v>3399</v>
      </c>
      <c r="D34" s="3657">
        <v>100</v>
      </c>
      <c r="E34" s="3692" t="s">
        <v>3399</v>
      </c>
      <c r="F34" s="3658">
        <f>SUMIF(105:105,E34,106:106)-SUMIF(105:105,C34,106:106)+100</f>
        <v>100</v>
      </c>
      <c r="G34" s="3692" t="s">
        <v>3399</v>
      </c>
      <c r="H34" s="3657">
        <f>SUMIF(105:105,G34,106:106)-SUMIF(105:105,C34,106:106)+100</f>
        <v>100</v>
      </c>
      <c r="I34" s="3692" t="s">
        <v>3399</v>
      </c>
      <c r="J34" s="3657">
        <f>SUMIF(105:105,I34,106:106)-SUMIF(105:105,C34,106:106)+100</f>
        <v>100</v>
      </c>
      <c r="K34" s="3674">
        <v>2</v>
      </c>
      <c r="L34" s="3673"/>
      <c r="M34" s="3619"/>
      <c r="N34" s="3619"/>
      <c r="O34" s="3619"/>
      <c r="P34" s="4065"/>
      <c r="Q34" s="3649" t="str">
        <f t="shared" si="8"/>
        <v>建筑结构</v>
      </c>
      <c r="R34" s="3648" t="s">
        <v>3517</v>
      </c>
      <c r="S34" s="3647">
        <f t="shared" si="9"/>
        <v>100</v>
      </c>
      <c r="T34" s="3648" t="s">
        <v>3517</v>
      </c>
      <c r="U34" s="3647">
        <f t="shared" si="10"/>
        <v>100</v>
      </c>
      <c r="V34" s="3648" t="s">
        <v>3517</v>
      </c>
      <c r="W34" s="3647">
        <f t="shared" si="11"/>
        <v>100</v>
      </c>
      <c r="X34" s="3646"/>
      <c r="Y34" s="4067"/>
      <c r="Z34" s="3645" t="str">
        <f t="shared" si="12"/>
        <v>建筑结构</v>
      </c>
      <c r="AA34" s="3644">
        <f t="shared" si="13"/>
        <v>1</v>
      </c>
      <c r="AB34" s="3644">
        <f t="shared" si="14"/>
        <v>1</v>
      </c>
      <c r="AC34" s="3644">
        <f t="shared" si="15"/>
        <v>1</v>
      </c>
    </row>
    <row r="35" spans="1:29" ht="15">
      <c r="A35" s="3660"/>
      <c r="B35" s="3676" t="s">
        <v>1700</v>
      </c>
      <c r="C35" s="3675"/>
      <c r="D35" s="3657">
        <v>100</v>
      </c>
      <c r="E35" s="3675"/>
      <c r="F35" s="3658">
        <f>SUMIF(107:107,E35,108:108)-SUMIF(107:107,C35,108:108)+100</f>
        <v>100</v>
      </c>
      <c r="G35" s="3675"/>
      <c r="H35" s="3657">
        <f>SUMIF(107:107,G35,108:108)-SUMIF(107:107,C35,108:108)+100</f>
        <v>100</v>
      </c>
      <c r="I35" s="3675"/>
      <c r="J35" s="3657">
        <f>SUMIF(107:107,I35,108:108)-SUMIF(107:107,C35,108:108)+100</f>
        <v>100</v>
      </c>
      <c r="K35" s="3674"/>
      <c r="L35" s="3673"/>
      <c r="M35" s="3619"/>
      <c r="N35" s="3619"/>
      <c r="O35" s="3619"/>
      <c r="P35" s="4065"/>
      <c r="Q35" s="3649" t="str">
        <f t="shared" si="8"/>
        <v>公共部分装修</v>
      </c>
      <c r="R35" s="3648" t="s">
        <v>3517</v>
      </c>
      <c r="S35" s="3647">
        <f t="shared" si="9"/>
        <v>100</v>
      </c>
      <c r="T35" s="3648" t="s">
        <v>3517</v>
      </c>
      <c r="U35" s="3647">
        <f t="shared" si="10"/>
        <v>100</v>
      </c>
      <c r="V35" s="3648" t="s">
        <v>3517</v>
      </c>
      <c r="W35" s="3647">
        <f t="shared" si="11"/>
        <v>100</v>
      </c>
      <c r="X35" s="3646"/>
      <c r="Y35" s="4067"/>
      <c r="Z35" s="3645" t="str">
        <f t="shared" si="12"/>
        <v>公共部分装修</v>
      </c>
      <c r="AA35" s="3644">
        <f t="shared" si="13"/>
        <v>1</v>
      </c>
      <c r="AB35" s="3644">
        <f t="shared" si="14"/>
        <v>1</v>
      </c>
      <c r="AC35" s="3644">
        <f t="shared" si="15"/>
        <v>1</v>
      </c>
    </row>
    <row r="36" spans="1:29" ht="15">
      <c r="A36" s="3660"/>
      <c r="B36" s="3676" t="s">
        <v>1701</v>
      </c>
      <c r="C36" s="3691">
        <v>0.8</v>
      </c>
      <c r="D36" s="3657">
        <v>100</v>
      </c>
      <c r="E36" s="3691">
        <v>0.7</v>
      </c>
      <c r="F36" s="3658">
        <f>LOOKUP(E36,110:110,111:111)-LOOKUP(C36,110:110,111:111)+100</f>
        <v>99</v>
      </c>
      <c r="G36" s="3691">
        <v>0.7</v>
      </c>
      <c r="H36" s="3658">
        <f>LOOKUP(G36,110:110,111:111)-LOOKUP(C36,110:110,111:111)+100</f>
        <v>99</v>
      </c>
      <c r="I36" s="3691">
        <v>0.6</v>
      </c>
      <c r="J36" s="3657">
        <f>LOOKUP(I36,110:110,111:111)-LOOKUP(C36,110:110,111:111)+100</f>
        <v>98</v>
      </c>
      <c r="K36" s="3674">
        <v>1</v>
      </c>
      <c r="L36" s="3673"/>
      <c r="M36" s="3619"/>
      <c r="N36" s="3619"/>
      <c r="O36" s="3619"/>
      <c r="P36" s="4065"/>
      <c r="Q36" s="3649" t="str">
        <f t="shared" si="8"/>
        <v>成新度</v>
      </c>
      <c r="R36" s="3648" t="s">
        <v>3517</v>
      </c>
      <c r="S36" s="3647">
        <f t="shared" si="9"/>
        <v>99</v>
      </c>
      <c r="T36" s="3648" t="s">
        <v>3517</v>
      </c>
      <c r="U36" s="3647">
        <f t="shared" si="10"/>
        <v>99</v>
      </c>
      <c r="V36" s="3648" t="s">
        <v>3517</v>
      </c>
      <c r="W36" s="3647">
        <f t="shared" si="11"/>
        <v>98</v>
      </c>
      <c r="X36" s="3646"/>
      <c r="Y36" s="4067"/>
      <c r="Z36" s="3645" t="str">
        <f t="shared" si="12"/>
        <v>成新度</v>
      </c>
      <c r="AA36" s="3644">
        <f t="shared" si="13"/>
        <v>1.0101010101010102</v>
      </c>
      <c r="AB36" s="3644">
        <f t="shared" si="14"/>
        <v>1.0101010101010102</v>
      </c>
      <c r="AC36" s="3644">
        <f t="shared" si="15"/>
        <v>1.0204081632653061</v>
      </c>
    </row>
    <row r="37" spans="1:29" s="3542" customFormat="1" ht="15">
      <c r="A37" s="3672"/>
      <c r="B37" s="3676" t="s">
        <v>3486</v>
      </c>
      <c r="C37" s="3675" t="s">
        <v>3484</v>
      </c>
      <c r="D37" s="3668">
        <v>100</v>
      </c>
      <c r="E37" s="3675" t="s">
        <v>3485</v>
      </c>
      <c r="F37" s="3658">
        <f>SUMIF(112:112,E37,113:113)-SUMIF(112:112,C37,113:113)+100</f>
        <v>101</v>
      </c>
      <c r="G37" s="3675" t="s">
        <v>3485</v>
      </c>
      <c r="H37" s="3657">
        <f>SUMIF(112:112,G37,113:113)-SUMIF(112:112,C37,113:113)+100</f>
        <v>101</v>
      </c>
      <c r="I37" s="3675" t="s">
        <v>3485</v>
      </c>
      <c r="J37" s="3657">
        <f>SUMIF(112:112,I37,113:113)-SUMIF(112:112,C37,113:113)+100</f>
        <v>101</v>
      </c>
      <c r="K37" s="3674">
        <v>1</v>
      </c>
      <c r="L37" s="3690"/>
      <c r="M37" s="3689"/>
      <c r="N37" s="3689"/>
      <c r="O37" s="3689"/>
      <c r="P37" s="4065"/>
      <c r="Q37" s="3666" t="str">
        <f t="shared" si="8"/>
        <v>市政基础设施</v>
      </c>
      <c r="R37" s="3665" t="s">
        <v>3517</v>
      </c>
      <c r="S37" s="3664">
        <f t="shared" si="9"/>
        <v>101</v>
      </c>
      <c r="T37" s="3665" t="s">
        <v>3517</v>
      </c>
      <c r="U37" s="3664">
        <f t="shared" si="10"/>
        <v>101</v>
      </c>
      <c r="V37" s="3665" t="s">
        <v>3517</v>
      </c>
      <c r="W37" s="3664">
        <f t="shared" si="11"/>
        <v>101</v>
      </c>
      <c r="X37" s="3663"/>
      <c r="Y37" s="4067"/>
      <c r="Z37" s="3662" t="str">
        <f t="shared" si="12"/>
        <v>市政基础设施</v>
      </c>
      <c r="AA37" s="3661">
        <f t="shared" si="13"/>
        <v>0.99009900990099009</v>
      </c>
      <c r="AB37" s="3661">
        <f t="shared" si="14"/>
        <v>0.99009900990099009</v>
      </c>
      <c r="AC37" s="3661">
        <f t="shared" si="15"/>
        <v>0.99009900990099009</v>
      </c>
    </row>
    <row r="38" spans="1:29" ht="15">
      <c r="A38" s="3660"/>
      <c r="B38" s="3676" t="s">
        <v>3483</v>
      </c>
      <c r="C38" s="3675" t="s">
        <v>3482</v>
      </c>
      <c r="D38" s="3657">
        <v>100</v>
      </c>
      <c r="E38" s="3675" t="s">
        <v>3482</v>
      </c>
      <c r="F38" s="3658">
        <f>SUMIF(114:114,E38,115:115)-SUMIF(114:114,C38,115:115)+100</f>
        <v>100</v>
      </c>
      <c r="G38" s="3675" t="s">
        <v>3482</v>
      </c>
      <c r="H38" s="3657">
        <f>SUMIF(114:114,G38,115:115)-SUMIF(114:114,C38,115:115)+100</f>
        <v>100</v>
      </c>
      <c r="I38" s="3675" t="s">
        <v>3482</v>
      </c>
      <c r="J38" s="3657">
        <f>SUMIF(114:114,I38,115:115)-SUMIF(114:114,C38,115:115)+100</f>
        <v>100</v>
      </c>
      <c r="K38" s="3674">
        <v>2</v>
      </c>
      <c r="L38" s="3673"/>
      <c r="M38" s="3619"/>
      <c r="N38" s="3619"/>
      <c r="O38" s="3619"/>
      <c r="P38" s="4065" t="s">
        <v>3520</v>
      </c>
      <c r="Q38" s="3649" t="str">
        <f t="shared" si="8"/>
        <v>业态</v>
      </c>
      <c r="R38" s="3648" t="s">
        <v>3517</v>
      </c>
      <c r="S38" s="3647">
        <f t="shared" si="9"/>
        <v>100</v>
      </c>
      <c r="T38" s="3648" t="s">
        <v>3517</v>
      </c>
      <c r="U38" s="3647">
        <f t="shared" si="10"/>
        <v>100</v>
      </c>
      <c r="V38" s="3648" t="s">
        <v>3517</v>
      </c>
      <c r="W38" s="3647">
        <f t="shared" si="11"/>
        <v>100</v>
      </c>
      <c r="X38" s="3646"/>
      <c r="Y38" s="4067" t="s">
        <v>3520</v>
      </c>
      <c r="Z38" s="3645" t="str">
        <f t="shared" si="12"/>
        <v>业态</v>
      </c>
      <c r="AA38" s="3644">
        <f t="shared" si="13"/>
        <v>1</v>
      </c>
      <c r="AB38" s="3644">
        <f t="shared" si="14"/>
        <v>1</v>
      </c>
      <c r="AC38" s="3644">
        <f t="shared" si="15"/>
        <v>1</v>
      </c>
    </row>
    <row r="39" spans="1:29" ht="15">
      <c r="A39" s="3660"/>
      <c r="B39" s="3676" t="s">
        <v>3481</v>
      </c>
      <c r="C39" s="3675"/>
      <c r="D39" s="3657">
        <v>100</v>
      </c>
      <c r="E39" s="3675"/>
      <c r="F39" s="3658">
        <f>SUMIF(116:116,E39,117:117)-SUMIF(116:116,C39,117:117)+100</f>
        <v>100</v>
      </c>
      <c r="G39" s="3675"/>
      <c r="H39" s="3657">
        <f>SUMIF(116:116,G39,117:117)-SUMIF(116:116,C39,117:117)+100</f>
        <v>100</v>
      </c>
      <c r="I39" s="3675"/>
      <c r="J39" s="3657">
        <f>SUMIF(116:116,I39,117:117)-SUMIF(116:116,C39,117:117)+100</f>
        <v>100</v>
      </c>
      <c r="K39" s="3674"/>
      <c r="L39" s="3673"/>
      <c r="M39" s="3619"/>
      <c r="N39" s="3619"/>
      <c r="O39" s="3619"/>
      <c r="P39" s="4065"/>
      <c r="Q39" s="3649" t="str">
        <f t="shared" si="8"/>
        <v>层高</v>
      </c>
      <c r="R39" s="3648" t="s">
        <v>3517</v>
      </c>
      <c r="S39" s="3647">
        <f t="shared" si="9"/>
        <v>100</v>
      </c>
      <c r="T39" s="3648" t="s">
        <v>3517</v>
      </c>
      <c r="U39" s="3647">
        <f t="shared" si="10"/>
        <v>100</v>
      </c>
      <c r="V39" s="3648" t="s">
        <v>3517</v>
      </c>
      <c r="W39" s="3647">
        <f t="shared" si="11"/>
        <v>100</v>
      </c>
      <c r="X39" s="3646"/>
      <c r="Y39" s="4067"/>
      <c r="Z39" s="3645" t="str">
        <f t="shared" si="12"/>
        <v>层高</v>
      </c>
      <c r="AA39" s="3644">
        <f t="shared" si="13"/>
        <v>1</v>
      </c>
      <c r="AB39" s="3644">
        <f t="shared" si="14"/>
        <v>1</v>
      </c>
      <c r="AC39" s="3644">
        <f t="shared" si="15"/>
        <v>1</v>
      </c>
    </row>
    <row r="40" spans="1:29" ht="15">
      <c r="A40" s="3660"/>
      <c r="B40" s="3676" t="s">
        <v>3480</v>
      </c>
      <c r="C40" s="3688"/>
      <c r="D40" s="3657">
        <v>100</v>
      </c>
      <c r="E40" s="3687"/>
      <c r="F40" s="3658">
        <f>SUMIF(118:118,E40,119:119)-SUMIF(118:118,C40,119:119)+100</f>
        <v>100</v>
      </c>
      <c r="G40" s="3687"/>
      <c r="H40" s="3657">
        <f>SUMIF(118:118,G40,119:119)-SUMIF(118:118,C40,119:119)+100</f>
        <v>100</v>
      </c>
      <c r="I40" s="3687"/>
      <c r="J40" s="3657">
        <f>SUMIF(118:118,I40,119:119)-SUMIF(118:118,C40,119:119)+100</f>
        <v>100</v>
      </c>
      <c r="K40" s="3650"/>
      <c r="L40" s="3673"/>
      <c r="M40" s="3619"/>
      <c r="N40" s="3619"/>
      <c r="O40" s="3619"/>
      <c r="P40" s="4065"/>
      <c r="Q40" s="3649" t="str">
        <f t="shared" si="8"/>
        <v>单套建筑面积</v>
      </c>
      <c r="R40" s="3648" t="s">
        <v>3517</v>
      </c>
      <c r="S40" s="3647">
        <f t="shared" si="9"/>
        <v>100</v>
      </c>
      <c r="T40" s="3648" t="s">
        <v>3517</v>
      </c>
      <c r="U40" s="3647">
        <f t="shared" si="10"/>
        <v>100</v>
      </c>
      <c r="V40" s="3648" t="s">
        <v>3517</v>
      </c>
      <c r="W40" s="3647">
        <f t="shared" si="11"/>
        <v>100</v>
      </c>
      <c r="X40" s="3646"/>
      <c r="Y40" s="4067"/>
      <c r="Z40" s="3645" t="str">
        <f t="shared" si="12"/>
        <v>单套建筑面积</v>
      </c>
      <c r="AA40" s="3644">
        <f t="shared" si="13"/>
        <v>1</v>
      </c>
      <c r="AB40" s="3644">
        <f t="shared" si="14"/>
        <v>1</v>
      </c>
      <c r="AC40" s="3644">
        <f t="shared" si="15"/>
        <v>1</v>
      </c>
    </row>
    <row r="41" spans="1:29" s="3496" customFormat="1" ht="15">
      <c r="A41" s="3686"/>
      <c r="B41" s="3685" t="s">
        <v>3519</v>
      </c>
      <c r="C41" s="3684"/>
      <c r="D41" s="3657">
        <v>100</v>
      </c>
      <c r="E41" s="3684"/>
      <c r="F41" s="3658">
        <f>SUMIF(120:120,E41,121:121)-SUMIF(120:120,C41,121:121)+100</f>
        <v>100</v>
      </c>
      <c r="G41" s="3684"/>
      <c r="H41" s="3657">
        <f>SUMIF(120:120,G41,121:121)-SUMIF(120:120,C41,121:121)+100</f>
        <v>100</v>
      </c>
      <c r="I41" s="3684"/>
      <c r="J41" s="3657">
        <f>SUMIF(120:120,I41,121:121)-SUMIF(120:120,C41,121:121)+100</f>
        <v>100</v>
      </c>
      <c r="K41" s="3674"/>
      <c r="L41" s="3683"/>
      <c r="M41" s="3682"/>
      <c r="N41" s="3682"/>
      <c r="O41" s="3682"/>
      <c r="P41" s="4065"/>
      <c r="Q41" s="3681" t="str">
        <f t="shared" si="8"/>
        <v>进深比</v>
      </c>
      <c r="R41" s="3680" t="s">
        <v>3517</v>
      </c>
      <c r="S41" s="3679">
        <f t="shared" si="9"/>
        <v>100</v>
      </c>
      <c r="T41" s="3680" t="s">
        <v>3517</v>
      </c>
      <c r="U41" s="3679">
        <f t="shared" si="10"/>
        <v>100</v>
      </c>
      <c r="V41" s="3680" t="s">
        <v>3517</v>
      </c>
      <c r="W41" s="3679">
        <f t="shared" si="11"/>
        <v>100</v>
      </c>
      <c r="X41" s="3678"/>
      <c r="Y41" s="4067"/>
      <c r="Z41" s="3677" t="str">
        <f t="shared" si="12"/>
        <v>进深比</v>
      </c>
      <c r="AA41" s="3644">
        <f t="shared" si="13"/>
        <v>1</v>
      </c>
      <c r="AB41" s="3644">
        <f t="shared" si="14"/>
        <v>1</v>
      </c>
      <c r="AC41" s="3644">
        <f t="shared" si="15"/>
        <v>1</v>
      </c>
    </row>
    <row r="42" spans="1:29" ht="15">
      <c r="A42" s="3660"/>
      <c r="B42" s="3676" t="s">
        <v>1706</v>
      </c>
      <c r="C42" s="3675" t="s">
        <v>3478</v>
      </c>
      <c r="D42" s="3657">
        <v>100</v>
      </c>
      <c r="E42" s="3675" t="s">
        <v>3478</v>
      </c>
      <c r="F42" s="3658">
        <f>SUMIF(122:122,E42,123:123)-SUMIF(122:122,C42,123:123)+100</f>
        <v>100</v>
      </c>
      <c r="G42" s="3675" t="s">
        <v>3478</v>
      </c>
      <c r="H42" s="3657">
        <f>SUMIF(122:122,G42,123:123)-SUMIF(122:122,C42,123:123)+100</f>
        <v>100</v>
      </c>
      <c r="I42" s="3675" t="s">
        <v>3478</v>
      </c>
      <c r="J42" s="3657">
        <f>SUMIF(122:122,I42,123:123)-SUMIF(122:122,C42,123:123)+100</f>
        <v>100</v>
      </c>
      <c r="K42" s="3674">
        <v>3</v>
      </c>
      <c r="L42" s="3673"/>
      <c r="M42" s="3619"/>
      <c r="N42" s="3619"/>
      <c r="O42" s="3619"/>
      <c r="P42" s="4065"/>
      <c r="Q42" s="3649" t="str">
        <f t="shared" si="8"/>
        <v>内部装修</v>
      </c>
      <c r="R42" s="3648" t="s">
        <v>3517</v>
      </c>
      <c r="S42" s="3647">
        <f t="shared" si="9"/>
        <v>100</v>
      </c>
      <c r="T42" s="3648" t="s">
        <v>3517</v>
      </c>
      <c r="U42" s="3647">
        <f t="shared" si="10"/>
        <v>100</v>
      </c>
      <c r="V42" s="3648" t="s">
        <v>3517</v>
      </c>
      <c r="W42" s="3647">
        <f t="shared" si="11"/>
        <v>100</v>
      </c>
      <c r="X42" s="3646"/>
      <c r="Y42" s="4067"/>
      <c r="Z42" s="3645" t="str">
        <f t="shared" si="12"/>
        <v>内部装修</v>
      </c>
      <c r="AA42" s="3644">
        <f t="shared" si="13"/>
        <v>1</v>
      </c>
      <c r="AB42" s="3644">
        <f t="shared" si="14"/>
        <v>1</v>
      </c>
      <c r="AC42" s="3644">
        <f t="shared" si="15"/>
        <v>1</v>
      </c>
    </row>
    <row r="43" spans="1:29" ht="15">
      <c r="A43" s="3660"/>
      <c r="B43" s="3676" t="s">
        <v>1707</v>
      </c>
      <c r="C43" s="3675"/>
      <c r="D43" s="3657">
        <v>100</v>
      </c>
      <c r="E43" s="3675"/>
      <c r="F43" s="3658">
        <f>SUMIF(124:124,E43,125:125)-SUMIF(124:124,C43,125:125)+100</f>
        <v>100</v>
      </c>
      <c r="G43" s="3675"/>
      <c r="H43" s="3657">
        <f>SUMIF(124:124,G43,125:125)-SUMIF(124:124,C43,125:125)+100</f>
        <v>100</v>
      </c>
      <c r="I43" s="3675"/>
      <c r="J43" s="3657">
        <f>SUMIF(124:124,I43,125:125)-SUMIF(124:124,C43,125:125)+100</f>
        <v>100</v>
      </c>
      <c r="K43" s="3674"/>
      <c r="L43" s="3673"/>
      <c r="M43" s="3619"/>
      <c r="N43" s="3619"/>
      <c r="O43" s="3619"/>
      <c r="P43" s="4065"/>
      <c r="Q43" s="3649" t="str">
        <f t="shared" si="8"/>
        <v>内部装修维护情况</v>
      </c>
      <c r="R43" s="3648" t="s">
        <v>3517</v>
      </c>
      <c r="S43" s="3647">
        <f t="shared" si="9"/>
        <v>100</v>
      </c>
      <c r="T43" s="3648" t="s">
        <v>3517</v>
      </c>
      <c r="U43" s="3647">
        <f t="shared" si="10"/>
        <v>100</v>
      </c>
      <c r="V43" s="3648" t="s">
        <v>3517</v>
      </c>
      <c r="W43" s="3647">
        <f t="shared" si="11"/>
        <v>100</v>
      </c>
      <c r="X43" s="3646"/>
      <c r="Y43" s="4067"/>
      <c r="Z43" s="3645" t="str">
        <f t="shared" si="12"/>
        <v>内部装修维护情况</v>
      </c>
      <c r="AA43" s="3644">
        <f t="shared" si="13"/>
        <v>1</v>
      </c>
      <c r="AB43" s="3644">
        <f t="shared" si="14"/>
        <v>1</v>
      </c>
      <c r="AC43" s="3644">
        <f t="shared" si="15"/>
        <v>1</v>
      </c>
    </row>
    <row r="44" spans="1:29" s="3542" customFormat="1" ht="15">
      <c r="A44" s="3672"/>
      <c r="B44" s="3671" t="s">
        <v>3518</v>
      </c>
      <c r="C44" s="3670" t="s">
        <v>3470</v>
      </c>
      <c r="D44" s="3668">
        <v>100</v>
      </c>
      <c r="E44" s="3652" t="s">
        <v>3470</v>
      </c>
      <c r="F44" s="3669">
        <f>SUMIF(126:126,E44,127:127)-SUMIF(126:126,C44,127:127)+100</f>
        <v>100</v>
      </c>
      <c r="G44" s="3652" t="s">
        <v>3472</v>
      </c>
      <c r="H44" s="3668">
        <f>SUMIF(126:126,G44,127:127)-SUMIF(126:126,C44,127:127)+100</f>
        <v>118</v>
      </c>
      <c r="I44" s="3652" t="s">
        <v>3471</v>
      </c>
      <c r="J44" s="3668">
        <f>SUMIF(126:126,I44,127:127)-SUMIF(126:126,C44,127:127)+100</f>
        <v>106</v>
      </c>
      <c r="K44" s="3650"/>
      <c r="L44" s="3529">
        <v>7500</v>
      </c>
      <c r="M44" s="3667">
        <v>9300</v>
      </c>
      <c r="N44" s="3667">
        <v>8100</v>
      </c>
      <c r="O44" s="3667">
        <v>35000</v>
      </c>
      <c r="P44" s="4065"/>
      <c r="Q44" s="3666" t="str">
        <f t="shared" si="8"/>
        <v>地下占比</v>
      </c>
      <c r="R44" s="3665" t="s">
        <v>3517</v>
      </c>
      <c r="S44" s="3664">
        <f t="shared" si="9"/>
        <v>100</v>
      </c>
      <c r="T44" s="3665" t="s">
        <v>3517</v>
      </c>
      <c r="U44" s="3664">
        <f t="shared" si="10"/>
        <v>118</v>
      </c>
      <c r="V44" s="3665" t="s">
        <v>3517</v>
      </c>
      <c r="W44" s="3664">
        <f t="shared" si="11"/>
        <v>106</v>
      </c>
      <c r="X44" s="3663"/>
      <c r="Y44" s="4067"/>
      <c r="Z44" s="3662" t="str">
        <f t="shared" si="12"/>
        <v>地下占比</v>
      </c>
      <c r="AA44" s="3661">
        <f t="shared" si="13"/>
        <v>1</v>
      </c>
      <c r="AB44" s="3661">
        <f t="shared" si="14"/>
        <v>0.84745762711864403</v>
      </c>
      <c r="AC44" s="3661">
        <f t="shared" si="15"/>
        <v>0.94339622641509435</v>
      </c>
    </row>
    <row r="45" spans="1:29" ht="15">
      <c r="A45" s="3660"/>
      <c r="B45" s="3659">
        <v>111</v>
      </c>
      <c r="C45" s="3652"/>
      <c r="D45" s="3657">
        <v>100</v>
      </c>
      <c r="E45" s="3652"/>
      <c r="F45" s="3658">
        <f>SUMIF(128:128,E45,129:129)-SUMIF(128:128,C45,129:129)+100</f>
        <v>100</v>
      </c>
      <c r="G45" s="3652"/>
      <c r="H45" s="3657">
        <f>SUMIF(128:128,G45,129:129)-SUMIF(128:128,C45,129:129)+100</f>
        <v>100</v>
      </c>
      <c r="I45" s="3652"/>
      <c r="J45" s="3657">
        <f>SUMIF(128:128,I45,129:129)-SUMIF(128:128,C45,129:129)+100</f>
        <v>100</v>
      </c>
      <c r="K45" s="3650"/>
      <c r="L45" s="3478">
        <v>2500</v>
      </c>
      <c r="M45" s="3626">
        <v>700</v>
      </c>
      <c r="N45" s="3626">
        <v>1900</v>
      </c>
      <c r="O45" s="3626">
        <v>7000</v>
      </c>
      <c r="P45" s="4065"/>
      <c r="Q45" s="3649">
        <f t="shared" si="8"/>
        <v>111</v>
      </c>
      <c r="R45" s="3648" t="s">
        <v>3517</v>
      </c>
      <c r="S45" s="3647">
        <f t="shared" si="9"/>
        <v>100</v>
      </c>
      <c r="T45" s="3648" t="s">
        <v>3517</v>
      </c>
      <c r="U45" s="3647">
        <f t="shared" si="10"/>
        <v>100</v>
      </c>
      <c r="V45" s="3648" t="s">
        <v>3517</v>
      </c>
      <c r="W45" s="3647">
        <f t="shared" si="11"/>
        <v>100</v>
      </c>
      <c r="X45" s="3646"/>
      <c r="Y45" s="4067"/>
      <c r="Z45" s="3645">
        <f t="shared" si="12"/>
        <v>111</v>
      </c>
      <c r="AA45" s="3644">
        <f t="shared" si="13"/>
        <v>1</v>
      </c>
      <c r="AB45" s="3644">
        <f t="shared" si="14"/>
        <v>1</v>
      </c>
      <c r="AC45" s="3644">
        <f t="shared" si="15"/>
        <v>1</v>
      </c>
    </row>
    <row r="46" spans="1:29" ht="15.75" thickBot="1">
      <c r="A46" s="3656"/>
      <c r="B46" s="3655">
        <v>111</v>
      </c>
      <c r="C46" s="3654"/>
      <c r="D46" s="3651">
        <v>100</v>
      </c>
      <c r="E46" s="3652"/>
      <c r="F46" s="3653">
        <f>SUMIF(130:130,E46,131:131)-SUMIF(130:130,C46,131:131)+100</f>
        <v>100</v>
      </c>
      <c r="G46" s="3652"/>
      <c r="H46" s="3651">
        <f>SUMIF(130:130,G46,131:131)-SUMIF(130:130,C46,131:131)+100</f>
        <v>100</v>
      </c>
      <c r="I46" s="3652"/>
      <c r="J46" s="3651">
        <f>SUMIF(130:130,I46,131:131)-SUMIF(130:130,C46,131:131)+100</f>
        <v>100</v>
      </c>
      <c r="K46" s="3650"/>
      <c r="L46" s="3478"/>
      <c r="M46" s="3626"/>
      <c r="N46" s="3626"/>
      <c r="O46" s="3626"/>
      <c r="P46" s="4066"/>
      <c r="Q46" s="3649">
        <f t="shared" si="8"/>
        <v>111</v>
      </c>
      <c r="R46" s="3648" t="s">
        <v>3517</v>
      </c>
      <c r="S46" s="3647">
        <f t="shared" si="9"/>
        <v>100</v>
      </c>
      <c r="T46" s="3648" t="s">
        <v>3517</v>
      </c>
      <c r="U46" s="3647">
        <f t="shared" si="10"/>
        <v>100</v>
      </c>
      <c r="V46" s="3648" t="s">
        <v>3517</v>
      </c>
      <c r="W46" s="3647">
        <f t="shared" si="11"/>
        <v>100</v>
      </c>
      <c r="X46" s="3646"/>
      <c r="Y46" s="4068"/>
      <c r="Z46" s="3645">
        <f t="shared" si="12"/>
        <v>111</v>
      </c>
      <c r="AA46" s="3644">
        <f t="shared" si="13"/>
        <v>1</v>
      </c>
      <c r="AB46" s="3644">
        <f t="shared" si="14"/>
        <v>1</v>
      </c>
      <c r="AC46" s="3644">
        <f t="shared" si="15"/>
        <v>1</v>
      </c>
    </row>
    <row r="47" spans="1:29" ht="15">
      <c r="A47" s="3643" t="s">
        <v>3516</v>
      </c>
      <c r="B47" s="3642"/>
      <c r="C47" s="3641" t="s">
        <v>43</v>
      </c>
      <c r="D47" s="3640"/>
      <c r="E47" s="3638">
        <f>[1]大宗案例2022!L78</f>
        <v>35857</v>
      </c>
      <c r="F47" s="3639"/>
      <c r="G47" s="3638">
        <f>ROUND([1]大宗案例2022!L82*10000,0)</f>
        <v>38411</v>
      </c>
      <c r="H47" s="3637"/>
      <c r="I47" s="3638">
        <f>[1]大宗案例2021!M108</f>
        <v>39678</v>
      </c>
      <c r="J47" s="3637"/>
      <c r="K47" s="3636"/>
      <c r="L47" s="3627"/>
      <c r="M47" s="3625"/>
      <c r="N47" s="3626"/>
      <c r="O47" s="3625"/>
      <c r="P47" s="4069" t="str">
        <f>A47</f>
        <v>成交单价（元/平方米）</v>
      </c>
      <c r="Q47" s="4069"/>
      <c r="R47" s="4029">
        <f>E47</f>
        <v>35857</v>
      </c>
      <c r="S47" s="4029"/>
      <c r="T47" s="4029">
        <f>G47</f>
        <v>38411</v>
      </c>
      <c r="U47" s="4029"/>
      <c r="V47" s="4029">
        <f>I47</f>
        <v>39678</v>
      </c>
      <c r="W47" s="4029"/>
      <c r="X47" s="3601"/>
      <c r="Y47" s="3635"/>
      <c r="Z47" s="3601"/>
      <c r="AA47" s="3601"/>
      <c r="AB47" s="3601"/>
      <c r="AC47" s="3601"/>
    </row>
    <row r="48" spans="1:29" ht="15.75" thickBot="1">
      <c r="A48" s="3634" t="s">
        <v>3515</v>
      </c>
      <c r="B48" s="3633"/>
      <c r="C48" s="3631">
        <f>R49</f>
        <v>33973</v>
      </c>
      <c r="D48" s="3632" t="s">
        <v>2138</v>
      </c>
      <c r="E48" s="3630">
        <f>R48</f>
        <v>33207</v>
      </c>
      <c r="F48" s="3629"/>
      <c r="G48" s="3631">
        <f>T48</f>
        <v>31078</v>
      </c>
      <c r="H48" s="3629"/>
      <c r="I48" s="3630">
        <f>V48</f>
        <v>37635</v>
      </c>
      <c r="J48" s="3629"/>
      <c r="K48" s="3628">
        <f>F48+H48+J48</f>
        <v>0</v>
      </c>
      <c r="L48" s="3627">
        <f>L44*O44+L45*O45</f>
        <v>280000000</v>
      </c>
      <c r="M48" s="3625">
        <f>M44*O44+M45*O45</f>
        <v>330400000</v>
      </c>
      <c r="N48" s="3626">
        <f>N44*O44+N45*O45</f>
        <v>296800000</v>
      </c>
      <c r="O48" s="3625"/>
      <c r="P48" s="4069" t="str">
        <f>A48</f>
        <v>比较价值（元/平方米）</v>
      </c>
      <c r="Q48" s="4069"/>
      <c r="R48" s="4070">
        <f>IF(F1="售价",ROUND(PRODUCT(R47,AA7:AA46),0),ROUND(PRODUCT(R47,AA7:AA46),1))</f>
        <v>33207</v>
      </c>
      <c r="S48" s="4070"/>
      <c r="T48" s="4070">
        <f>IF(F1="售价",ROUND(PRODUCT(T47,AB7:AB46),0),ROUND(PRODUCT(T47,AB7:AB46),1))</f>
        <v>31078</v>
      </c>
      <c r="U48" s="4070"/>
      <c r="V48" s="4070">
        <f>IF(F1="售价",ROUND(PRODUCT(V47,AC7:AC46),0),ROUND(PRODUCT(V47,AC7:AC46),1))</f>
        <v>37635</v>
      </c>
      <c r="W48" s="4070"/>
      <c r="X48" s="3601"/>
      <c r="Y48" s="3601"/>
      <c r="Z48" s="3601"/>
      <c r="AA48" s="3601"/>
      <c r="AB48" s="3601"/>
      <c r="AC48" s="3601"/>
    </row>
    <row r="49" spans="1:43" ht="15.75" thickBot="1">
      <c r="A49" s="3624" t="s">
        <v>3514</v>
      </c>
      <c r="B49" s="3623"/>
      <c r="C49" s="3622">
        <f>R49</f>
        <v>33973</v>
      </c>
      <c r="D49" s="3622"/>
      <c r="E49" s="3622"/>
      <c r="F49" s="3622"/>
      <c r="G49" s="3622"/>
      <c r="H49" s="3622"/>
      <c r="I49" s="3622"/>
      <c r="J49" s="3622"/>
      <c r="K49" s="3621"/>
      <c r="L49" s="3620"/>
      <c r="M49" s="3469"/>
      <c r="N49" s="3619"/>
      <c r="O49" s="3469"/>
      <c r="P49" s="4071" t="str">
        <f>A49</f>
        <v>估价对象XX用房的比较价值（楼面单价，元/平方米）</v>
      </c>
      <c r="Q49" s="4072"/>
      <c r="R49" s="4073">
        <f>IF(F1="售价",ROUND(IF(D48="简单平均",AVERAGE(R48:V48),R48*F48+T48*H48+V48*J48),0),ROUND(IF(D48="简单平均",AVERAGE(R48:V48),R48*F48+T48*H48+V48*J48),1))</f>
        <v>33973</v>
      </c>
      <c r="S49" s="4073"/>
      <c r="T49" s="4073"/>
      <c r="U49" s="4073"/>
      <c r="V49" s="4073"/>
      <c r="W49" s="4073"/>
      <c r="X49" s="3601"/>
      <c r="Y49" s="3601"/>
      <c r="Z49" s="3601"/>
      <c r="AA49" s="3601"/>
      <c r="AB49" s="3601"/>
      <c r="AC49" s="3601"/>
    </row>
    <row r="50" spans="1:43">
      <c r="A50" s="3469"/>
      <c r="B50" s="3469"/>
      <c r="C50" s="3469"/>
      <c r="D50" s="3469"/>
      <c r="E50" s="3469"/>
      <c r="F50" s="3469"/>
      <c r="G50" s="3618"/>
      <c r="H50" s="3469"/>
      <c r="I50" s="3469"/>
      <c r="J50" s="3469"/>
      <c r="K50" s="3605"/>
      <c r="L50" s="3604">
        <f>M48/L48</f>
        <v>1.18</v>
      </c>
      <c r="M50" s="3469"/>
      <c r="N50" s="3469">
        <f>N48/L48</f>
        <v>1.06</v>
      </c>
      <c r="O50" s="3469"/>
      <c r="P50" s="3603"/>
      <c r="Q50" s="3469"/>
      <c r="R50" s="3469"/>
      <c r="S50" s="3469"/>
      <c r="T50" s="3469"/>
      <c r="U50" s="3469"/>
      <c r="V50" s="3469"/>
      <c r="W50" s="3469"/>
      <c r="X50" s="3469"/>
      <c r="Y50" s="3469"/>
      <c r="Z50" s="3469"/>
      <c r="AA50" s="3469"/>
      <c r="AB50" s="3469"/>
      <c r="AC50" s="3469"/>
    </row>
    <row r="51" spans="1:43">
      <c r="A51" s="3469"/>
      <c r="B51" s="3469"/>
      <c r="C51" s="3469"/>
      <c r="D51" s="3469"/>
      <c r="E51" s="3469"/>
      <c r="F51" s="3469"/>
      <c r="G51" s="3469"/>
      <c r="H51" s="3469"/>
      <c r="I51" s="3469"/>
      <c r="J51" s="3469"/>
      <c r="K51" s="3605"/>
      <c r="L51" s="3604"/>
      <c r="M51" s="3469"/>
      <c r="N51" s="3469"/>
      <c r="O51" s="3469"/>
      <c r="P51" s="3603"/>
      <c r="Q51" s="3469"/>
      <c r="R51" s="3469"/>
      <c r="S51" s="3469"/>
      <c r="T51" s="3469"/>
      <c r="U51" s="3469"/>
      <c r="V51" s="3469"/>
      <c r="W51" s="3469"/>
      <c r="X51" s="3469"/>
      <c r="Y51" s="3469"/>
      <c r="Z51" s="3469"/>
      <c r="AA51" s="3469"/>
      <c r="AB51" s="3469"/>
      <c r="AC51" s="3469"/>
    </row>
    <row r="52" spans="1:43" ht="13.5" customHeight="1">
      <c r="A52" s="3469"/>
      <c r="B52" s="3469"/>
      <c r="C52" s="3616" t="s">
        <v>3513</v>
      </c>
      <c r="D52" s="3617"/>
      <c r="E52" s="3614">
        <f>IF(E47&lt;E48,E48/E47-1,E47/E48-1)</f>
        <v>7.9802451290390541E-2</v>
      </c>
      <c r="F52" s="3613" t="str">
        <f>IF(OR(E52&gt;=0.3,E52&lt;=-0.3),"超过30%","")</f>
        <v/>
      </c>
      <c r="G52" s="3614">
        <f>IF(G47&lt;G48,G48/G47-1,G47/G48-1)</f>
        <v>0.23595469463929475</v>
      </c>
      <c r="H52" s="3613" t="str">
        <f>IF(OR(G52&gt;=0.3,G52&lt;=-0.3),"超过30%","")</f>
        <v/>
      </c>
      <c r="I52" s="3614">
        <f>IF(I47&lt;I48,I48/I47-1,I47/I48-1)</f>
        <v>5.4284575528098955E-2</v>
      </c>
      <c r="J52" s="3613" t="str">
        <f>IF(OR(I52&gt;=0.3,I52&lt;=-0.3),"超过30%","")</f>
        <v/>
      </c>
      <c r="K52" s="3605"/>
      <c r="L52" s="3604"/>
      <c r="M52" s="3469"/>
      <c r="N52" s="3469"/>
      <c r="O52" s="3469"/>
      <c r="P52" s="3603"/>
      <c r="Q52" s="3469"/>
      <c r="R52" s="3469"/>
      <c r="S52" s="3469"/>
      <c r="T52" s="3469"/>
      <c r="U52" s="3469"/>
      <c r="V52" s="3469"/>
      <c r="W52" s="3469"/>
      <c r="X52" s="3469"/>
      <c r="Y52" s="3469"/>
      <c r="Z52" s="3469"/>
      <c r="AA52" s="3469"/>
      <c r="AB52" s="3469"/>
      <c r="AC52" s="3469"/>
    </row>
    <row r="53" spans="1:43" ht="13.5" customHeight="1">
      <c r="A53" s="3469"/>
      <c r="B53" s="3469"/>
      <c r="C53" s="3616" t="s">
        <v>3512</v>
      </c>
      <c r="D53" s="3615"/>
      <c r="E53" s="3614">
        <f>IF(E48&lt;G48,G48/E48-1,E48/G48-1)</f>
        <v>6.8505051805135553E-2</v>
      </c>
      <c r="F53" s="3613" t="str">
        <f>IF(OR(E53&gt;=0.2,E53&lt;=-0.2),"超过20%","")</f>
        <v/>
      </c>
      <c r="G53" s="3614">
        <f>IF(G48&lt;I48,I48/G48-1,G48/I48-1)</f>
        <v>0.21098526288692976</v>
      </c>
      <c r="H53" s="3613" t="str">
        <f>IF(OR(G53&gt;=0.2,G53&lt;=-0.2),"超过20%","")</f>
        <v>超过20%</v>
      </c>
      <c r="I53" s="3614">
        <f>IF(I48&lt;E48,E48/I48-1,I48/E48-1)</f>
        <v>0.13334537898635834</v>
      </c>
      <c r="J53" s="3613" t="str">
        <f>IF(OR(I53&gt;=0.2,I53&lt;=-0.2),"超过20%","")</f>
        <v/>
      </c>
      <c r="K53" s="3605"/>
      <c r="L53" s="3604"/>
      <c r="M53" s="3469"/>
      <c r="N53" s="3469"/>
      <c r="O53" s="3469"/>
      <c r="P53" s="3603"/>
      <c r="Q53" s="3469"/>
      <c r="R53" s="3469"/>
      <c r="S53" s="3469"/>
      <c r="T53" s="3469"/>
      <c r="U53" s="3469"/>
      <c r="V53" s="3469"/>
      <c r="W53" s="3469"/>
      <c r="X53" s="3469"/>
      <c r="Y53" s="3469"/>
      <c r="Z53" s="3469"/>
      <c r="AA53" s="3469"/>
      <c r="AB53" s="3469"/>
      <c r="AC53" s="3469"/>
    </row>
    <row r="54" spans="1:43" s="3608" customFormat="1" ht="13.5" customHeight="1">
      <c r="A54" s="3609"/>
      <c r="B54" s="3609"/>
      <c r="C54" s="3616" t="s">
        <v>3511</v>
      </c>
      <c r="D54" s="3615"/>
      <c r="E54" s="3614">
        <f>IF(E47&lt;G47,G47/E47-1,E47/G47-1)</f>
        <v>7.1227375407870053E-2</v>
      </c>
      <c r="F54" s="3613" t="str">
        <f>IF(OR(E54&gt;=0.3,E54&lt;=-0.3),"超过30%","")</f>
        <v/>
      </c>
      <c r="G54" s="3614">
        <f>IF(G47&lt;I47,I47/G47-1,G47/I47-1)</f>
        <v>3.2985342740360801E-2</v>
      </c>
      <c r="H54" s="3613" t="str">
        <f>IF(OR(G54&gt;=0.3,G54&lt;=-0.3),"超过30%","")</f>
        <v/>
      </c>
      <c r="I54" s="3614">
        <f>IF(I47&lt;E47,E47/I47-1,I47/E47-1)</f>
        <v>0.1065621775385559</v>
      </c>
      <c r="J54" s="3613" t="str">
        <f>IF(OR(I54&gt;=0.3,I54&lt;=-0.3),"超过30%","")</f>
        <v/>
      </c>
      <c r="K54" s="3612"/>
      <c r="L54" s="3611"/>
      <c r="M54" s="3609"/>
      <c r="N54" s="3609"/>
      <c r="O54" s="3609"/>
      <c r="P54" s="3610"/>
      <c r="Q54" s="3609"/>
      <c r="R54" s="3609"/>
      <c r="S54" s="3609"/>
      <c r="T54" s="3609"/>
      <c r="U54" s="3609"/>
      <c r="V54" s="3609"/>
      <c r="W54" s="3609"/>
      <c r="X54" s="3609"/>
      <c r="Y54" s="3609"/>
      <c r="Z54" s="3609"/>
      <c r="AA54" s="3609"/>
      <c r="AB54" s="3609"/>
      <c r="AC54" s="3609"/>
    </row>
    <row r="55" spans="1:43" s="3608" customFormat="1">
      <c r="A55" s="3609"/>
      <c r="B55" s="3607"/>
      <c r="C55" s="3606"/>
      <c r="D55" s="3609"/>
      <c r="E55" s="3609"/>
      <c r="F55" s="3609"/>
      <c r="G55" s="3609"/>
      <c r="H55" s="3609"/>
      <c r="I55" s="3609"/>
      <c r="J55" s="3609"/>
      <c r="K55" s="3612"/>
      <c r="L55" s="3611"/>
      <c r="M55" s="3609"/>
      <c r="N55" s="3609"/>
      <c r="O55" s="3609"/>
      <c r="P55" s="3610"/>
      <c r="Q55" s="3609"/>
      <c r="R55" s="3609"/>
      <c r="S55" s="3609"/>
      <c r="T55" s="3609"/>
      <c r="U55" s="3609"/>
      <c r="V55" s="3609"/>
      <c r="W55" s="3609"/>
      <c r="X55" s="3609"/>
      <c r="Y55" s="3609"/>
      <c r="Z55" s="3609"/>
      <c r="AA55" s="3609"/>
      <c r="AB55" s="3609"/>
      <c r="AC55" s="3609"/>
    </row>
    <row r="56" spans="1:43">
      <c r="A56" s="3469"/>
      <c r="B56" s="3607"/>
      <c r="C56" s="3606"/>
      <c r="D56" s="3469"/>
      <c r="E56" s="3469"/>
      <c r="F56" s="3469"/>
      <c r="G56" s="3469"/>
      <c r="H56" s="3469"/>
      <c r="I56" s="3469"/>
      <c r="J56" s="3469"/>
      <c r="K56" s="3605"/>
      <c r="L56" s="3604"/>
      <c r="M56" s="3469"/>
      <c r="N56" s="3469"/>
      <c r="O56" s="3469"/>
      <c r="P56" s="3603"/>
      <c r="Q56" s="3469"/>
      <c r="R56" s="3469"/>
      <c r="S56" s="3469"/>
      <c r="T56" s="3469"/>
      <c r="U56" s="3469"/>
      <c r="V56" s="3469"/>
      <c r="W56" s="3469"/>
      <c r="X56" s="3469"/>
      <c r="Y56" s="3469"/>
      <c r="Z56" s="3469"/>
      <c r="AA56" s="3469"/>
      <c r="AB56" s="3469"/>
      <c r="AC56" s="3469"/>
    </row>
    <row r="57" spans="1:43" ht="21.75" thickBot="1">
      <c r="A57" s="3602" t="s">
        <v>3510</v>
      </c>
      <c r="B57" s="3601"/>
      <c r="C57" s="3599"/>
      <c r="D57" s="3599"/>
      <c r="E57" s="3599"/>
      <c r="F57" s="3600"/>
      <c r="G57" s="3600"/>
      <c r="H57" s="3599"/>
      <c r="I57" s="3599"/>
      <c r="J57" s="3599"/>
      <c r="K57" s="3598"/>
      <c r="L57" s="3597"/>
      <c r="M57" s="3596"/>
      <c r="N57" s="3596"/>
      <c r="O57" s="3596"/>
      <c r="P57" s="3595"/>
      <c r="Q57" s="3470"/>
      <c r="R57" s="3469"/>
      <c r="S57" s="3469"/>
      <c r="T57" s="3469"/>
      <c r="U57" s="3469"/>
      <c r="V57" s="3469"/>
      <c r="W57" s="3469"/>
      <c r="X57" s="3469"/>
      <c r="Y57" s="3469"/>
      <c r="Z57" s="3469"/>
      <c r="AA57" s="3469"/>
      <c r="AB57" s="3469"/>
      <c r="AC57" s="3469"/>
    </row>
    <row r="58" spans="1:43" s="3589" customFormat="1" ht="15">
      <c r="A58" s="3594" t="s">
        <v>3509</v>
      </c>
      <c r="B58" s="3593"/>
      <c r="C58" s="3592" t="str">
        <f>YEAR(C7)&amp;"-"&amp;MONTH(C7)</f>
        <v>2023-11</v>
      </c>
      <c r="D58" s="3591">
        <f t="shared" ref="D58:AQ58" si="16">EDATE(C58,-1)</f>
        <v>45200</v>
      </c>
      <c r="E58" s="3591">
        <f t="shared" si="16"/>
        <v>45170</v>
      </c>
      <c r="F58" s="3591">
        <f t="shared" si="16"/>
        <v>45139</v>
      </c>
      <c r="G58" s="3591">
        <f t="shared" si="16"/>
        <v>45108</v>
      </c>
      <c r="H58" s="3591">
        <f t="shared" si="16"/>
        <v>45078</v>
      </c>
      <c r="I58" s="3591">
        <f t="shared" si="16"/>
        <v>45047</v>
      </c>
      <c r="J58" s="3591">
        <f t="shared" si="16"/>
        <v>45017</v>
      </c>
      <c r="K58" s="3591">
        <f t="shared" si="16"/>
        <v>44986</v>
      </c>
      <c r="L58" s="3591">
        <f t="shared" si="16"/>
        <v>44958</v>
      </c>
      <c r="M58" s="3591">
        <f t="shared" si="16"/>
        <v>44927</v>
      </c>
      <c r="N58" s="3591">
        <f t="shared" si="16"/>
        <v>44896</v>
      </c>
      <c r="O58" s="3591">
        <f t="shared" si="16"/>
        <v>44866</v>
      </c>
      <c r="P58" s="3590">
        <f t="shared" si="16"/>
        <v>44835</v>
      </c>
      <c r="Q58" s="3590">
        <f t="shared" si="16"/>
        <v>44805</v>
      </c>
      <c r="R58" s="3590">
        <f t="shared" si="16"/>
        <v>44774</v>
      </c>
      <c r="S58" s="3590">
        <f t="shared" si="16"/>
        <v>44743</v>
      </c>
      <c r="T58" s="3590">
        <f t="shared" si="16"/>
        <v>44713</v>
      </c>
      <c r="U58" s="3590">
        <f t="shared" si="16"/>
        <v>44682</v>
      </c>
      <c r="V58" s="3590">
        <f t="shared" si="16"/>
        <v>44652</v>
      </c>
      <c r="W58" s="3590">
        <f t="shared" si="16"/>
        <v>44621</v>
      </c>
      <c r="X58" s="3590">
        <f t="shared" si="16"/>
        <v>44593</v>
      </c>
      <c r="Y58" s="3590">
        <f t="shared" si="16"/>
        <v>44562</v>
      </c>
      <c r="Z58" s="3590">
        <f t="shared" si="16"/>
        <v>44531</v>
      </c>
      <c r="AA58" s="3590">
        <f t="shared" si="16"/>
        <v>44501</v>
      </c>
      <c r="AB58" s="3590">
        <f t="shared" si="16"/>
        <v>44470</v>
      </c>
      <c r="AC58" s="3590">
        <f t="shared" si="16"/>
        <v>44440</v>
      </c>
      <c r="AD58" s="3590">
        <f t="shared" si="16"/>
        <v>44409</v>
      </c>
      <c r="AE58" s="3590">
        <f t="shared" si="16"/>
        <v>44378</v>
      </c>
      <c r="AF58" s="3590">
        <f t="shared" si="16"/>
        <v>44348</v>
      </c>
      <c r="AG58" s="3590">
        <f t="shared" si="16"/>
        <v>44317</v>
      </c>
      <c r="AH58" s="3590">
        <f t="shared" si="16"/>
        <v>44287</v>
      </c>
      <c r="AI58" s="3590">
        <f t="shared" si="16"/>
        <v>44256</v>
      </c>
      <c r="AJ58" s="3590">
        <f t="shared" si="16"/>
        <v>44228</v>
      </c>
      <c r="AK58" s="3590">
        <f t="shared" si="16"/>
        <v>44197</v>
      </c>
      <c r="AL58" s="3590">
        <f t="shared" si="16"/>
        <v>44166</v>
      </c>
      <c r="AM58" s="3590">
        <f t="shared" si="16"/>
        <v>44136</v>
      </c>
      <c r="AN58" s="3590">
        <f t="shared" si="16"/>
        <v>44105</v>
      </c>
      <c r="AO58" s="3590">
        <f t="shared" si="16"/>
        <v>44075</v>
      </c>
      <c r="AP58" s="3590">
        <f t="shared" si="16"/>
        <v>44044</v>
      </c>
      <c r="AQ58" s="3590">
        <f t="shared" si="16"/>
        <v>44013</v>
      </c>
    </row>
    <row r="59" spans="1:43" s="3542" customFormat="1" ht="15">
      <c r="A59" s="3588"/>
      <c r="B59" s="3576"/>
      <c r="C59" s="3587">
        <v>100</v>
      </c>
      <c r="D59" s="3574">
        <v>100</v>
      </c>
      <c r="E59" s="3574">
        <v>100</v>
      </c>
      <c r="F59" s="3574">
        <v>100</v>
      </c>
      <c r="G59" s="3574">
        <v>100</v>
      </c>
      <c r="H59" s="3574">
        <v>100</v>
      </c>
      <c r="I59" s="3574">
        <v>100</v>
      </c>
      <c r="J59" s="3574">
        <v>100</v>
      </c>
      <c r="K59" s="3574">
        <v>100</v>
      </c>
      <c r="L59" s="3574">
        <v>100</v>
      </c>
      <c r="M59" s="3574">
        <v>100</v>
      </c>
      <c r="N59" s="3574">
        <v>99</v>
      </c>
      <c r="O59" s="3574">
        <f t="shared" ref="O59:Y59" si="17">N59</f>
        <v>99</v>
      </c>
      <c r="P59" s="3574">
        <f t="shared" si="17"/>
        <v>99</v>
      </c>
      <c r="Q59" s="3574">
        <f t="shared" si="17"/>
        <v>99</v>
      </c>
      <c r="R59" s="3574">
        <f t="shared" si="17"/>
        <v>99</v>
      </c>
      <c r="S59" s="3574">
        <f t="shared" si="17"/>
        <v>99</v>
      </c>
      <c r="T59" s="3574">
        <f t="shared" si="17"/>
        <v>99</v>
      </c>
      <c r="U59" s="3574">
        <f t="shared" si="17"/>
        <v>99</v>
      </c>
      <c r="V59" s="3574">
        <f t="shared" si="17"/>
        <v>99</v>
      </c>
      <c r="W59" s="3574">
        <f t="shared" si="17"/>
        <v>99</v>
      </c>
      <c r="X59" s="3574">
        <f t="shared" si="17"/>
        <v>99</v>
      </c>
      <c r="Y59" s="3574">
        <f t="shared" si="17"/>
        <v>99</v>
      </c>
      <c r="Z59" s="3586">
        <v>98</v>
      </c>
      <c r="AA59" s="3586">
        <f t="shared" ref="AA59:AH59" si="18">Z59</f>
        <v>98</v>
      </c>
      <c r="AB59" s="3586">
        <f t="shared" si="18"/>
        <v>98</v>
      </c>
      <c r="AC59" s="3586">
        <f t="shared" si="18"/>
        <v>98</v>
      </c>
      <c r="AD59" s="3586">
        <f t="shared" si="18"/>
        <v>98</v>
      </c>
      <c r="AE59" s="3586">
        <f t="shared" si="18"/>
        <v>98</v>
      </c>
      <c r="AF59" s="3586">
        <f t="shared" si="18"/>
        <v>98</v>
      </c>
      <c r="AG59" s="3586">
        <f t="shared" si="18"/>
        <v>98</v>
      </c>
      <c r="AH59" s="3586">
        <f t="shared" si="18"/>
        <v>98</v>
      </c>
      <c r="AI59" s="3586"/>
      <c r="AJ59" s="3586"/>
      <c r="AK59" s="3586"/>
      <c r="AL59" s="3586"/>
      <c r="AM59" s="3586"/>
      <c r="AN59" s="3586"/>
      <c r="AO59" s="3586"/>
      <c r="AP59" s="3586"/>
      <c r="AQ59" s="3586"/>
    </row>
    <row r="60" spans="1:43" s="3542" customFormat="1" ht="15.75" thickBot="1">
      <c r="A60" s="3585" t="s">
        <v>3508</v>
      </c>
      <c r="B60" s="3584"/>
      <c r="C60" s="3583"/>
      <c r="D60" s="3582"/>
      <c r="E60" s="3582"/>
      <c r="F60" s="3582"/>
      <c r="G60" s="3582"/>
      <c r="H60" s="3582"/>
      <c r="I60" s="3582"/>
      <c r="J60" s="3582"/>
      <c r="K60" s="3582"/>
      <c r="L60" s="3582"/>
      <c r="M60" s="3581"/>
      <c r="N60" s="3582"/>
      <c r="O60" s="3581"/>
      <c r="P60" s="3581"/>
      <c r="Q60" s="3581"/>
      <c r="R60" s="3581"/>
      <c r="S60" s="3581"/>
      <c r="T60" s="3581"/>
      <c r="U60" s="3581"/>
      <c r="V60" s="3581"/>
      <c r="W60" s="3581"/>
      <c r="X60" s="3581"/>
      <c r="Y60" s="3581"/>
      <c r="Z60" s="3581"/>
      <c r="AA60" s="3581"/>
      <c r="AB60" s="3581"/>
      <c r="AC60" s="3581"/>
      <c r="AD60" s="3581"/>
      <c r="AE60" s="3581"/>
      <c r="AF60" s="3581"/>
      <c r="AG60" s="3581"/>
      <c r="AH60" s="3581"/>
      <c r="AI60" s="3581"/>
      <c r="AJ60" s="3581"/>
      <c r="AK60" s="3581"/>
      <c r="AL60" s="3581"/>
      <c r="AM60" s="3581"/>
      <c r="AN60" s="3581"/>
      <c r="AO60" s="3581"/>
      <c r="AP60" s="3581"/>
      <c r="AQ60" s="3581"/>
    </row>
    <row r="61" spans="1:43" s="3542" customFormat="1" ht="15">
      <c r="A61" s="3577" t="s">
        <v>3507</v>
      </c>
      <c r="B61" s="3576"/>
      <c r="C61" s="3580" t="s">
        <v>1682</v>
      </c>
      <c r="D61" s="3481"/>
      <c r="E61" s="3481"/>
      <c r="F61" s="3481"/>
      <c r="G61" s="3481"/>
      <c r="H61" s="3481"/>
      <c r="I61" s="3481"/>
      <c r="J61" s="3481"/>
      <c r="K61" s="3481"/>
      <c r="L61" s="3480"/>
      <c r="M61" s="3579"/>
      <c r="N61" s="3529"/>
      <c r="O61" s="3529"/>
      <c r="P61" s="3578"/>
      <c r="Q61" s="3470"/>
      <c r="R61" s="3543"/>
      <c r="S61" s="3543"/>
      <c r="T61" s="3543"/>
      <c r="U61" s="3543"/>
      <c r="V61" s="3543"/>
      <c r="W61" s="3543"/>
      <c r="X61" s="3543"/>
      <c r="Y61" s="3543"/>
      <c r="Z61" s="3543"/>
      <c r="AA61" s="3543"/>
      <c r="AB61" s="3543"/>
      <c r="AC61" s="3543"/>
    </row>
    <row r="62" spans="1:43" s="3542" customFormat="1" ht="15.75" thickBot="1">
      <c r="A62" s="3577"/>
      <c r="B62" s="3576"/>
      <c r="C62" s="3575">
        <v>100</v>
      </c>
      <c r="D62" s="3574"/>
      <c r="E62" s="3574"/>
      <c r="F62" s="3574"/>
      <c r="G62" s="3574"/>
      <c r="H62" s="3574"/>
      <c r="I62" s="3574"/>
      <c r="J62" s="3574"/>
      <c r="K62" s="3574"/>
      <c r="L62" s="3574"/>
      <c r="M62" s="3573"/>
      <c r="N62" s="3529"/>
      <c r="O62" s="3529"/>
      <c r="P62" s="3572"/>
      <c r="Q62" s="3470"/>
      <c r="R62" s="3543"/>
      <c r="S62" s="3543"/>
      <c r="T62" s="3543"/>
      <c r="U62" s="3543"/>
      <c r="V62" s="3543"/>
      <c r="W62" s="3543"/>
      <c r="X62" s="3543"/>
      <c r="Y62" s="3543"/>
      <c r="Z62" s="3543"/>
      <c r="AA62" s="3543"/>
      <c r="AB62" s="3543"/>
      <c r="AC62" s="3543"/>
    </row>
    <row r="63" spans="1:43">
      <c r="A63" s="3536" t="s">
        <v>3506</v>
      </c>
      <c r="B63" s="3535" t="s">
        <v>3505</v>
      </c>
      <c r="C63" s="3553" t="str">
        <f>C9</f>
        <v>商业</v>
      </c>
      <c r="D63" s="3534"/>
      <c r="E63" s="3534"/>
      <c r="F63" s="3534"/>
      <c r="G63" s="3534"/>
      <c r="H63" s="3534"/>
      <c r="I63" s="3534"/>
      <c r="J63" s="3534"/>
      <c r="K63" s="3533"/>
      <c r="L63" s="3532"/>
      <c r="M63" s="3531"/>
      <c r="N63" s="3478"/>
      <c r="O63" s="3478"/>
      <c r="P63" s="3471"/>
      <c r="Q63" s="3470"/>
      <c r="R63" s="3469"/>
      <c r="S63" s="3469"/>
      <c r="T63" s="3469"/>
      <c r="U63" s="3469"/>
      <c r="V63" s="3469"/>
      <c r="W63" s="3469"/>
      <c r="X63" s="3469"/>
      <c r="Y63" s="3469"/>
      <c r="Z63" s="3469"/>
      <c r="AA63" s="3469"/>
      <c r="AB63" s="3469"/>
      <c r="AC63" s="3469"/>
    </row>
    <row r="64" spans="1:43" ht="15.75" thickBot="1">
      <c r="A64" s="3490"/>
      <c r="B64" s="3517"/>
      <c r="C64" s="3487">
        <v>100</v>
      </c>
      <c r="D64" s="3487"/>
      <c r="E64" s="3487"/>
      <c r="F64" s="3487"/>
      <c r="G64" s="3487"/>
      <c r="H64" s="3487"/>
      <c r="I64" s="3487"/>
      <c r="J64" s="3487"/>
      <c r="K64" s="3487"/>
      <c r="L64" s="3487"/>
      <c r="M64" s="3486"/>
      <c r="N64" s="3472"/>
      <c r="O64" s="3472"/>
      <c r="P64" s="3471"/>
      <c r="Q64" s="3470"/>
      <c r="R64" s="3469"/>
      <c r="S64" s="3469"/>
      <c r="T64" s="3469"/>
      <c r="U64" s="3469"/>
      <c r="V64" s="3469"/>
      <c r="W64" s="3469"/>
      <c r="X64" s="3469"/>
      <c r="Y64" s="3469"/>
      <c r="Z64" s="3469"/>
      <c r="AA64" s="3469"/>
      <c r="AB64" s="3469"/>
      <c r="AC64" s="3469"/>
    </row>
    <row r="65" spans="1:29" ht="27.75" thickTop="1">
      <c r="A65" s="3490"/>
      <c r="B65" s="3495" t="s">
        <v>3504</v>
      </c>
      <c r="C65" s="3494" t="s">
        <v>3503</v>
      </c>
      <c r="D65" s="3494" t="s">
        <v>3502</v>
      </c>
      <c r="E65" s="3571" t="s">
        <v>3501</v>
      </c>
      <c r="F65" s="3494"/>
      <c r="G65" s="3494"/>
      <c r="H65" s="3494"/>
      <c r="I65" s="3494"/>
      <c r="J65" s="3494"/>
      <c r="K65" s="3493"/>
      <c r="L65" s="3492"/>
      <c r="M65" s="3491"/>
      <c r="N65" s="3478"/>
      <c r="O65" s="3478"/>
      <c r="P65" s="3471"/>
      <c r="Q65" s="3470"/>
      <c r="R65" s="3469"/>
      <c r="S65" s="3469"/>
      <c r="T65" s="3469"/>
      <c r="U65" s="3469"/>
      <c r="V65" s="3469"/>
      <c r="W65" s="3469"/>
      <c r="X65" s="3469"/>
      <c r="Y65" s="3469"/>
      <c r="Z65" s="3469"/>
      <c r="AA65" s="3469"/>
      <c r="AB65" s="3469"/>
      <c r="AC65" s="3469"/>
    </row>
    <row r="66" spans="1:29" ht="15.75" thickBot="1">
      <c r="A66" s="3490"/>
      <c r="B66" s="3489"/>
      <c r="C66" s="3487">
        <v>100</v>
      </c>
      <c r="D66" s="3487">
        <f>C66-3</f>
        <v>97</v>
      </c>
      <c r="E66" s="3487">
        <f>D66-3</f>
        <v>94</v>
      </c>
      <c r="F66" s="3487"/>
      <c r="G66" s="3487"/>
      <c r="H66" s="3487"/>
      <c r="I66" s="3487"/>
      <c r="J66" s="3487"/>
      <c r="K66" s="3487"/>
      <c r="L66" s="3487"/>
      <c r="M66" s="3486"/>
      <c r="N66" s="3472"/>
      <c r="O66" s="3472"/>
      <c r="P66" s="3471"/>
      <c r="Q66" s="3470"/>
      <c r="R66" s="3469"/>
      <c r="S66" s="3469"/>
      <c r="T66" s="3469"/>
      <c r="U66" s="3469"/>
      <c r="V66" s="3469"/>
      <c r="W66" s="3469"/>
      <c r="X66" s="3469"/>
      <c r="Y66" s="3469"/>
      <c r="Z66" s="3469"/>
      <c r="AA66" s="3469"/>
      <c r="AB66" s="3469"/>
      <c r="AC66" s="3469"/>
    </row>
    <row r="67" spans="1:29" ht="15.75" thickTop="1">
      <c r="A67" s="3490"/>
      <c r="B67" s="3484" t="s">
        <v>3500</v>
      </c>
      <c r="C67" s="3570" t="str">
        <f t="shared" ref="C67:L67" si="19">C68&amp;"（含）"&amp;"-"&amp;D68</f>
        <v>0（含）-1</v>
      </c>
      <c r="D67" s="3570" t="str">
        <f t="shared" si="19"/>
        <v>1（含）-2</v>
      </c>
      <c r="E67" s="3570" t="str">
        <f t="shared" si="19"/>
        <v>2（含）-</v>
      </c>
      <c r="F67" s="3570" t="str">
        <f t="shared" si="19"/>
        <v>（含）-</v>
      </c>
      <c r="G67" s="3570" t="str">
        <f t="shared" si="19"/>
        <v>（含）-</v>
      </c>
      <c r="H67" s="3570" t="str">
        <f t="shared" si="19"/>
        <v>（含）-</v>
      </c>
      <c r="I67" s="3570" t="str">
        <f t="shared" si="19"/>
        <v>（含）-</v>
      </c>
      <c r="J67" s="3570" t="str">
        <f t="shared" si="19"/>
        <v>（含）-</v>
      </c>
      <c r="K67" s="3570" t="str">
        <f t="shared" si="19"/>
        <v>（含）-</v>
      </c>
      <c r="L67" s="3570" t="str">
        <f t="shared" si="19"/>
        <v>（含）-</v>
      </c>
      <c r="M67" s="3569" t="str">
        <f>M68&amp;"（含）"&amp;"-"&amp;P68</f>
        <v>（含）-</v>
      </c>
      <c r="N67" s="3472"/>
      <c r="O67" s="3472"/>
      <c r="P67" s="3471"/>
      <c r="Q67" s="3470"/>
      <c r="R67" s="3469"/>
      <c r="S67" s="3469"/>
      <c r="T67" s="3469"/>
      <c r="U67" s="3469"/>
      <c r="V67" s="3469"/>
      <c r="W67" s="3469"/>
      <c r="X67" s="3469"/>
      <c r="Y67" s="3469"/>
      <c r="Z67" s="3469"/>
      <c r="AA67" s="3469"/>
      <c r="AB67" s="3469"/>
      <c r="AC67" s="3469"/>
    </row>
    <row r="68" spans="1:29" ht="15">
      <c r="A68" s="3490"/>
      <c r="B68" s="3568"/>
      <c r="C68" s="3567">
        <v>0</v>
      </c>
      <c r="D68" s="3567">
        <v>1</v>
      </c>
      <c r="E68" s="3567">
        <v>2</v>
      </c>
      <c r="F68" s="3567"/>
      <c r="G68" s="3567"/>
      <c r="H68" s="3567"/>
      <c r="I68" s="3567"/>
      <c r="J68" s="3567"/>
      <c r="K68" s="3566"/>
      <c r="L68" s="3565"/>
      <c r="M68" s="3564"/>
      <c r="N68" s="3478"/>
      <c r="O68" s="3478"/>
      <c r="P68" s="3471"/>
      <c r="Q68" s="3470"/>
      <c r="R68" s="3469"/>
      <c r="S68" s="3469"/>
      <c r="T68" s="3469"/>
      <c r="U68" s="3469"/>
      <c r="V68" s="3469"/>
      <c r="W68" s="3469"/>
      <c r="X68" s="3469"/>
      <c r="Y68" s="3469"/>
      <c r="Z68" s="3469"/>
      <c r="AA68" s="3469"/>
      <c r="AB68" s="3469"/>
      <c r="AC68" s="3469"/>
    </row>
    <row r="69" spans="1:29" ht="15.75" thickBot="1">
      <c r="A69" s="3490"/>
      <c r="B69" s="3517"/>
      <c r="C69" s="3509">
        <v>100</v>
      </c>
      <c r="D69" s="3509">
        <f t="shared" ref="D69:M69" si="20">C69-$K11</f>
        <v>100</v>
      </c>
      <c r="E69" s="3509">
        <f t="shared" si="20"/>
        <v>100</v>
      </c>
      <c r="F69" s="3509">
        <f t="shared" si="20"/>
        <v>100</v>
      </c>
      <c r="G69" s="3509">
        <f t="shared" si="20"/>
        <v>100</v>
      </c>
      <c r="H69" s="3509">
        <f t="shared" si="20"/>
        <v>100</v>
      </c>
      <c r="I69" s="3509">
        <f t="shared" si="20"/>
        <v>100</v>
      </c>
      <c r="J69" s="3509">
        <f t="shared" si="20"/>
        <v>100</v>
      </c>
      <c r="K69" s="3509">
        <f t="shared" si="20"/>
        <v>100</v>
      </c>
      <c r="L69" s="3509">
        <f t="shared" si="20"/>
        <v>100</v>
      </c>
      <c r="M69" s="3508">
        <f t="shared" si="20"/>
        <v>100</v>
      </c>
      <c r="N69" s="3472"/>
      <c r="O69" s="3472"/>
      <c r="P69" s="3471"/>
      <c r="Q69" s="3470"/>
      <c r="R69" s="3469"/>
      <c r="S69" s="3469"/>
      <c r="T69" s="3469"/>
      <c r="U69" s="3469"/>
      <c r="V69" s="3469"/>
      <c r="W69" s="3469"/>
      <c r="X69" s="3469"/>
      <c r="Y69" s="3469"/>
      <c r="Z69" s="3469"/>
      <c r="AA69" s="3469"/>
      <c r="AB69" s="3469"/>
      <c r="AC69" s="3469"/>
    </row>
    <row r="70" spans="1:29" s="3496" customFormat="1" ht="15.75" thickTop="1">
      <c r="A70" s="3503"/>
      <c r="B70" s="3495">
        <f>B12</f>
        <v>111</v>
      </c>
      <c r="C70" s="3483"/>
      <c r="D70" s="3483"/>
      <c r="E70" s="3483"/>
      <c r="F70" s="3483"/>
      <c r="G70" s="3483"/>
      <c r="H70" s="3506"/>
      <c r="I70" s="3506"/>
      <c r="J70" s="3506"/>
      <c r="K70" s="3506"/>
      <c r="L70" s="3505"/>
      <c r="M70" s="3504"/>
      <c r="N70" s="3500"/>
      <c r="O70" s="3500"/>
      <c r="P70" s="3499"/>
      <c r="Q70" s="3498"/>
      <c r="R70" s="3497"/>
      <c r="S70" s="3497"/>
      <c r="T70" s="3497"/>
      <c r="U70" s="3497"/>
      <c r="V70" s="3497"/>
      <c r="W70" s="3497"/>
      <c r="X70" s="3497"/>
      <c r="Y70" s="3497"/>
      <c r="Z70" s="3497"/>
      <c r="AA70" s="3497"/>
      <c r="AB70" s="3497"/>
      <c r="AC70" s="3497"/>
    </row>
    <row r="71" spans="1:29" s="3496" customFormat="1" ht="15.75" thickBot="1">
      <c r="A71" s="3503"/>
      <c r="B71" s="3489"/>
      <c r="C71" s="3488"/>
      <c r="D71" s="3487"/>
      <c r="E71" s="3487"/>
      <c r="F71" s="3487"/>
      <c r="G71" s="3487"/>
      <c r="H71" s="3487"/>
      <c r="I71" s="3487"/>
      <c r="J71" s="3487"/>
      <c r="K71" s="3487"/>
      <c r="L71" s="3487"/>
      <c r="M71" s="3486"/>
      <c r="N71" s="3472"/>
      <c r="O71" s="3472"/>
      <c r="P71" s="3499"/>
      <c r="Q71" s="3498"/>
      <c r="R71" s="3497"/>
      <c r="S71" s="3497"/>
      <c r="T71" s="3497"/>
      <c r="U71" s="3497"/>
      <c r="V71" s="3497"/>
      <c r="W71" s="3497"/>
      <c r="X71" s="3497"/>
      <c r="Y71" s="3497"/>
      <c r="Z71" s="3497"/>
      <c r="AA71" s="3497"/>
      <c r="AB71" s="3497"/>
      <c r="AC71" s="3497"/>
    </row>
    <row r="72" spans="1:29" s="3496" customFormat="1" ht="15.75" thickTop="1">
      <c r="A72" s="3503"/>
      <c r="B72" s="3495">
        <f>B13</f>
        <v>111</v>
      </c>
      <c r="C72" s="3483"/>
      <c r="D72" s="3483"/>
      <c r="E72" s="3483"/>
      <c r="F72" s="3483"/>
      <c r="G72" s="3483"/>
      <c r="H72" s="3506"/>
      <c r="I72" s="3506"/>
      <c r="J72" s="3506"/>
      <c r="K72" s="3506"/>
      <c r="L72" s="3505"/>
      <c r="M72" s="3504"/>
      <c r="N72" s="3500"/>
      <c r="O72" s="3500"/>
      <c r="P72" s="3563"/>
      <c r="Q72" s="3562"/>
      <c r="R72" s="3497"/>
      <c r="S72" s="3497"/>
      <c r="T72" s="3497"/>
      <c r="U72" s="3497"/>
      <c r="V72" s="3497"/>
      <c r="W72" s="3497"/>
      <c r="X72" s="3497"/>
      <c r="Y72" s="3497"/>
      <c r="Z72" s="3497"/>
      <c r="AA72" s="3497"/>
      <c r="AB72" s="3497"/>
      <c r="AC72" s="3497"/>
    </row>
    <row r="73" spans="1:29" s="3496" customFormat="1" ht="15.75" thickBot="1">
      <c r="A73" s="3503"/>
      <c r="B73" s="3489"/>
      <c r="C73" s="3488"/>
      <c r="D73" s="3487"/>
      <c r="E73" s="3487"/>
      <c r="F73" s="3487"/>
      <c r="G73" s="3488"/>
      <c r="H73" s="3502"/>
      <c r="I73" s="3502"/>
      <c r="J73" s="3502"/>
      <c r="K73" s="3502"/>
      <c r="L73" s="3502"/>
      <c r="M73" s="3501"/>
      <c r="N73" s="3500"/>
      <c r="O73" s="3500"/>
      <c r="P73" s="3499"/>
      <c r="Q73" s="3498"/>
      <c r="R73" s="3497"/>
      <c r="S73" s="3497"/>
      <c r="T73" s="3497"/>
      <c r="U73" s="3497"/>
      <c r="V73" s="3497"/>
      <c r="W73" s="3497"/>
      <c r="X73" s="3497"/>
      <c r="Y73" s="3497"/>
      <c r="Z73" s="3497"/>
      <c r="AA73" s="3497"/>
      <c r="AB73" s="3497"/>
      <c r="AC73" s="3497"/>
    </row>
    <row r="74" spans="1:29" s="3496" customFormat="1" ht="15.75" thickTop="1">
      <c r="A74" s="3503"/>
      <c r="B74" s="3484">
        <f>B14</f>
        <v>111</v>
      </c>
      <c r="C74" s="3483"/>
      <c r="D74" s="3483"/>
      <c r="E74" s="3483"/>
      <c r="F74" s="3483"/>
      <c r="G74" s="3481"/>
      <c r="H74" s="3561"/>
      <c r="I74" s="3561"/>
      <c r="J74" s="3561"/>
      <c r="K74" s="3561"/>
      <c r="L74" s="3560"/>
      <c r="M74" s="3559"/>
      <c r="N74" s="3500"/>
      <c r="O74" s="3500"/>
      <c r="P74" s="3558"/>
      <c r="Q74" s="3498"/>
      <c r="R74" s="3497"/>
      <c r="S74" s="3497"/>
      <c r="T74" s="3497"/>
      <c r="U74" s="3497"/>
      <c r="V74" s="3497"/>
      <c r="W74" s="3497"/>
      <c r="X74" s="3497"/>
      <c r="Y74" s="3497"/>
      <c r="Z74" s="3497"/>
      <c r="AA74" s="3497"/>
      <c r="AB74" s="3497"/>
      <c r="AC74" s="3497"/>
    </row>
    <row r="75" spans="1:29" s="3496" customFormat="1" ht="15.75" thickBot="1">
      <c r="A75" s="3557"/>
      <c r="B75" s="3476"/>
      <c r="C75" s="3475"/>
      <c r="D75" s="3475"/>
      <c r="E75" s="3475"/>
      <c r="F75" s="3475"/>
      <c r="G75" s="3475"/>
      <c r="H75" s="3556"/>
      <c r="I75" s="3556"/>
      <c r="J75" s="3556"/>
      <c r="K75" s="3556"/>
      <c r="L75" s="3556"/>
      <c r="M75" s="3555"/>
      <c r="N75" s="3500"/>
      <c r="O75" s="3500"/>
      <c r="P75" s="3499"/>
      <c r="Q75" s="3498"/>
      <c r="R75" s="3497"/>
      <c r="S75" s="3497"/>
      <c r="T75" s="3497"/>
      <c r="U75" s="3497"/>
      <c r="V75" s="3497"/>
      <c r="W75" s="3497"/>
      <c r="X75" s="3497"/>
      <c r="Y75" s="3497"/>
      <c r="Z75" s="3497"/>
      <c r="AA75" s="3497"/>
      <c r="AB75" s="3497"/>
      <c r="AC75" s="3497"/>
    </row>
    <row r="76" spans="1:29">
      <c r="A76" s="3536" t="s">
        <v>3499</v>
      </c>
      <c r="B76" s="3535" t="s">
        <v>1257</v>
      </c>
      <c r="C76" s="3554" t="s">
        <v>3477</v>
      </c>
      <c r="D76" s="3554" t="s">
        <v>3476</v>
      </c>
      <c r="E76" s="3554" t="s">
        <v>3475</v>
      </c>
      <c r="F76" s="3554" t="s">
        <v>3474</v>
      </c>
      <c r="G76" s="3554" t="s">
        <v>3473</v>
      </c>
      <c r="H76" s="3553"/>
      <c r="I76" s="3553"/>
      <c r="J76" s="3553"/>
      <c r="K76" s="3552"/>
      <c r="L76" s="3551"/>
      <c r="M76" s="3550"/>
      <c r="N76" s="3478"/>
      <c r="O76" s="3478"/>
      <c r="P76" s="3549"/>
      <c r="Q76" s="3470"/>
      <c r="R76" s="3469"/>
      <c r="S76" s="3469"/>
      <c r="T76" s="3469"/>
      <c r="U76" s="3469"/>
      <c r="V76" s="3469"/>
      <c r="W76" s="3469"/>
      <c r="X76" s="3469"/>
      <c r="Y76" s="3469"/>
      <c r="Z76" s="3469"/>
      <c r="AA76" s="3469"/>
      <c r="AB76" s="3469"/>
      <c r="AC76" s="3469"/>
    </row>
    <row r="77" spans="1:29" ht="15.75" thickBot="1">
      <c r="A77" s="3490"/>
      <c r="B77" s="3489"/>
      <c r="C77" s="3509">
        <v>100</v>
      </c>
      <c r="D77" s="3509">
        <f>C77-$K15</f>
        <v>97</v>
      </c>
      <c r="E77" s="3509">
        <f>D77-$K15</f>
        <v>94</v>
      </c>
      <c r="F77" s="3509">
        <f>E77-$K15</f>
        <v>91</v>
      </c>
      <c r="G77" s="3509">
        <f>F77-$K15</f>
        <v>88</v>
      </c>
      <c r="H77" s="3509"/>
      <c r="I77" s="3509"/>
      <c r="J77" s="3509"/>
      <c r="K77" s="3509"/>
      <c r="L77" s="3509"/>
      <c r="M77" s="3508"/>
      <c r="N77" s="3472"/>
      <c r="O77" s="3472"/>
      <c r="P77" s="3471"/>
      <c r="Q77" s="3470"/>
      <c r="R77" s="3469"/>
      <c r="S77" s="3469"/>
      <c r="T77" s="3469"/>
      <c r="U77" s="3469"/>
      <c r="V77" s="3469"/>
      <c r="W77" s="3469"/>
      <c r="X77" s="3469"/>
      <c r="Y77" s="3469"/>
      <c r="Z77" s="3469"/>
      <c r="AA77" s="3469"/>
      <c r="AB77" s="3469"/>
      <c r="AC77" s="3469"/>
    </row>
    <row r="78" spans="1:29" ht="15.75" thickTop="1">
      <c r="A78" s="3490"/>
      <c r="B78" s="3495" t="s">
        <v>1259</v>
      </c>
      <c r="C78" s="3514" t="s">
        <v>3477</v>
      </c>
      <c r="D78" s="3514" t="s">
        <v>3476</v>
      </c>
      <c r="E78" s="3514" t="s">
        <v>3475</v>
      </c>
      <c r="F78" s="3514" t="s">
        <v>3474</v>
      </c>
      <c r="G78" s="3514" t="s">
        <v>3473</v>
      </c>
      <c r="H78" s="3513"/>
      <c r="I78" s="3513"/>
      <c r="J78" s="3513"/>
      <c r="K78" s="3512"/>
      <c r="L78" s="3511"/>
      <c r="M78" s="3510"/>
      <c r="N78" s="3478"/>
      <c r="O78" s="3478"/>
      <c r="P78" s="3471"/>
      <c r="Q78" s="3470"/>
      <c r="R78" s="3469"/>
      <c r="S78" s="3469"/>
      <c r="T78" s="3469"/>
      <c r="U78" s="3469"/>
      <c r="V78" s="3469"/>
      <c r="W78" s="3469"/>
      <c r="X78" s="3469"/>
      <c r="Y78" s="3469"/>
      <c r="Z78" s="3469"/>
      <c r="AA78" s="3469"/>
      <c r="AB78" s="3469"/>
      <c r="AC78" s="3469"/>
    </row>
    <row r="79" spans="1:29" ht="15.75" thickBot="1">
      <c r="A79" s="3490"/>
      <c r="B79" s="3489"/>
      <c r="C79" s="3509">
        <v>100</v>
      </c>
      <c r="D79" s="3509">
        <f>C79-$K17</f>
        <v>97</v>
      </c>
      <c r="E79" s="3509">
        <f>D79-$K17</f>
        <v>94</v>
      </c>
      <c r="F79" s="3509">
        <f>E79-$K17</f>
        <v>91</v>
      </c>
      <c r="G79" s="3509">
        <f>F79-$K17</f>
        <v>88</v>
      </c>
      <c r="H79" s="3509"/>
      <c r="I79" s="3509"/>
      <c r="J79" s="3509"/>
      <c r="K79" s="3509"/>
      <c r="L79" s="3509"/>
      <c r="M79" s="3508"/>
      <c r="N79" s="3472"/>
      <c r="O79" s="3472"/>
      <c r="P79" s="3471"/>
      <c r="Q79" s="3470"/>
      <c r="R79" s="3469"/>
      <c r="S79" s="3469"/>
      <c r="T79" s="3469"/>
      <c r="U79" s="3469"/>
      <c r="V79" s="3469"/>
      <c r="W79" s="3469"/>
      <c r="X79" s="3469"/>
      <c r="Y79" s="3469"/>
      <c r="Z79" s="3469"/>
      <c r="AA79" s="3469"/>
      <c r="AB79" s="3469"/>
      <c r="AC79" s="3469"/>
    </row>
    <row r="80" spans="1:29" ht="15.75" thickTop="1">
      <c r="A80" s="3490"/>
      <c r="B80" s="3495" t="s">
        <v>3498</v>
      </c>
      <c r="C80" s="3514" t="s">
        <v>3477</v>
      </c>
      <c r="D80" s="3514" t="s">
        <v>3476</v>
      </c>
      <c r="E80" s="3514" t="s">
        <v>3475</v>
      </c>
      <c r="F80" s="3514" t="s">
        <v>3474</v>
      </c>
      <c r="G80" s="3514" t="s">
        <v>3473</v>
      </c>
      <c r="H80" s="3513"/>
      <c r="I80" s="3513"/>
      <c r="J80" s="3513"/>
      <c r="K80" s="3512"/>
      <c r="L80" s="3511"/>
      <c r="M80" s="3510"/>
      <c r="N80" s="3478"/>
      <c r="O80" s="3478"/>
      <c r="P80" s="3471"/>
      <c r="Q80" s="3470"/>
      <c r="R80" s="3469"/>
      <c r="S80" s="3469"/>
      <c r="T80" s="3469"/>
      <c r="U80" s="3469"/>
      <c r="V80" s="3469"/>
      <c r="W80" s="3469"/>
      <c r="X80" s="3469"/>
      <c r="Y80" s="3469"/>
      <c r="Z80" s="3469"/>
      <c r="AA80" s="3469"/>
      <c r="AB80" s="3469"/>
      <c r="AC80" s="3469"/>
    </row>
    <row r="81" spans="1:29" ht="15.75" thickBot="1">
      <c r="A81" s="3490"/>
      <c r="B81" s="3489"/>
      <c r="C81" s="3509">
        <v>100</v>
      </c>
      <c r="D81" s="3509">
        <f>C81-$K19</f>
        <v>97</v>
      </c>
      <c r="E81" s="3509">
        <f>D81-$K19</f>
        <v>94</v>
      </c>
      <c r="F81" s="3509">
        <f>E81-$K19</f>
        <v>91</v>
      </c>
      <c r="G81" s="3509">
        <f>F81-$K19</f>
        <v>88</v>
      </c>
      <c r="H81" s="3509"/>
      <c r="I81" s="3509"/>
      <c r="J81" s="3509"/>
      <c r="K81" s="3509"/>
      <c r="L81" s="3509"/>
      <c r="M81" s="3508"/>
      <c r="N81" s="3472"/>
      <c r="O81" s="3472"/>
      <c r="P81" s="3471"/>
      <c r="Q81" s="3470"/>
      <c r="R81" s="3469"/>
      <c r="S81" s="3469"/>
      <c r="T81" s="3469"/>
      <c r="U81" s="3469"/>
      <c r="V81" s="3469"/>
      <c r="W81" s="3469"/>
      <c r="X81" s="3469"/>
      <c r="Y81" s="3469"/>
      <c r="Z81" s="3469"/>
      <c r="AA81" s="3469"/>
      <c r="AB81" s="3469"/>
      <c r="AC81" s="3469"/>
    </row>
    <row r="82" spans="1:29" ht="15.75" thickTop="1">
      <c r="A82" s="3490"/>
      <c r="B82" s="3484" t="s">
        <v>3497</v>
      </c>
      <c r="C82" s="3547" t="s">
        <v>3496</v>
      </c>
      <c r="D82" s="3547" t="s">
        <v>3495</v>
      </c>
      <c r="E82" s="3547" t="s">
        <v>3494</v>
      </c>
      <c r="F82" s="3547" t="s">
        <v>3493</v>
      </c>
      <c r="G82" s="3547" t="s">
        <v>3492</v>
      </c>
      <c r="H82" s="3513"/>
      <c r="I82" s="3513"/>
      <c r="J82" s="3513"/>
      <c r="K82" s="3513"/>
      <c r="L82" s="3513"/>
      <c r="M82" s="3548"/>
      <c r="N82" s="3472"/>
      <c r="O82" s="3472"/>
      <c r="P82" s="3471"/>
      <c r="Q82" s="3470"/>
      <c r="R82" s="3469"/>
      <c r="S82" s="3469"/>
      <c r="T82" s="3469"/>
      <c r="U82" s="3469"/>
      <c r="V82" s="3469"/>
      <c r="W82" s="3469"/>
      <c r="X82" s="3469"/>
      <c r="Y82" s="3469"/>
      <c r="Z82" s="3469"/>
      <c r="AA82" s="3469"/>
      <c r="AB82" s="3469"/>
      <c r="AC82" s="3469"/>
    </row>
    <row r="83" spans="1:29" ht="15.75" thickBot="1">
      <c r="A83" s="3490"/>
      <c r="B83" s="3484"/>
      <c r="C83" s="3509">
        <v>100</v>
      </c>
      <c r="D83" s="3509">
        <f>C83-$K21</f>
        <v>99</v>
      </c>
      <c r="E83" s="3509">
        <f>D83-$K21</f>
        <v>98</v>
      </c>
      <c r="F83" s="3509">
        <f>E83-$K21</f>
        <v>97</v>
      </c>
      <c r="G83" s="3509">
        <f>F83-$K21</f>
        <v>96</v>
      </c>
      <c r="H83" s="3547"/>
      <c r="I83" s="3547"/>
      <c r="J83" s="3547"/>
      <c r="K83" s="3547"/>
      <c r="L83" s="3547"/>
      <c r="M83" s="3546"/>
      <c r="N83" s="3472"/>
      <c r="O83" s="3472"/>
      <c r="P83" s="3471"/>
      <c r="Q83" s="3470"/>
      <c r="R83" s="3469"/>
      <c r="S83" s="3469"/>
      <c r="T83" s="3469"/>
      <c r="U83" s="3469"/>
      <c r="V83" s="3469"/>
      <c r="W83" s="3469"/>
      <c r="X83" s="3469"/>
      <c r="Y83" s="3469"/>
      <c r="Z83" s="3469"/>
      <c r="AA83" s="3469"/>
      <c r="AB83" s="3469"/>
      <c r="AC83" s="3469"/>
    </row>
    <row r="84" spans="1:29" ht="15.75" thickTop="1">
      <c r="A84" s="3490"/>
      <c r="B84" s="3495" t="s">
        <v>1261</v>
      </c>
      <c r="C84" s="3514" t="s">
        <v>3477</v>
      </c>
      <c r="D84" s="3514" t="s">
        <v>3476</v>
      </c>
      <c r="E84" s="3514" t="s">
        <v>3475</v>
      </c>
      <c r="F84" s="3514" t="s">
        <v>3474</v>
      </c>
      <c r="G84" s="3514" t="s">
        <v>3473</v>
      </c>
      <c r="H84" s="3513"/>
      <c r="I84" s="3513"/>
      <c r="J84" s="3513"/>
      <c r="K84" s="3512"/>
      <c r="L84" s="3511"/>
      <c r="M84" s="3510"/>
      <c r="N84" s="3478"/>
      <c r="O84" s="3478"/>
      <c r="P84" s="3471"/>
      <c r="Q84" s="3470"/>
      <c r="R84" s="3469"/>
      <c r="S84" s="3469"/>
      <c r="T84" s="3469"/>
      <c r="U84" s="3469"/>
      <c r="V84" s="3469"/>
      <c r="W84" s="3469"/>
      <c r="X84" s="3469"/>
      <c r="Y84" s="3469"/>
      <c r="Z84" s="3469"/>
      <c r="AA84" s="3469"/>
      <c r="AB84" s="3469"/>
      <c r="AC84" s="3469"/>
    </row>
    <row r="85" spans="1:29" ht="15.75" thickBot="1">
      <c r="A85" s="3490"/>
      <c r="B85" s="3489"/>
      <c r="C85" s="3509">
        <v>100</v>
      </c>
      <c r="D85" s="3509">
        <f>C85-$K23</f>
        <v>98</v>
      </c>
      <c r="E85" s="3509">
        <f>D85-$K23</f>
        <v>96</v>
      </c>
      <c r="F85" s="3509">
        <f>E85-$K23</f>
        <v>94</v>
      </c>
      <c r="G85" s="3509">
        <f>F85-$K23</f>
        <v>92</v>
      </c>
      <c r="H85" s="3509"/>
      <c r="I85" s="3509"/>
      <c r="J85" s="3509"/>
      <c r="K85" s="3509"/>
      <c r="L85" s="3509"/>
      <c r="M85" s="3508"/>
      <c r="N85" s="3472"/>
      <c r="O85" s="3472"/>
      <c r="P85" s="3471"/>
      <c r="Q85" s="3470"/>
      <c r="R85" s="3469"/>
      <c r="S85" s="3469"/>
      <c r="T85" s="3469"/>
      <c r="U85" s="3469"/>
      <c r="V85" s="3469"/>
      <c r="W85" s="3469"/>
      <c r="X85" s="3469"/>
      <c r="Y85" s="3469"/>
      <c r="Z85" s="3469"/>
      <c r="AA85" s="3469"/>
      <c r="AB85" s="3469"/>
      <c r="AC85" s="3469"/>
    </row>
    <row r="86" spans="1:29" s="3542" customFormat="1" ht="15.75" thickTop="1">
      <c r="A86" s="3544"/>
      <c r="B86" s="3495" t="s">
        <v>3491</v>
      </c>
      <c r="C86" s="3483"/>
      <c r="D86" s="3483"/>
      <c r="E86" s="3483"/>
      <c r="F86" s="3483"/>
      <c r="G86" s="3483"/>
      <c r="H86" s="3483"/>
      <c r="I86" s="3483"/>
      <c r="J86" s="3483"/>
      <c r="K86" s="3483"/>
      <c r="L86" s="3541"/>
      <c r="M86" s="3540"/>
      <c r="N86" s="3529"/>
      <c r="O86" s="3529"/>
      <c r="P86" s="3471"/>
      <c r="Q86" s="3470"/>
      <c r="R86" s="3543"/>
      <c r="S86" s="3543"/>
      <c r="T86" s="3543"/>
      <c r="U86" s="3543"/>
      <c r="V86" s="3543"/>
      <c r="W86" s="3543"/>
      <c r="X86" s="3543"/>
      <c r="Y86" s="3543"/>
      <c r="Z86" s="3543"/>
      <c r="AA86" s="3543"/>
      <c r="AB86" s="3543"/>
      <c r="AC86" s="3543"/>
    </row>
    <row r="87" spans="1:29" s="3542" customFormat="1" ht="15.75" thickBot="1">
      <c r="A87" s="3544"/>
      <c r="B87" s="3489"/>
      <c r="C87" s="3516">
        <v>100</v>
      </c>
      <c r="D87" s="3509">
        <f t="shared" ref="D87:M87" si="21">C87-$K25</f>
        <v>100</v>
      </c>
      <c r="E87" s="3509">
        <f t="shared" si="21"/>
        <v>100</v>
      </c>
      <c r="F87" s="3509">
        <f t="shared" si="21"/>
        <v>100</v>
      </c>
      <c r="G87" s="3509">
        <f t="shared" si="21"/>
        <v>100</v>
      </c>
      <c r="H87" s="3509">
        <f t="shared" si="21"/>
        <v>100</v>
      </c>
      <c r="I87" s="3509">
        <f t="shared" si="21"/>
        <v>100</v>
      </c>
      <c r="J87" s="3509">
        <f t="shared" si="21"/>
        <v>100</v>
      </c>
      <c r="K87" s="3509">
        <f t="shared" si="21"/>
        <v>100</v>
      </c>
      <c r="L87" s="3509">
        <f t="shared" si="21"/>
        <v>100</v>
      </c>
      <c r="M87" s="3509">
        <f t="shared" si="21"/>
        <v>100</v>
      </c>
      <c r="N87" s="3472"/>
      <c r="O87" s="3472"/>
      <c r="P87" s="3471"/>
      <c r="Q87" s="3470"/>
      <c r="R87" s="3543"/>
      <c r="S87" s="3543"/>
      <c r="T87" s="3543"/>
      <c r="U87" s="3543"/>
      <c r="V87" s="3543"/>
      <c r="W87" s="3543"/>
      <c r="X87" s="3543"/>
      <c r="Y87" s="3543"/>
      <c r="Z87" s="3543"/>
      <c r="AA87" s="3543"/>
      <c r="AB87" s="3543"/>
      <c r="AC87" s="3543"/>
    </row>
    <row r="88" spans="1:29" s="3542" customFormat="1" ht="15.75" thickTop="1">
      <c r="A88" s="3544"/>
      <c r="B88" s="3495" t="str">
        <f>B26</f>
        <v>平面位置/可视性</v>
      </c>
      <c r="C88" s="3483"/>
      <c r="D88" s="3483"/>
      <c r="E88" s="3483"/>
      <c r="F88" s="3545"/>
      <c r="G88" s="3483"/>
      <c r="H88" s="3483"/>
      <c r="I88" s="3483"/>
      <c r="J88" s="3483"/>
      <c r="K88" s="3483"/>
      <c r="L88" s="3483"/>
      <c r="M88" s="3540"/>
      <c r="N88" s="3529"/>
      <c r="O88" s="3529"/>
      <c r="P88" s="3471"/>
      <c r="Q88" s="3470"/>
      <c r="R88" s="3543"/>
      <c r="S88" s="3543"/>
      <c r="T88" s="3543"/>
      <c r="U88" s="3543"/>
      <c r="V88" s="3543"/>
      <c r="W88" s="3543"/>
      <c r="X88" s="3543"/>
      <c r="Y88" s="3543"/>
      <c r="Z88" s="3543"/>
      <c r="AA88" s="3543"/>
      <c r="AB88" s="3543"/>
      <c r="AC88" s="3543"/>
    </row>
    <row r="89" spans="1:29" s="3542" customFormat="1" ht="15.75" thickBot="1">
      <c r="A89" s="3544"/>
      <c r="B89" s="3489"/>
      <c r="C89" s="3488"/>
      <c r="D89" s="3487"/>
      <c r="E89" s="3487"/>
      <c r="F89" s="3487"/>
      <c r="G89" s="3487"/>
      <c r="H89" s="3487"/>
      <c r="I89" s="3487"/>
      <c r="J89" s="3487"/>
      <c r="K89" s="3487"/>
      <c r="L89" s="3487"/>
      <c r="M89" s="3487"/>
      <c r="N89" s="3472"/>
      <c r="O89" s="3472"/>
      <c r="P89" s="3471"/>
      <c r="Q89" s="3470"/>
      <c r="R89" s="3543"/>
      <c r="S89" s="3543"/>
      <c r="T89" s="3543"/>
      <c r="U89" s="3543"/>
      <c r="V89" s="3543"/>
      <c r="W89" s="3543"/>
      <c r="X89" s="3543"/>
      <c r="Y89" s="3543"/>
      <c r="Z89" s="3543"/>
      <c r="AA89" s="3543"/>
      <c r="AB89" s="3543"/>
      <c r="AC89" s="3543"/>
    </row>
    <row r="90" spans="1:29" s="3496" customFormat="1" ht="15.75" thickTop="1">
      <c r="A90" s="3503"/>
      <c r="B90" s="3495" t="str">
        <f>B27</f>
        <v>人流量</v>
      </c>
      <c r="C90" s="3483"/>
      <c r="D90" s="3483"/>
      <c r="E90" s="3483"/>
      <c r="F90" s="3483"/>
      <c r="G90" s="3483"/>
      <c r="H90" s="3506"/>
      <c r="I90" s="3506"/>
      <c r="J90" s="3506"/>
      <c r="K90" s="3506"/>
      <c r="L90" s="3505"/>
      <c r="M90" s="3504"/>
      <c r="N90" s="3500"/>
      <c r="O90" s="3500"/>
      <c r="P90" s="3499"/>
      <c r="Q90" s="3498"/>
      <c r="R90" s="3497"/>
      <c r="S90" s="3497"/>
      <c r="T90" s="3497"/>
      <c r="U90" s="3497"/>
      <c r="V90" s="3497"/>
      <c r="W90" s="3497"/>
      <c r="X90" s="3497"/>
      <c r="Y90" s="3497"/>
      <c r="Z90" s="3497"/>
      <c r="AA90" s="3497"/>
      <c r="AB90" s="3497"/>
      <c r="AC90" s="3497"/>
    </row>
    <row r="91" spans="1:29" s="3496" customFormat="1" ht="15.75" thickBot="1">
      <c r="A91" s="3503"/>
      <c r="B91" s="3489"/>
      <c r="C91" s="3516">
        <v>100</v>
      </c>
      <c r="D91" s="3509">
        <f t="shared" ref="D91:M91" si="22">C91-$K27</f>
        <v>100</v>
      </c>
      <c r="E91" s="3509">
        <f t="shared" si="22"/>
        <v>100</v>
      </c>
      <c r="F91" s="3509">
        <f t="shared" si="22"/>
        <v>100</v>
      </c>
      <c r="G91" s="3509">
        <f t="shared" si="22"/>
        <v>100</v>
      </c>
      <c r="H91" s="3509">
        <f t="shared" si="22"/>
        <v>100</v>
      </c>
      <c r="I91" s="3509">
        <f t="shared" si="22"/>
        <v>100</v>
      </c>
      <c r="J91" s="3509">
        <f t="shared" si="22"/>
        <v>100</v>
      </c>
      <c r="K91" s="3509">
        <f t="shared" si="22"/>
        <v>100</v>
      </c>
      <c r="L91" s="3509">
        <f t="shared" si="22"/>
        <v>100</v>
      </c>
      <c r="M91" s="3509">
        <f t="shared" si="22"/>
        <v>100</v>
      </c>
      <c r="N91" s="3500"/>
      <c r="O91" s="3500"/>
      <c r="P91" s="3499"/>
      <c r="Q91" s="3498"/>
      <c r="R91" s="3497"/>
      <c r="S91" s="3497"/>
      <c r="T91" s="3497"/>
      <c r="U91" s="3497"/>
      <c r="V91" s="3497"/>
      <c r="W91" s="3497"/>
      <c r="X91" s="3497"/>
      <c r="Y91" s="3497"/>
      <c r="Z91" s="3497"/>
      <c r="AA91" s="3497"/>
      <c r="AB91" s="3497"/>
      <c r="AC91" s="3497"/>
    </row>
    <row r="92" spans="1:29" ht="15.75" thickTop="1">
      <c r="A92" s="3490"/>
      <c r="B92" s="3495" t="str">
        <f>B28</f>
        <v>楼层</v>
      </c>
      <c r="C92" s="3483"/>
      <c r="D92" s="3483"/>
      <c r="E92" s="3483"/>
      <c r="F92" s="3483"/>
      <c r="G92" s="3483"/>
      <c r="H92" s="3483"/>
      <c r="I92" s="3483"/>
      <c r="J92" s="3483"/>
      <c r="K92" s="3483"/>
      <c r="L92" s="3541"/>
      <c r="M92" s="3540"/>
      <c r="N92" s="3478"/>
      <c r="O92" s="3478"/>
      <c r="P92" s="3471"/>
      <c r="Q92" s="3470"/>
      <c r="R92" s="3469"/>
      <c r="S92" s="3469"/>
      <c r="T92" s="3469"/>
      <c r="U92" s="3469"/>
      <c r="V92" s="3469"/>
      <c r="W92" s="3469"/>
      <c r="X92" s="3469"/>
      <c r="Y92" s="3469"/>
      <c r="Z92" s="3469"/>
      <c r="AA92" s="3469"/>
      <c r="AB92" s="3469"/>
      <c r="AC92" s="3469"/>
    </row>
    <row r="93" spans="1:29" ht="15.75" thickBot="1">
      <c r="A93" s="3490"/>
      <c r="B93" s="3489"/>
      <c r="C93" s="3487"/>
      <c r="D93" s="3487"/>
      <c r="E93" s="3487"/>
      <c r="F93" s="3487"/>
      <c r="G93" s="3487"/>
      <c r="H93" s="3487"/>
      <c r="I93" s="3487"/>
      <c r="J93" s="3487"/>
      <c r="K93" s="3487"/>
      <c r="L93" s="3487"/>
      <c r="M93" s="3486"/>
      <c r="N93" s="3472"/>
      <c r="O93" s="3472"/>
      <c r="P93" s="3471"/>
      <c r="Q93" s="3470"/>
      <c r="R93" s="3469"/>
      <c r="S93" s="3469"/>
      <c r="T93" s="3469"/>
      <c r="U93" s="3469"/>
      <c r="V93" s="3469"/>
      <c r="W93" s="3469"/>
      <c r="X93" s="3469"/>
      <c r="Y93" s="3469"/>
      <c r="Z93" s="3469"/>
      <c r="AA93" s="3469"/>
      <c r="AB93" s="3469"/>
      <c r="AC93" s="3469"/>
    </row>
    <row r="94" spans="1:29" ht="27.75" thickTop="1">
      <c r="A94" s="3490"/>
      <c r="B94" s="3495" t="str">
        <f>B29</f>
        <v>消费人群</v>
      </c>
      <c r="C94" s="3539" t="s">
        <v>3490</v>
      </c>
      <c r="D94" s="3515" t="s">
        <v>3489</v>
      </c>
      <c r="E94" s="3483"/>
      <c r="F94" s="3483"/>
      <c r="G94" s="3494"/>
      <c r="H94" s="3494"/>
      <c r="I94" s="3494"/>
      <c r="J94" s="3494"/>
      <c r="K94" s="3493"/>
      <c r="L94" s="3492"/>
      <c r="M94" s="3491"/>
      <c r="N94" s="3478"/>
      <c r="O94" s="3478"/>
      <c r="P94" s="3471"/>
      <c r="Q94" s="3470"/>
      <c r="R94" s="3469"/>
      <c r="S94" s="3469"/>
      <c r="T94" s="3469"/>
      <c r="U94" s="3469"/>
      <c r="V94" s="3469"/>
      <c r="W94" s="3469"/>
      <c r="X94" s="3469"/>
      <c r="Y94" s="3469"/>
      <c r="Z94" s="3469"/>
      <c r="AA94" s="3469"/>
      <c r="AB94" s="3469"/>
      <c r="AC94" s="3469"/>
    </row>
    <row r="95" spans="1:29" ht="15.75" thickBot="1">
      <c r="A95" s="3490"/>
      <c r="B95" s="3489"/>
      <c r="C95" s="3488">
        <v>100</v>
      </c>
      <c r="D95" s="3487">
        <v>97</v>
      </c>
      <c r="E95" s="3487"/>
      <c r="F95" s="3487"/>
      <c r="G95" s="3487"/>
      <c r="H95" s="3487"/>
      <c r="I95" s="3487"/>
      <c r="J95" s="3487"/>
      <c r="K95" s="3487"/>
      <c r="L95" s="3487"/>
      <c r="M95" s="3486"/>
      <c r="N95" s="3472"/>
      <c r="O95" s="3472"/>
      <c r="P95" s="3471"/>
      <c r="Q95" s="3470"/>
      <c r="R95" s="3469"/>
      <c r="S95" s="3469"/>
      <c r="T95" s="3469"/>
      <c r="U95" s="3469"/>
      <c r="V95" s="3469"/>
      <c r="W95" s="3469"/>
      <c r="X95" s="3469"/>
      <c r="Y95" s="3469"/>
      <c r="Z95" s="3469"/>
      <c r="AA95" s="3469"/>
      <c r="AB95" s="3469"/>
      <c r="AC95" s="3469"/>
    </row>
    <row r="96" spans="1:29" ht="15.75" thickTop="1">
      <c r="A96" s="3490"/>
      <c r="B96" s="3495">
        <f>B30</f>
        <v>111</v>
      </c>
      <c r="C96" s="3483"/>
      <c r="D96" s="3483"/>
      <c r="E96" s="3483"/>
      <c r="F96" s="3483"/>
      <c r="G96" s="3494"/>
      <c r="H96" s="3494"/>
      <c r="I96" s="3494"/>
      <c r="J96" s="3494"/>
      <c r="K96" s="3493"/>
      <c r="L96" s="3492"/>
      <c r="M96" s="3491"/>
      <c r="N96" s="3478"/>
      <c r="O96" s="3478"/>
      <c r="P96" s="3471"/>
      <c r="Q96" s="3470"/>
      <c r="R96" s="3469"/>
      <c r="S96" s="3469"/>
      <c r="T96" s="3469"/>
      <c r="U96" s="3469"/>
      <c r="V96" s="3469"/>
      <c r="W96" s="3469"/>
      <c r="X96" s="3469"/>
      <c r="Y96" s="3469"/>
      <c r="Z96" s="3469"/>
      <c r="AA96" s="3469"/>
      <c r="AB96" s="3469"/>
      <c r="AC96" s="3469"/>
    </row>
    <row r="97" spans="1:29" ht="15.75" thickBot="1">
      <c r="A97" s="3490"/>
      <c r="B97" s="3489"/>
      <c r="C97" s="3488"/>
      <c r="D97" s="3487"/>
      <c r="E97" s="3487"/>
      <c r="F97" s="3487"/>
      <c r="G97" s="3487"/>
      <c r="H97" s="3487"/>
      <c r="I97" s="3487"/>
      <c r="J97" s="3487"/>
      <c r="K97" s="3487"/>
      <c r="L97" s="3487"/>
      <c r="M97" s="3486"/>
      <c r="N97" s="3472"/>
      <c r="O97" s="3472"/>
      <c r="P97" s="3471"/>
      <c r="Q97" s="3470"/>
      <c r="R97" s="3469"/>
      <c r="S97" s="3469"/>
      <c r="T97" s="3469"/>
      <c r="U97" s="3469"/>
      <c r="V97" s="3469"/>
      <c r="W97" s="3469"/>
      <c r="X97" s="3469"/>
      <c r="Y97" s="3469"/>
      <c r="Z97" s="3469"/>
      <c r="AA97" s="3469"/>
      <c r="AB97" s="3469"/>
      <c r="AC97" s="3469"/>
    </row>
    <row r="98" spans="1:29" ht="15.75" thickTop="1">
      <c r="A98" s="3490"/>
      <c r="B98" s="3484">
        <f>B31</f>
        <v>111</v>
      </c>
      <c r="C98" s="3483"/>
      <c r="D98" s="3483"/>
      <c r="E98" s="3483"/>
      <c r="F98" s="3483"/>
      <c r="G98" s="3482"/>
      <c r="H98" s="3482"/>
      <c r="I98" s="3482"/>
      <c r="J98" s="3482"/>
      <c r="K98" s="3538"/>
      <c r="L98" s="3537"/>
      <c r="M98" s="3479"/>
      <c r="N98" s="3478"/>
      <c r="O98" s="3478"/>
      <c r="P98" s="3471"/>
      <c r="Q98" s="3470"/>
      <c r="R98" s="3469"/>
      <c r="S98" s="3469"/>
      <c r="T98" s="3469"/>
      <c r="U98" s="3469"/>
      <c r="V98" s="3469"/>
      <c r="W98" s="3469"/>
      <c r="X98" s="3469"/>
      <c r="Y98" s="3469"/>
      <c r="Z98" s="3469"/>
      <c r="AA98" s="3469"/>
      <c r="AB98" s="3469"/>
      <c r="AC98" s="3469"/>
    </row>
    <row r="99" spans="1:29" ht="15.75" thickBot="1">
      <c r="A99" s="3477"/>
      <c r="B99" s="3476"/>
      <c r="C99" s="3475"/>
      <c r="D99" s="3475"/>
      <c r="E99" s="3475"/>
      <c r="F99" s="3475"/>
      <c r="G99" s="3474"/>
      <c r="H99" s="3474"/>
      <c r="I99" s="3474"/>
      <c r="J99" s="3474"/>
      <c r="K99" s="3474"/>
      <c r="L99" s="3474"/>
      <c r="M99" s="3473"/>
      <c r="N99" s="3472"/>
      <c r="O99" s="3472"/>
      <c r="P99" s="3471"/>
      <c r="Q99" s="3470"/>
      <c r="R99" s="3469"/>
      <c r="S99" s="3469"/>
      <c r="T99" s="3469"/>
      <c r="U99" s="3469"/>
      <c r="V99" s="3469"/>
      <c r="W99" s="3469"/>
      <c r="X99" s="3469"/>
      <c r="Y99" s="3469"/>
      <c r="Z99" s="3469"/>
      <c r="AA99" s="3469"/>
      <c r="AB99" s="3469"/>
      <c r="AC99" s="3469"/>
    </row>
    <row r="100" spans="1:29">
      <c r="A100" s="3536" t="s">
        <v>3488</v>
      </c>
      <c r="B100" s="3535" t="s">
        <v>3487</v>
      </c>
      <c r="C100" s="3534"/>
      <c r="D100" s="3534"/>
      <c r="E100" s="3534"/>
      <c r="F100" s="3534"/>
      <c r="G100" s="3534"/>
      <c r="H100" s="3534"/>
      <c r="I100" s="3534"/>
      <c r="J100" s="3534"/>
      <c r="K100" s="3533"/>
      <c r="L100" s="3532"/>
      <c r="M100" s="3531"/>
      <c r="N100" s="3478"/>
      <c r="O100" s="3478"/>
      <c r="P100" s="3471"/>
      <c r="Q100" s="3470"/>
      <c r="R100" s="3469"/>
      <c r="S100" s="3469"/>
      <c r="T100" s="3469"/>
      <c r="U100" s="3469"/>
      <c r="V100" s="3469"/>
      <c r="W100" s="3469"/>
      <c r="X100" s="3469"/>
      <c r="Y100" s="3469"/>
      <c r="Z100" s="3469"/>
      <c r="AA100" s="3469"/>
      <c r="AB100" s="3469"/>
      <c r="AC100" s="3469"/>
    </row>
    <row r="101" spans="1:29" ht="15.75" thickBot="1">
      <c r="A101" s="3490"/>
      <c r="B101" s="3489"/>
      <c r="C101" s="3509">
        <v>100</v>
      </c>
      <c r="D101" s="3509">
        <f t="shared" ref="D101:M101" si="23">C101-$K32</f>
        <v>100</v>
      </c>
      <c r="E101" s="3509">
        <f t="shared" si="23"/>
        <v>100</v>
      </c>
      <c r="F101" s="3509">
        <f t="shared" si="23"/>
        <v>100</v>
      </c>
      <c r="G101" s="3509">
        <f t="shared" si="23"/>
        <v>100</v>
      </c>
      <c r="H101" s="3509">
        <f t="shared" si="23"/>
        <v>100</v>
      </c>
      <c r="I101" s="3509">
        <f t="shared" si="23"/>
        <v>100</v>
      </c>
      <c r="J101" s="3509">
        <f t="shared" si="23"/>
        <v>100</v>
      </c>
      <c r="K101" s="3509">
        <f t="shared" si="23"/>
        <v>100</v>
      </c>
      <c r="L101" s="3509">
        <f t="shared" si="23"/>
        <v>100</v>
      </c>
      <c r="M101" s="3508">
        <f t="shared" si="23"/>
        <v>100</v>
      </c>
      <c r="N101" s="3472"/>
      <c r="O101" s="3472"/>
      <c r="P101" s="3471"/>
      <c r="Q101" s="3470"/>
      <c r="R101" s="3469"/>
      <c r="S101" s="3469"/>
      <c r="T101" s="3469"/>
      <c r="U101" s="3469"/>
      <c r="V101" s="3469"/>
      <c r="W101" s="3469"/>
      <c r="X101" s="3469"/>
      <c r="Y101" s="3469"/>
      <c r="Z101" s="3469"/>
      <c r="AA101" s="3469"/>
      <c r="AB101" s="3469"/>
      <c r="AC101" s="3469"/>
    </row>
    <row r="102" spans="1:29" ht="15.75" thickTop="1">
      <c r="A102" s="3490"/>
      <c r="B102" s="3495" t="s">
        <v>1697</v>
      </c>
      <c r="C102" s="3514" t="str">
        <f t="shared" ref="C102:L102" si="24">C103&amp;"(含)"&amp;"-"&amp;D103</f>
        <v>0(含)-10000</v>
      </c>
      <c r="D102" s="3514" t="str">
        <f t="shared" si="24"/>
        <v>10000(含)-</v>
      </c>
      <c r="E102" s="3514" t="str">
        <f t="shared" si="24"/>
        <v>(含)-</v>
      </c>
      <c r="F102" s="3514" t="str">
        <f t="shared" si="24"/>
        <v>(含)-</v>
      </c>
      <c r="G102" s="3514" t="str">
        <f t="shared" si="24"/>
        <v>(含)-</v>
      </c>
      <c r="H102" s="3514" t="str">
        <f t="shared" si="24"/>
        <v>(含)-</v>
      </c>
      <c r="I102" s="3514" t="str">
        <f t="shared" si="24"/>
        <v>(含)-</v>
      </c>
      <c r="J102" s="3514" t="str">
        <f t="shared" si="24"/>
        <v>(含)-</v>
      </c>
      <c r="K102" s="3514" t="str">
        <f t="shared" si="24"/>
        <v>(含)-</v>
      </c>
      <c r="L102" s="3514" t="str">
        <f t="shared" si="24"/>
        <v>(含)-</v>
      </c>
      <c r="M102" s="3530" t="str">
        <f>M103&amp;"(含)"&amp;"-"&amp;P103</f>
        <v>(含)-</v>
      </c>
      <c r="N102" s="3529"/>
      <c r="O102" s="3529"/>
      <c r="P102" s="3471"/>
      <c r="Q102" s="3470"/>
      <c r="R102" s="3469"/>
      <c r="S102" s="3469"/>
      <c r="T102" s="3469"/>
      <c r="U102" s="3469"/>
      <c r="V102" s="3469"/>
      <c r="W102" s="3469"/>
      <c r="X102" s="3469"/>
      <c r="Y102" s="3469"/>
      <c r="Z102" s="3469"/>
      <c r="AA102" s="3469"/>
      <c r="AB102" s="3469"/>
      <c r="AC102" s="3469"/>
    </row>
    <row r="103" spans="1:29" s="3496" customFormat="1">
      <c r="A103" s="3507"/>
      <c r="B103" s="3528"/>
      <c r="C103" s="3527">
        <v>0</v>
      </c>
      <c r="D103" s="3527">
        <v>10000</v>
      </c>
      <c r="E103" s="3527"/>
      <c r="F103" s="3527"/>
      <c r="G103" s="3527"/>
      <c r="H103" s="3527"/>
      <c r="I103" s="3527"/>
      <c r="J103" s="3526"/>
      <c r="K103" s="3526"/>
      <c r="L103" s="3525"/>
      <c r="M103" s="3524"/>
      <c r="N103" s="3500"/>
      <c r="O103" s="3500"/>
      <c r="P103" s="3499"/>
      <c r="Q103" s="3498"/>
      <c r="R103" s="3497"/>
      <c r="S103" s="3497"/>
      <c r="T103" s="3497"/>
      <c r="U103" s="3497"/>
      <c r="V103" s="3497"/>
      <c r="W103" s="3497"/>
      <c r="X103" s="3497"/>
      <c r="Y103" s="3497"/>
      <c r="Z103" s="3497"/>
      <c r="AA103" s="3497"/>
      <c r="AB103" s="3497"/>
      <c r="AC103" s="3497"/>
    </row>
    <row r="104" spans="1:29" s="3496" customFormat="1" ht="15.75" thickBot="1">
      <c r="A104" s="3503"/>
      <c r="B104" s="3489"/>
      <c r="C104" s="3488"/>
      <c r="D104" s="3487"/>
      <c r="E104" s="3487"/>
      <c r="F104" s="3487"/>
      <c r="G104" s="3487"/>
      <c r="H104" s="3487"/>
      <c r="I104" s="3487"/>
      <c r="J104" s="3487"/>
      <c r="K104" s="3487"/>
      <c r="L104" s="3487"/>
      <c r="M104" s="3486"/>
      <c r="N104" s="3472"/>
      <c r="O104" s="3472"/>
      <c r="P104" s="3499"/>
      <c r="Q104" s="3498"/>
      <c r="R104" s="3497"/>
      <c r="S104" s="3497"/>
      <c r="T104" s="3497"/>
      <c r="U104" s="3497"/>
      <c r="V104" s="3497"/>
      <c r="W104" s="3497"/>
      <c r="X104" s="3497"/>
      <c r="Y104" s="3497"/>
      <c r="Z104" s="3497"/>
      <c r="AA104" s="3497"/>
      <c r="AB104" s="3497"/>
      <c r="AC104" s="3497"/>
    </row>
    <row r="105" spans="1:29" ht="15" thickTop="1">
      <c r="A105" s="3485"/>
      <c r="B105" s="3495" t="s">
        <v>1698</v>
      </c>
      <c r="C105" s="3515" t="s">
        <v>3399</v>
      </c>
      <c r="D105" s="3483"/>
      <c r="E105" s="3494"/>
      <c r="F105" s="3494"/>
      <c r="G105" s="3494"/>
      <c r="H105" s="3494"/>
      <c r="I105" s="3494"/>
      <c r="J105" s="3494"/>
      <c r="K105" s="3493"/>
      <c r="L105" s="3492"/>
      <c r="M105" s="3491"/>
      <c r="N105" s="3478"/>
      <c r="O105" s="3478"/>
      <c r="P105" s="3471"/>
      <c r="Q105" s="3470"/>
      <c r="R105" s="3469"/>
      <c r="S105" s="3469"/>
      <c r="T105" s="3469"/>
      <c r="U105" s="3469"/>
      <c r="V105" s="3469"/>
      <c r="W105" s="3469"/>
      <c r="X105" s="3469"/>
      <c r="Y105" s="3469"/>
      <c r="Z105" s="3469"/>
      <c r="AA105" s="3469"/>
      <c r="AB105" s="3469"/>
      <c r="AC105" s="3469"/>
    </row>
    <row r="106" spans="1:29" ht="15.75" thickBot="1">
      <c r="A106" s="3490"/>
      <c r="B106" s="3489"/>
      <c r="C106" s="3509">
        <v>100</v>
      </c>
      <c r="D106" s="3509">
        <f t="shared" ref="D106:M106" si="25">C106-$K34</f>
        <v>98</v>
      </c>
      <c r="E106" s="3509">
        <f t="shared" si="25"/>
        <v>96</v>
      </c>
      <c r="F106" s="3509">
        <f t="shared" si="25"/>
        <v>94</v>
      </c>
      <c r="G106" s="3509">
        <f t="shared" si="25"/>
        <v>92</v>
      </c>
      <c r="H106" s="3509">
        <f t="shared" si="25"/>
        <v>90</v>
      </c>
      <c r="I106" s="3509">
        <f t="shared" si="25"/>
        <v>88</v>
      </c>
      <c r="J106" s="3509">
        <f t="shared" si="25"/>
        <v>86</v>
      </c>
      <c r="K106" s="3509">
        <f t="shared" si="25"/>
        <v>84</v>
      </c>
      <c r="L106" s="3509">
        <f t="shared" si="25"/>
        <v>82</v>
      </c>
      <c r="M106" s="3508">
        <f t="shared" si="25"/>
        <v>80</v>
      </c>
      <c r="N106" s="3472"/>
      <c r="O106" s="3472"/>
      <c r="P106" s="3471"/>
      <c r="Q106" s="3470"/>
      <c r="R106" s="3469"/>
      <c r="S106" s="3469"/>
      <c r="T106" s="3469"/>
      <c r="U106" s="3469"/>
      <c r="V106" s="3469"/>
      <c r="W106" s="3469"/>
      <c r="X106" s="3469"/>
      <c r="Y106" s="3469"/>
      <c r="Z106" s="3469"/>
      <c r="AA106" s="3469"/>
      <c r="AB106" s="3469"/>
      <c r="AC106" s="3469"/>
    </row>
    <row r="107" spans="1:29" ht="15" thickTop="1">
      <c r="A107" s="3485"/>
      <c r="B107" s="3495" t="s">
        <v>1700</v>
      </c>
      <c r="C107" s="3483"/>
      <c r="D107" s="3483"/>
      <c r="E107" s="3483"/>
      <c r="F107" s="3494"/>
      <c r="G107" s="3494"/>
      <c r="H107" s="3494"/>
      <c r="I107" s="3494"/>
      <c r="J107" s="3494"/>
      <c r="K107" s="3493"/>
      <c r="L107" s="3492"/>
      <c r="M107" s="3491"/>
      <c r="N107" s="3478"/>
      <c r="O107" s="3478"/>
      <c r="P107" s="3471"/>
      <c r="Q107" s="3470"/>
      <c r="R107" s="3469"/>
      <c r="S107" s="3469"/>
      <c r="T107" s="3469"/>
      <c r="U107" s="3469"/>
      <c r="V107" s="3469"/>
      <c r="W107" s="3469"/>
      <c r="X107" s="3469"/>
      <c r="Y107" s="3469"/>
      <c r="Z107" s="3469"/>
      <c r="AA107" s="3469"/>
      <c r="AB107" s="3469"/>
      <c r="AC107" s="3469"/>
    </row>
    <row r="108" spans="1:29" ht="15.75" thickBot="1">
      <c r="A108" s="3490"/>
      <c r="B108" s="3489"/>
      <c r="C108" s="3509">
        <v>100</v>
      </c>
      <c r="D108" s="3509">
        <f t="shared" ref="D108:M108" si="26">C108-$K35</f>
        <v>100</v>
      </c>
      <c r="E108" s="3509">
        <f t="shared" si="26"/>
        <v>100</v>
      </c>
      <c r="F108" s="3509">
        <f t="shared" si="26"/>
        <v>100</v>
      </c>
      <c r="G108" s="3509">
        <f t="shared" si="26"/>
        <v>100</v>
      </c>
      <c r="H108" s="3509">
        <f t="shared" si="26"/>
        <v>100</v>
      </c>
      <c r="I108" s="3509">
        <f t="shared" si="26"/>
        <v>100</v>
      </c>
      <c r="J108" s="3509">
        <f t="shared" si="26"/>
        <v>100</v>
      </c>
      <c r="K108" s="3509">
        <f t="shared" si="26"/>
        <v>100</v>
      </c>
      <c r="L108" s="3509">
        <f t="shared" si="26"/>
        <v>100</v>
      </c>
      <c r="M108" s="3508">
        <f t="shared" si="26"/>
        <v>100</v>
      </c>
      <c r="N108" s="3472"/>
      <c r="O108" s="3472"/>
      <c r="P108" s="3471"/>
      <c r="Q108" s="3470"/>
      <c r="R108" s="3469"/>
      <c r="S108" s="3469"/>
      <c r="T108" s="3469"/>
      <c r="U108" s="3469"/>
      <c r="V108" s="3469"/>
      <c r="W108" s="3469"/>
      <c r="X108" s="3469"/>
      <c r="Y108" s="3469"/>
      <c r="Z108" s="3469"/>
      <c r="AA108" s="3469"/>
      <c r="AB108" s="3469"/>
      <c r="AC108" s="3469"/>
    </row>
    <row r="109" spans="1:29" ht="15" thickTop="1">
      <c r="A109" s="3485"/>
      <c r="B109" s="3495" t="s">
        <v>1701</v>
      </c>
      <c r="C109" s="3514" t="str">
        <f>C110&amp;"(含)"&amp;"-"&amp;D110</f>
        <v>0.5(含)-0.6</v>
      </c>
      <c r="D109" s="3514" t="str">
        <f>D110&amp;"(含)"&amp;"-"&amp;E110</f>
        <v>0.6(含)-0.7</v>
      </c>
      <c r="E109" s="3514" t="str">
        <f>E110&amp;"(含)"&amp;"-"&amp;F110</f>
        <v>0.7(含)-0.8</v>
      </c>
      <c r="F109" s="3514" t="str">
        <f>F110&amp;"(含)"&amp;"-"&amp;G110</f>
        <v>0.8(含)-0.9</v>
      </c>
      <c r="G109" s="3514" t="str">
        <f>G110&amp;"(含)"&amp;"-"&amp;ROUND(H110,0)&amp;"(含)"</f>
        <v>0.9(含)-1(含)</v>
      </c>
      <c r="H109" s="3514"/>
      <c r="I109" s="3494"/>
      <c r="J109" s="3494"/>
      <c r="K109" s="3493"/>
      <c r="L109" s="3492"/>
      <c r="M109" s="3491"/>
      <c r="N109" s="3478"/>
      <c r="O109" s="3478"/>
      <c r="P109" s="3471"/>
      <c r="Q109" s="3470"/>
      <c r="R109" s="3469"/>
      <c r="S109" s="3469"/>
      <c r="T109" s="3469"/>
      <c r="U109" s="3469"/>
      <c r="V109" s="3469"/>
      <c r="W109" s="3469"/>
      <c r="X109" s="3469"/>
      <c r="Y109" s="3469"/>
      <c r="Z109" s="3469"/>
      <c r="AA109" s="3469"/>
      <c r="AB109" s="3469"/>
      <c r="AC109" s="3469"/>
    </row>
    <row r="110" spans="1:29">
      <c r="A110" s="3485"/>
      <c r="B110" s="3484"/>
      <c r="C110" s="3523">
        <v>0.5</v>
      </c>
      <c r="D110" s="3523">
        <v>0.6</v>
      </c>
      <c r="E110" s="3523">
        <v>0.7</v>
      </c>
      <c r="F110" s="3523">
        <v>0.8</v>
      </c>
      <c r="G110" s="3523">
        <v>0.9</v>
      </c>
      <c r="H110" s="3523">
        <v>1.0001</v>
      </c>
      <c r="I110" s="3522"/>
      <c r="J110" s="3522"/>
      <c r="K110" s="3521"/>
      <c r="L110" s="3520"/>
      <c r="M110" s="3519"/>
      <c r="N110" s="3478"/>
      <c r="O110" s="3478"/>
      <c r="P110" s="3471"/>
      <c r="Q110" s="3470"/>
      <c r="R110" s="3469"/>
      <c r="S110" s="3469"/>
      <c r="T110" s="3469"/>
      <c r="U110" s="3469"/>
      <c r="V110" s="3469"/>
      <c r="W110" s="3469"/>
      <c r="X110" s="3469"/>
      <c r="Y110" s="3469"/>
      <c r="Z110" s="3469"/>
      <c r="AA110" s="3469"/>
      <c r="AB110" s="3469"/>
      <c r="AC110" s="3469"/>
    </row>
    <row r="111" spans="1:29" ht="15.75" thickBot="1">
      <c r="A111" s="3490"/>
      <c r="B111" s="3489"/>
      <c r="C111" s="3516">
        <v>100</v>
      </c>
      <c r="D111" s="3509">
        <f t="shared" ref="D111:M111" si="27">C111+$K36</f>
        <v>101</v>
      </c>
      <c r="E111" s="3509">
        <f t="shared" si="27"/>
        <v>102</v>
      </c>
      <c r="F111" s="3509">
        <f t="shared" si="27"/>
        <v>103</v>
      </c>
      <c r="G111" s="3509">
        <f t="shared" si="27"/>
        <v>104</v>
      </c>
      <c r="H111" s="3509">
        <f t="shared" si="27"/>
        <v>105</v>
      </c>
      <c r="I111" s="3509">
        <f t="shared" si="27"/>
        <v>106</v>
      </c>
      <c r="J111" s="3509">
        <f t="shared" si="27"/>
        <v>107</v>
      </c>
      <c r="K111" s="3509">
        <f t="shared" si="27"/>
        <v>108</v>
      </c>
      <c r="L111" s="3509">
        <f t="shared" si="27"/>
        <v>109</v>
      </c>
      <c r="M111" s="3509">
        <f t="shared" si="27"/>
        <v>110</v>
      </c>
      <c r="N111" s="3472"/>
      <c r="O111" s="3472"/>
      <c r="P111" s="3471"/>
      <c r="Q111" s="3470"/>
      <c r="R111" s="3469"/>
      <c r="S111" s="3469"/>
      <c r="T111" s="3469"/>
      <c r="U111" s="3469"/>
      <c r="V111" s="3469"/>
      <c r="W111" s="3469"/>
      <c r="X111" s="3469"/>
      <c r="Y111" s="3469"/>
      <c r="Z111" s="3469"/>
      <c r="AA111" s="3469"/>
      <c r="AB111" s="3469"/>
      <c r="AC111" s="3469"/>
    </row>
    <row r="112" spans="1:29" s="3496" customFormat="1" ht="15" thickTop="1">
      <c r="A112" s="3507"/>
      <c r="B112" s="3495" t="s">
        <v>3486</v>
      </c>
      <c r="C112" s="3515" t="s">
        <v>3485</v>
      </c>
      <c r="D112" s="3515" t="s">
        <v>3484</v>
      </c>
      <c r="E112" s="3483"/>
      <c r="F112" s="3483"/>
      <c r="G112" s="3483"/>
      <c r="H112" s="3494"/>
      <c r="I112" s="3494"/>
      <c r="J112" s="3494"/>
      <c r="K112" s="3493"/>
      <c r="L112" s="3492"/>
      <c r="M112" s="3491"/>
      <c r="N112" s="3500"/>
      <c r="O112" s="3500"/>
      <c r="P112" s="3499"/>
      <c r="Q112" s="3498"/>
      <c r="R112" s="3497"/>
      <c r="S112" s="3497"/>
      <c r="T112" s="3497"/>
      <c r="U112" s="3497"/>
      <c r="V112" s="3497"/>
      <c r="W112" s="3497"/>
      <c r="X112" s="3497"/>
      <c r="Y112" s="3497"/>
      <c r="Z112" s="3497"/>
      <c r="AA112" s="3497"/>
      <c r="AB112" s="3497"/>
      <c r="AC112" s="3497"/>
    </row>
    <row r="113" spans="1:29" s="3496" customFormat="1" ht="15.75" thickBot="1">
      <c r="A113" s="3503"/>
      <c r="B113" s="3489"/>
      <c r="C113" s="3509">
        <v>100</v>
      </c>
      <c r="D113" s="3509">
        <f t="shared" ref="D113:M113" si="28">C113-$K37</f>
        <v>99</v>
      </c>
      <c r="E113" s="3509">
        <f t="shared" si="28"/>
        <v>98</v>
      </c>
      <c r="F113" s="3509">
        <f t="shared" si="28"/>
        <v>97</v>
      </c>
      <c r="G113" s="3509">
        <f t="shared" si="28"/>
        <v>96</v>
      </c>
      <c r="H113" s="3509">
        <f t="shared" si="28"/>
        <v>95</v>
      </c>
      <c r="I113" s="3509">
        <f t="shared" si="28"/>
        <v>94</v>
      </c>
      <c r="J113" s="3509">
        <f t="shared" si="28"/>
        <v>93</v>
      </c>
      <c r="K113" s="3509">
        <f t="shared" si="28"/>
        <v>92</v>
      </c>
      <c r="L113" s="3509">
        <f t="shared" si="28"/>
        <v>91</v>
      </c>
      <c r="M113" s="3509">
        <f t="shared" si="28"/>
        <v>90</v>
      </c>
      <c r="N113" s="3500"/>
      <c r="O113" s="3500"/>
      <c r="P113" s="3499"/>
      <c r="Q113" s="3498"/>
      <c r="R113" s="3497"/>
      <c r="S113" s="3497"/>
      <c r="T113" s="3497"/>
      <c r="U113" s="3497"/>
      <c r="V113" s="3497"/>
      <c r="W113" s="3497"/>
      <c r="X113" s="3497"/>
      <c r="Y113" s="3497"/>
      <c r="Z113" s="3497"/>
      <c r="AA113" s="3497"/>
      <c r="AB113" s="3497"/>
      <c r="AC113" s="3497"/>
    </row>
    <row r="114" spans="1:29" ht="15" thickTop="1">
      <c r="A114" s="3485"/>
      <c r="B114" s="3495" t="s">
        <v>3483</v>
      </c>
      <c r="C114" s="3515" t="s">
        <v>3482</v>
      </c>
      <c r="D114" s="3483"/>
      <c r="E114" s="3494"/>
      <c r="F114" s="3494"/>
      <c r="G114" s="3494"/>
      <c r="H114" s="3494"/>
      <c r="I114" s="3494"/>
      <c r="J114" s="3494"/>
      <c r="K114" s="3493"/>
      <c r="L114" s="3492"/>
      <c r="M114" s="3491"/>
      <c r="N114" s="3478"/>
      <c r="O114" s="3478"/>
      <c r="P114" s="3471"/>
      <c r="Q114" s="3470"/>
      <c r="R114" s="3469"/>
      <c r="S114" s="3469"/>
      <c r="T114" s="3469"/>
      <c r="U114" s="3469"/>
      <c r="V114" s="3469"/>
      <c r="W114" s="3469"/>
      <c r="X114" s="3469"/>
      <c r="Y114" s="3469"/>
      <c r="Z114" s="3469"/>
      <c r="AA114" s="3469"/>
      <c r="AB114" s="3469"/>
      <c r="AC114" s="3469"/>
    </row>
    <row r="115" spans="1:29" ht="15.75" thickBot="1">
      <c r="A115" s="3490"/>
      <c r="B115" s="3489"/>
      <c r="C115" s="3509">
        <v>100</v>
      </c>
      <c r="D115" s="3509">
        <f t="shared" ref="D115:M115" si="29">C115-$K38</f>
        <v>98</v>
      </c>
      <c r="E115" s="3509">
        <f t="shared" si="29"/>
        <v>96</v>
      </c>
      <c r="F115" s="3509">
        <f t="shared" si="29"/>
        <v>94</v>
      </c>
      <c r="G115" s="3509">
        <f t="shared" si="29"/>
        <v>92</v>
      </c>
      <c r="H115" s="3509">
        <f t="shared" si="29"/>
        <v>90</v>
      </c>
      <c r="I115" s="3509">
        <f t="shared" si="29"/>
        <v>88</v>
      </c>
      <c r="J115" s="3509">
        <f t="shared" si="29"/>
        <v>86</v>
      </c>
      <c r="K115" s="3509">
        <f t="shared" si="29"/>
        <v>84</v>
      </c>
      <c r="L115" s="3509">
        <f t="shared" si="29"/>
        <v>82</v>
      </c>
      <c r="M115" s="3508">
        <f t="shared" si="29"/>
        <v>80</v>
      </c>
      <c r="N115" s="3472"/>
      <c r="O115" s="3472"/>
      <c r="P115" s="3471"/>
      <c r="Q115" s="3470"/>
      <c r="R115" s="3469"/>
      <c r="S115" s="3469"/>
      <c r="T115" s="3469"/>
      <c r="U115" s="3469"/>
      <c r="V115" s="3469"/>
      <c r="W115" s="3469"/>
      <c r="X115" s="3469"/>
      <c r="Y115" s="3469"/>
      <c r="Z115" s="3469"/>
      <c r="AA115" s="3469"/>
      <c r="AB115" s="3469"/>
      <c r="AC115" s="3469"/>
    </row>
    <row r="116" spans="1:29" ht="15" thickTop="1">
      <c r="A116" s="3485"/>
      <c r="B116" s="3495" t="s">
        <v>3481</v>
      </c>
      <c r="C116" s="3483"/>
      <c r="D116" s="3483"/>
      <c r="E116" s="3483"/>
      <c r="F116" s="3483"/>
      <c r="G116" s="3483"/>
      <c r="H116" s="3494"/>
      <c r="I116" s="3494"/>
      <c r="J116" s="3494"/>
      <c r="K116" s="3493"/>
      <c r="L116" s="3492"/>
      <c r="M116" s="3491"/>
      <c r="N116" s="3478"/>
      <c r="O116" s="3478"/>
      <c r="P116" s="3471"/>
      <c r="Q116" s="3470"/>
      <c r="R116" s="3469"/>
      <c r="S116" s="3469"/>
      <c r="T116" s="3469"/>
      <c r="U116" s="3469"/>
      <c r="V116" s="3469"/>
      <c r="W116" s="3469"/>
      <c r="X116" s="3469"/>
      <c r="Y116" s="3469"/>
      <c r="Z116" s="3469"/>
      <c r="AA116" s="3469"/>
      <c r="AB116" s="3469"/>
      <c r="AC116" s="3469"/>
    </row>
    <row r="117" spans="1:29" ht="15.75" thickBot="1">
      <c r="A117" s="3490"/>
      <c r="B117" s="3489"/>
      <c r="C117" s="3509">
        <v>100</v>
      </c>
      <c r="D117" s="3509">
        <f>C117-$K39</f>
        <v>100</v>
      </c>
      <c r="E117" s="3509">
        <f>D117-$K39</f>
        <v>100</v>
      </c>
      <c r="F117" s="3509">
        <f>E117-$K39</f>
        <v>100</v>
      </c>
      <c r="G117" s="3509">
        <f>F117-$K39</f>
        <v>100</v>
      </c>
      <c r="H117" s="3509"/>
      <c r="I117" s="3509"/>
      <c r="J117" s="3509"/>
      <c r="K117" s="3509"/>
      <c r="L117" s="3509"/>
      <c r="M117" s="3508"/>
      <c r="N117" s="3472"/>
      <c r="O117" s="3472"/>
      <c r="P117" s="3471"/>
      <c r="Q117" s="3470"/>
      <c r="R117" s="3469"/>
      <c r="S117" s="3469"/>
      <c r="T117" s="3469"/>
      <c r="U117" s="3469"/>
      <c r="V117" s="3469"/>
      <c r="W117" s="3469"/>
      <c r="X117" s="3469"/>
      <c r="Y117" s="3469"/>
      <c r="Z117" s="3469"/>
      <c r="AA117" s="3469"/>
      <c r="AB117" s="3469"/>
      <c r="AC117" s="3469"/>
    </row>
    <row r="118" spans="1:29" ht="15" thickTop="1">
      <c r="A118" s="3485"/>
      <c r="B118" s="3495" t="s">
        <v>3480</v>
      </c>
      <c r="C118" s="3518"/>
      <c r="D118" s="3518"/>
      <c r="E118" s="3518"/>
      <c r="F118" s="3518"/>
      <c r="G118" s="3518"/>
      <c r="H118" s="3506"/>
      <c r="I118" s="3506"/>
      <c r="J118" s="3506"/>
      <c r="K118" s="3506"/>
      <c r="L118" s="3505"/>
      <c r="M118" s="3504"/>
      <c r="N118" s="3478"/>
      <c r="O118" s="3478"/>
      <c r="P118" s="3471"/>
      <c r="Q118" s="3470"/>
      <c r="R118" s="3469"/>
      <c r="S118" s="3469"/>
      <c r="T118" s="3469"/>
      <c r="U118" s="3469"/>
      <c r="V118" s="3469"/>
      <c r="W118" s="3469"/>
      <c r="X118" s="3469"/>
      <c r="Y118" s="3469"/>
      <c r="Z118" s="3469"/>
      <c r="AA118" s="3469"/>
      <c r="AB118" s="3469"/>
      <c r="AC118" s="3469"/>
    </row>
    <row r="119" spans="1:29" ht="15.75" thickBot="1">
      <c r="A119" s="3490"/>
      <c r="B119" s="3489"/>
      <c r="C119" s="3488"/>
      <c r="D119" s="3487"/>
      <c r="E119" s="3487"/>
      <c r="F119" s="3487"/>
      <c r="G119" s="3487"/>
      <c r="H119" s="3487"/>
      <c r="I119" s="3487"/>
      <c r="J119" s="3487"/>
      <c r="K119" s="3487"/>
      <c r="L119" s="3487"/>
      <c r="M119" s="3486"/>
      <c r="N119" s="3472"/>
      <c r="O119" s="3472"/>
      <c r="P119" s="3471"/>
      <c r="Q119" s="3470"/>
      <c r="R119" s="3469"/>
      <c r="S119" s="3469"/>
      <c r="T119" s="3469"/>
      <c r="U119" s="3469"/>
      <c r="V119" s="3469"/>
      <c r="W119" s="3469"/>
      <c r="X119" s="3469"/>
      <c r="Y119" s="3469"/>
      <c r="Z119" s="3469"/>
      <c r="AA119" s="3469"/>
      <c r="AB119" s="3469"/>
      <c r="AC119" s="3469"/>
    </row>
    <row r="120" spans="1:29" s="3496" customFormat="1" ht="15" thickTop="1">
      <c r="A120" s="3507"/>
      <c r="B120" s="3495" t="s">
        <v>3479</v>
      </c>
      <c r="C120" s="3494"/>
      <c r="D120" s="3494"/>
      <c r="E120" s="3494"/>
      <c r="F120" s="3494"/>
      <c r="G120" s="3506"/>
      <c r="H120" s="3506"/>
      <c r="I120" s="3506"/>
      <c r="J120" s="3506"/>
      <c r="K120" s="3506"/>
      <c r="L120" s="3505"/>
      <c r="M120" s="3504"/>
      <c r="N120" s="3500"/>
      <c r="O120" s="3500"/>
      <c r="P120" s="3499"/>
      <c r="Q120" s="3498"/>
      <c r="R120" s="3497"/>
      <c r="S120" s="3497"/>
      <c r="T120" s="3497"/>
      <c r="U120" s="3497"/>
      <c r="V120" s="3497"/>
      <c r="W120" s="3497"/>
      <c r="X120" s="3497"/>
      <c r="Y120" s="3497"/>
      <c r="Z120" s="3497"/>
      <c r="AA120" s="3497"/>
      <c r="AB120" s="3497"/>
      <c r="AC120" s="3497"/>
    </row>
    <row r="121" spans="1:29" s="3496" customFormat="1" ht="15.75" thickBot="1">
      <c r="A121" s="3503"/>
      <c r="B121" s="3517"/>
      <c r="C121" s="3516">
        <v>100</v>
      </c>
      <c r="D121" s="3509">
        <f t="shared" ref="D121:M121" si="30">C121-$K41</f>
        <v>100</v>
      </c>
      <c r="E121" s="3509">
        <f t="shared" si="30"/>
        <v>100</v>
      </c>
      <c r="F121" s="3509">
        <f t="shared" si="30"/>
        <v>100</v>
      </c>
      <c r="G121" s="3509">
        <f t="shared" si="30"/>
        <v>100</v>
      </c>
      <c r="H121" s="3509">
        <f t="shared" si="30"/>
        <v>100</v>
      </c>
      <c r="I121" s="3509">
        <f t="shared" si="30"/>
        <v>100</v>
      </c>
      <c r="J121" s="3509">
        <f t="shared" si="30"/>
        <v>100</v>
      </c>
      <c r="K121" s="3509">
        <f t="shared" si="30"/>
        <v>100</v>
      </c>
      <c r="L121" s="3509">
        <f t="shared" si="30"/>
        <v>100</v>
      </c>
      <c r="M121" s="3508">
        <f t="shared" si="30"/>
        <v>100</v>
      </c>
      <c r="N121" s="3500"/>
      <c r="O121" s="3500"/>
      <c r="P121" s="3499"/>
      <c r="Q121" s="3498"/>
      <c r="R121" s="3497"/>
      <c r="S121" s="3497"/>
      <c r="T121" s="3497"/>
      <c r="U121" s="3497"/>
      <c r="V121" s="3497"/>
      <c r="W121" s="3497"/>
      <c r="X121" s="3497"/>
      <c r="Y121" s="3497"/>
      <c r="Z121" s="3497"/>
      <c r="AA121" s="3497"/>
      <c r="AB121" s="3497"/>
      <c r="AC121" s="3497"/>
    </row>
    <row r="122" spans="1:29" ht="15" thickTop="1">
      <c r="A122" s="3485"/>
      <c r="B122" s="3495" t="s">
        <v>1706</v>
      </c>
      <c r="C122" s="3515" t="s">
        <v>3478</v>
      </c>
      <c r="D122" s="3483"/>
      <c r="E122" s="3483"/>
      <c r="F122" s="3494"/>
      <c r="G122" s="3494"/>
      <c r="H122" s="3494"/>
      <c r="I122" s="3494"/>
      <c r="J122" s="3494"/>
      <c r="K122" s="3493"/>
      <c r="L122" s="3492"/>
      <c r="M122" s="3491"/>
      <c r="N122" s="3478"/>
      <c r="O122" s="3478"/>
      <c r="P122" s="3471"/>
      <c r="Q122" s="3470"/>
      <c r="R122" s="3469"/>
      <c r="S122" s="3469"/>
      <c r="T122" s="3469"/>
      <c r="U122" s="3469"/>
      <c r="V122" s="3469"/>
      <c r="W122" s="3469"/>
      <c r="X122" s="3469"/>
      <c r="Y122" s="3469"/>
      <c r="Z122" s="3469"/>
      <c r="AA122" s="3469"/>
      <c r="AB122" s="3469"/>
      <c r="AC122" s="3469"/>
    </row>
    <row r="123" spans="1:29" ht="15.75" thickBot="1">
      <c r="A123" s="3490"/>
      <c r="B123" s="3489"/>
      <c r="C123" s="3509">
        <v>100</v>
      </c>
      <c r="D123" s="3509">
        <f t="shared" ref="D123:M123" si="31">C123-$K42</f>
        <v>97</v>
      </c>
      <c r="E123" s="3509">
        <f t="shared" si="31"/>
        <v>94</v>
      </c>
      <c r="F123" s="3509">
        <f t="shared" si="31"/>
        <v>91</v>
      </c>
      <c r="G123" s="3509">
        <f t="shared" si="31"/>
        <v>88</v>
      </c>
      <c r="H123" s="3509">
        <f t="shared" si="31"/>
        <v>85</v>
      </c>
      <c r="I123" s="3509">
        <f t="shared" si="31"/>
        <v>82</v>
      </c>
      <c r="J123" s="3509">
        <f t="shared" si="31"/>
        <v>79</v>
      </c>
      <c r="K123" s="3509">
        <f t="shared" si="31"/>
        <v>76</v>
      </c>
      <c r="L123" s="3509">
        <f t="shared" si="31"/>
        <v>73</v>
      </c>
      <c r="M123" s="3508">
        <f t="shared" si="31"/>
        <v>70</v>
      </c>
      <c r="N123" s="3472"/>
      <c r="O123" s="3472"/>
      <c r="P123" s="3471"/>
      <c r="Q123" s="3470"/>
      <c r="R123" s="3469"/>
      <c r="S123" s="3469"/>
      <c r="T123" s="3469"/>
      <c r="U123" s="3469"/>
      <c r="V123" s="3469"/>
      <c r="W123" s="3469"/>
      <c r="X123" s="3469"/>
      <c r="Y123" s="3469"/>
      <c r="Z123" s="3469"/>
      <c r="AA123" s="3469"/>
      <c r="AB123" s="3469"/>
      <c r="AC123" s="3469"/>
    </row>
    <row r="124" spans="1:29" ht="15" thickTop="1">
      <c r="A124" s="3485"/>
      <c r="B124" s="3495" t="s">
        <v>1707</v>
      </c>
      <c r="C124" s="3514" t="s">
        <v>3477</v>
      </c>
      <c r="D124" s="3514" t="s">
        <v>3476</v>
      </c>
      <c r="E124" s="3514" t="s">
        <v>3475</v>
      </c>
      <c r="F124" s="3514" t="s">
        <v>3474</v>
      </c>
      <c r="G124" s="3514" t="s">
        <v>3473</v>
      </c>
      <c r="H124" s="3513"/>
      <c r="I124" s="3513"/>
      <c r="J124" s="3513"/>
      <c r="K124" s="3512"/>
      <c r="L124" s="3511"/>
      <c r="M124" s="3510"/>
      <c r="N124" s="3478"/>
      <c r="O124" s="3478"/>
      <c r="P124" s="3499"/>
      <c r="Q124" s="3470"/>
      <c r="R124" s="3469"/>
      <c r="S124" s="3469"/>
      <c r="T124" s="3469"/>
      <c r="U124" s="3469"/>
      <c r="V124" s="3469"/>
      <c r="W124" s="3469"/>
      <c r="X124" s="3469"/>
      <c r="Y124" s="3469"/>
      <c r="Z124" s="3469"/>
      <c r="AA124" s="3469"/>
      <c r="AB124" s="3469"/>
      <c r="AC124" s="3469"/>
    </row>
    <row r="125" spans="1:29" ht="15.75" thickBot="1">
      <c r="A125" s="3490"/>
      <c r="B125" s="3489"/>
      <c r="C125" s="3509">
        <v>100</v>
      </c>
      <c r="D125" s="3509">
        <f>C125-$K43</f>
        <v>100</v>
      </c>
      <c r="E125" s="3509">
        <f>D125-$K43</f>
        <v>100</v>
      </c>
      <c r="F125" s="3509">
        <f>E125-$K43</f>
        <v>100</v>
      </c>
      <c r="G125" s="3509">
        <f>F125-$K43</f>
        <v>100</v>
      </c>
      <c r="H125" s="3509"/>
      <c r="I125" s="3509"/>
      <c r="J125" s="3509"/>
      <c r="K125" s="3509"/>
      <c r="L125" s="3509"/>
      <c r="M125" s="3508"/>
      <c r="N125" s="3472"/>
      <c r="O125" s="3472"/>
      <c r="P125" s="3471"/>
      <c r="Q125" s="3470"/>
      <c r="R125" s="3469"/>
      <c r="S125" s="3469"/>
      <c r="T125" s="3469"/>
      <c r="U125" s="3469"/>
      <c r="V125" s="3469"/>
      <c r="W125" s="3469"/>
      <c r="X125" s="3469"/>
      <c r="Y125" s="3469"/>
      <c r="Z125" s="3469"/>
      <c r="AA125" s="3469"/>
      <c r="AB125" s="3469"/>
      <c r="AC125" s="3469"/>
    </row>
    <row r="126" spans="1:29" s="3496" customFormat="1" ht="15" thickTop="1">
      <c r="A126" s="3507"/>
      <c r="B126" s="3495" t="str">
        <f>B44</f>
        <v>地下占比</v>
      </c>
      <c r="C126" s="3483" t="s">
        <v>3472</v>
      </c>
      <c r="D126" s="3483" t="s">
        <v>3471</v>
      </c>
      <c r="E126" s="3483" t="s">
        <v>3470</v>
      </c>
      <c r="F126" s="3483"/>
      <c r="G126" s="3483"/>
      <c r="H126" s="3506"/>
      <c r="I126" s="3506"/>
      <c r="J126" s="3506"/>
      <c r="K126" s="3506"/>
      <c r="L126" s="3505"/>
      <c r="M126" s="3504"/>
      <c r="N126" s="3500"/>
      <c r="O126" s="3500"/>
      <c r="P126" s="3499"/>
      <c r="Q126" s="3498"/>
      <c r="R126" s="3497"/>
      <c r="S126" s="3497"/>
      <c r="T126" s="3497"/>
      <c r="U126" s="3497"/>
      <c r="V126" s="3497"/>
      <c r="W126" s="3497"/>
      <c r="X126" s="3497"/>
      <c r="Y126" s="3497"/>
      <c r="Z126" s="3497"/>
      <c r="AA126" s="3497"/>
      <c r="AB126" s="3497"/>
      <c r="AC126" s="3497"/>
    </row>
    <row r="127" spans="1:29" s="3496" customFormat="1" ht="15.75" thickBot="1">
      <c r="A127" s="3503"/>
      <c r="B127" s="3489"/>
      <c r="C127" s="3488">
        <v>118</v>
      </c>
      <c r="D127" s="3487">
        <v>106</v>
      </c>
      <c r="E127" s="3487">
        <v>100</v>
      </c>
      <c r="F127" s="3487"/>
      <c r="G127" s="3488"/>
      <c r="H127" s="3502"/>
      <c r="I127" s="3502"/>
      <c r="J127" s="3502"/>
      <c r="K127" s="3502"/>
      <c r="L127" s="3502"/>
      <c r="M127" s="3501"/>
      <c r="N127" s="3500"/>
      <c r="O127" s="3500"/>
      <c r="P127" s="3499"/>
      <c r="Q127" s="3498"/>
      <c r="R127" s="3497"/>
      <c r="S127" s="3497"/>
      <c r="T127" s="3497"/>
      <c r="U127" s="3497"/>
      <c r="V127" s="3497"/>
      <c r="W127" s="3497"/>
      <c r="X127" s="3497"/>
      <c r="Y127" s="3497"/>
      <c r="Z127" s="3497"/>
      <c r="AA127" s="3497"/>
      <c r="AB127" s="3497"/>
      <c r="AC127" s="3497"/>
    </row>
    <row r="128" spans="1:29" ht="15" thickTop="1">
      <c r="A128" s="3485"/>
      <c r="B128" s="3495">
        <f>B45</f>
        <v>111</v>
      </c>
      <c r="C128" s="3483"/>
      <c r="D128" s="3483"/>
      <c r="E128" s="3483"/>
      <c r="F128" s="3483"/>
      <c r="G128" s="3494"/>
      <c r="H128" s="3494"/>
      <c r="I128" s="3494"/>
      <c r="J128" s="3494"/>
      <c r="K128" s="3493"/>
      <c r="L128" s="3492"/>
      <c r="M128" s="3491"/>
      <c r="N128" s="3478"/>
      <c r="O128" s="3478"/>
      <c r="P128" s="3471"/>
      <c r="Q128" s="3470"/>
      <c r="R128" s="3469"/>
      <c r="S128" s="3469"/>
      <c r="T128" s="3469"/>
      <c r="U128" s="3469"/>
      <c r="V128" s="3469"/>
      <c r="W128" s="3469"/>
      <c r="X128" s="3469"/>
      <c r="Y128" s="3469"/>
      <c r="Z128" s="3469"/>
      <c r="AA128" s="3469"/>
      <c r="AB128" s="3469"/>
      <c r="AC128" s="3469"/>
    </row>
    <row r="129" spans="1:29" ht="15.75" thickBot="1">
      <c r="A129" s="3490"/>
      <c r="B129" s="3489"/>
      <c r="C129" s="3488"/>
      <c r="D129" s="3487"/>
      <c r="E129" s="3487"/>
      <c r="F129" s="3487"/>
      <c r="G129" s="3487"/>
      <c r="H129" s="3487"/>
      <c r="I129" s="3487"/>
      <c r="J129" s="3487"/>
      <c r="K129" s="3487"/>
      <c r="L129" s="3487"/>
      <c r="M129" s="3486"/>
      <c r="N129" s="3472"/>
      <c r="O129" s="3472"/>
      <c r="P129" s="3471"/>
      <c r="Q129" s="3470"/>
      <c r="R129" s="3469"/>
      <c r="S129" s="3469"/>
      <c r="T129" s="3469"/>
      <c r="U129" s="3469"/>
      <c r="V129" s="3469"/>
      <c r="W129" s="3469"/>
      <c r="X129" s="3469"/>
      <c r="Y129" s="3469"/>
      <c r="Z129" s="3469"/>
      <c r="AA129" s="3469"/>
      <c r="AB129" s="3469"/>
      <c r="AC129" s="3469"/>
    </row>
    <row r="130" spans="1:29" ht="15" thickTop="1">
      <c r="A130" s="3485"/>
      <c r="B130" s="3484">
        <f>B46</f>
        <v>111</v>
      </c>
      <c r="C130" s="3483"/>
      <c r="D130" s="3483"/>
      <c r="E130" s="3483"/>
      <c r="F130" s="3483"/>
      <c r="G130" s="3482"/>
      <c r="H130" s="3482"/>
      <c r="I130" s="3482"/>
      <c r="J130" s="3482"/>
      <c r="K130" s="3481"/>
      <c r="L130" s="3480"/>
      <c r="M130" s="3479"/>
      <c r="N130" s="3478"/>
      <c r="O130" s="3478"/>
      <c r="P130" s="3471"/>
      <c r="Q130" s="3470"/>
      <c r="R130" s="3469"/>
      <c r="S130" s="3469"/>
      <c r="T130" s="3469"/>
      <c r="U130" s="3469"/>
      <c r="V130" s="3469"/>
      <c r="W130" s="3469"/>
      <c r="X130" s="3469"/>
      <c r="Y130" s="3469"/>
      <c r="Z130" s="3469"/>
      <c r="AA130" s="3469"/>
      <c r="AB130" s="3469"/>
      <c r="AC130" s="3469"/>
    </row>
    <row r="131" spans="1:29" ht="15.75" thickBot="1">
      <c r="A131" s="3477"/>
      <c r="B131" s="3476"/>
      <c r="C131" s="3475"/>
      <c r="D131" s="3475"/>
      <c r="E131" s="3475"/>
      <c r="F131" s="3475"/>
      <c r="G131" s="3474"/>
      <c r="H131" s="3474"/>
      <c r="I131" s="3474"/>
      <c r="J131" s="3474"/>
      <c r="K131" s="3474"/>
      <c r="L131" s="3474"/>
      <c r="M131" s="3473"/>
      <c r="N131" s="3472"/>
      <c r="O131" s="3472"/>
      <c r="P131" s="3471"/>
      <c r="Q131" s="3470"/>
      <c r="R131" s="3469"/>
      <c r="S131" s="3469"/>
      <c r="T131" s="3469"/>
      <c r="U131" s="3469"/>
      <c r="V131" s="3469"/>
      <c r="W131" s="3469"/>
      <c r="X131" s="3469"/>
      <c r="Y131" s="3469"/>
      <c r="Z131" s="3469"/>
      <c r="AA131" s="3469"/>
      <c r="AB131" s="3469"/>
      <c r="AC131" s="346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I5:J5"/>
    <mergeCell ref="P7:Q7"/>
    <mergeCell ref="Y7:Z7"/>
    <mergeCell ref="T4:U6"/>
    <mergeCell ref="V4:W6"/>
    <mergeCell ref="Y4:Z6"/>
    <mergeCell ref="AA4:AA6"/>
    <mergeCell ref="AB4:AB6"/>
    <mergeCell ref="AC4:AC6"/>
    <mergeCell ref="R4:S6"/>
    <mergeCell ref="C4:D4"/>
    <mergeCell ref="E4:F4"/>
    <mergeCell ref="G4:H4"/>
    <mergeCell ref="I4:J4"/>
    <mergeCell ref="P4:Q6"/>
    <mergeCell ref="C5:D5"/>
    <mergeCell ref="C6:D6"/>
    <mergeCell ref="E6:F6"/>
    <mergeCell ref="G6:H6"/>
    <mergeCell ref="I6:J6"/>
    <mergeCell ref="E5:F5"/>
    <mergeCell ref="G5:H5"/>
  </mergeCells>
  <phoneticPr fontId="134"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0"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33" sqref="C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35375.960000000006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43001</v>
      </c>
      <c r="C2" s="1999" t="s">
        <v>1935</v>
      </c>
      <c r="D2" s="2000" t="s">
        <v>1936</v>
      </c>
      <c r="E2" s="3422" t="s">
        <v>21</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22739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12155</v>
      </c>
      <c r="C3" s="1999" t="s">
        <v>1941</v>
      </c>
      <c r="D3" s="2000" t="s">
        <v>1942</v>
      </c>
      <c r="E3" s="3420" t="s">
        <v>3396</v>
      </c>
      <c r="F3" s="2004" t="s">
        <v>3434</v>
      </c>
      <c r="G3" s="752">
        <f>IF(F3="宗地容积率",'数据-汇总表'!I4,IF(F3="估价对象容积率",'数据-汇总表'!I6,'数据-汇总表'!I7))</f>
        <v>5.1325000000000003</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17923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4081"/>
      <c r="B4" s="4082"/>
      <c r="C4" s="4082"/>
      <c r="D4" s="4083"/>
      <c r="E4" s="4083"/>
      <c r="F4" s="4083"/>
      <c r="G4" s="4083"/>
      <c r="H4" s="4083"/>
      <c r="I4" s="4083"/>
      <c r="J4" s="4084"/>
      <c r="K4" s="1119"/>
      <c r="L4" s="2003" t="s">
        <v>1946</v>
      </c>
      <c r="M4" s="864">
        <f>SUMPRODUCT((区片价!B55:B86=I2)*(区片价!C3:G3=E2)*(区片价!C55:G86))</f>
        <v>16480</v>
      </c>
      <c r="N4" s="866">
        <f>SUMPRODUCT((因素修正幅度!B55:B86=I2)*(因素修正幅度!C3:G3=E2)*(因素修正幅度!C55:G86))</f>
        <v>0.1</v>
      </c>
      <c r="O4" s="1119"/>
      <c r="P4" s="1119"/>
      <c r="Q4" s="1119"/>
      <c r="R4" s="1212">
        <v>3</v>
      </c>
      <c r="S4" s="3361">
        <f>ROUND(SUMPRODUCT((B106:B110=R4)*(C105:N105=G2)*(C106:N110)),4)</f>
        <v>1.0004999999999999</v>
      </c>
      <c r="T4" s="3361">
        <f t="shared" si="0"/>
        <v>15147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16480</v>
      </c>
      <c r="D5" s="1339">
        <f>ROUND(C6*C17+C20,0)</f>
        <v>16480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13359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16480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12839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5.1325000000000003</v>
      </c>
      <c r="AA7" s="1216"/>
      <c r="AB7" s="1216"/>
      <c r="AC7" s="1217"/>
      <c r="AD7" s="1218"/>
      <c r="AE7" s="1218"/>
      <c r="AF7" s="1218"/>
      <c r="AG7" s="1218"/>
      <c r="AH7" s="1218"/>
      <c r="AI7" s="1218"/>
      <c r="AJ7" s="1219"/>
    </row>
    <row r="8" spans="1:36" ht="25.5">
      <c r="A8" s="3299"/>
      <c r="B8" s="170" t="s">
        <v>1957</v>
      </c>
      <c r="C8" s="2026" t="s">
        <v>3397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4078" t="s">
        <v>1960</v>
      </c>
      <c r="X8" s="407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4080"/>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408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v>1</v>
      </c>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4085" t="s">
        <v>3256</v>
      </c>
      <c r="B20" s="167" t="s">
        <v>1994</v>
      </c>
      <c r="C20" s="3325">
        <f>ROUND(IF(F21="与级别开发程度一致",0,(G21-E21)/C21),0)</f>
        <v>0</v>
      </c>
      <c r="D20" s="3341" t="s">
        <v>1998</v>
      </c>
      <c r="E20" s="3342"/>
      <c r="F20" s="4091" t="s">
        <v>1995</v>
      </c>
      <c r="G20" s="4092"/>
      <c r="H20" s="3326" t="s">
        <v>3422</v>
      </c>
      <c r="I20" s="3326" t="s">
        <v>3423</v>
      </c>
      <c r="J20" s="3327" t="s">
        <v>3424</v>
      </c>
      <c r="K20" s="2047" t="s">
        <v>3425</v>
      </c>
      <c r="L20" s="2047" t="s">
        <v>3426</v>
      </c>
      <c r="M20" s="2047" t="s">
        <v>3427</v>
      </c>
      <c r="N20" s="2047" t="s">
        <v>3428</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4086"/>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3436</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2054" t="s">
        <v>2002</v>
      </c>
      <c r="E23" s="761">
        <v>44197</v>
      </c>
      <c r="F23" s="2054" t="s">
        <v>2003</v>
      </c>
      <c r="G23" s="762">
        <f>'数据-取费表'!B2</f>
        <v>45530</v>
      </c>
      <c r="H23" s="3343" t="s">
        <v>3258</v>
      </c>
      <c r="I23" s="3344" t="str">
        <f>IF(H23="季度增幅（自定义）",SUMIF(N25:N28,E2,O25:O28),"")</f>
        <v/>
      </c>
      <c r="J23" s="3446" t="s">
        <v>3257</v>
      </c>
      <c r="K23" s="1125"/>
      <c r="L23" s="2055" t="s">
        <v>2004</v>
      </c>
      <c r="M23" s="1328">
        <f>ROUND(SUMIF(地价!B2:G2,E2,地价!B16:G16),0)</f>
        <v>350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0.8679</v>
      </c>
      <c r="D24" s="2060" t="s">
        <v>2007</v>
      </c>
      <c r="E24" s="1335">
        <f>存贷款利率!E26/100</f>
        <v>4.3499999999999997E-2</v>
      </c>
      <c r="F24" s="2060" t="s">
        <v>1999</v>
      </c>
      <c r="G24" s="768">
        <f>SUMIF(M30:Q30,E2,M33:Q33)</f>
        <v>5.5E-2</v>
      </c>
      <c r="H24" s="2060" t="s">
        <v>2008</v>
      </c>
      <c r="I24" s="769">
        <f>SUMIF('数据-取费表'!C6:C15,E2,'数据-取费表'!F6:F15)/COUNTIF('数据-取费表'!C6:C15,E2)</f>
        <v>30.84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0.88939999999999997</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0.88939999999999997</v>
      </c>
      <c r="E26" s="752">
        <f>ROUNDDOWN(G3,1)</f>
        <v>5.0999999999999996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0.8901</v>
      </c>
      <c r="G26" s="752">
        <f>ROUNDUP(G3,1)</f>
        <v>5.1999999999999993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0.88780000000000003</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1.0471999999999999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43001</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453</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13465</v>
      </c>
      <c r="D33" s="2098">
        <f>'数据-汇总表'!F19</f>
        <v>30590.480000000003</v>
      </c>
      <c r="E33" s="773">
        <f>ROUND(C33*D33/10000,0)</f>
        <v>41190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3366</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3.3500000000000002E-2</v>
      </c>
      <c r="M36" s="3358">
        <f ca="1">ROUND($L$36*(1+M31),3)</f>
        <v>4.2000000000000003E-2</v>
      </c>
      <c r="N36" s="3358">
        <f ca="1">ROUND($L$36*(1+N31),3)</f>
        <v>0.04</v>
      </c>
      <c r="O36" s="3358">
        <f ca="1">ROUND($L$36*(1+O31),3)</f>
        <v>3.9E-2</v>
      </c>
      <c r="P36" s="3358">
        <f ca="1">ROUND($L$36*(1+P31),3)</f>
        <v>3.6999999999999998E-2</v>
      </c>
      <c r="Q36" s="3358">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4089"/>
      <c r="B37" s="2113" t="s">
        <v>2036</v>
      </c>
      <c r="C37" s="175">
        <f>ROUND(D5*C22*C23*C24*C28*F37,0)</f>
        <v>9084</v>
      </c>
      <c r="D37" s="2098"/>
      <c r="E37" s="171">
        <f>ROUND(C37*D37/10000,0)</f>
        <v>0</v>
      </c>
      <c r="F37" s="171">
        <f>SUMIF(修正!A57:A68,G2,修正!B57:B68)</f>
        <v>0.6</v>
      </c>
      <c r="G37" s="171">
        <f>ROUND(IF(E2="工业",C37*$M$42,C37*$M$41),0)</f>
        <v>2271</v>
      </c>
      <c r="H37" s="171">
        <f>D37</f>
        <v>0</v>
      </c>
      <c r="I37" s="171">
        <f>ROUND(G37*H37/10000,0)</f>
        <v>0</v>
      </c>
      <c r="J37" s="3012"/>
      <c r="K37" s="3359" t="s">
        <v>3268</v>
      </c>
      <c r="L37" s="3357">
        <f ca="1">L36+K38</f>
        <v>3.85E-2</v>
      </c>
      <c r="M37" s="3358">
        <f ca="1">ROUND($L$37*(1+M31),3)</f>
        <v>4.8000000000000001E-2</v>
      </c>
      <c r="N37" s="3358">
        <f t="shared" ref="N37:Q37" ca="1" si="3">ROUND($L$37*(1+N31),3)</f>
        <v>4.5999999999999999E-2</v>
      </c>
      <c r="O37" s="3358">
        <f t="shared" ca="1" si="3"/>
        <v>4.3999999999999997E-2</v>
      </c>
      <c r="P37" s="3358">
        <f t="shared" ca="1" si="3"/>
        <v>4.2000000000000003E-2</v>
      </c>
      <c r="Q37" s="3358">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4090"/>
      <c r="B38" s="2041" t="s">
        <v>2037</v>
      </c>
      <c r="C38" s="175">
        <f>ROUND(D5*C22*C23*C24*C28*F38,0)</f>
        <v>4542</v>
      </c>
      <c r="D38" s="2098"/>
      <c r="E38" s="171">
        <f t="shared" ref="E38:E42" si="4">ROUND(C38*D38/10000,0)</f>
        <v>0</v>
      </c>
      <c r="F38" s="171">
        <f>SUMIF(修正!A57:A68,G2,修正!C57:C68)</f>
        <v>0.3</v>
      </c>
      <c r="G38" s="171">
        <f>ROUND(IF(E2="工业",C38*$M$42,C38*$M$41),0)</f>
        <v>1136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4090"/>
      <c r="B39" s="2041" t="s">
        <v>3261</v>
      </c>
      <c r="C39" s="175">
        <f>ROUND(D5*C22*C23*C24*C28*F39,0)</f>
        <v>3785</v>
      </c>
      <c r="D39" s="2098"/>
      <c r="E39" s="171">
        <f t="shared" si="4"/>
        <v>0</v>
      </c>
      <c r="F39" s="171">
        <f>SUMIF(修正!A57:A68,G2,修正!D57:D68)</f>
        <v>0.25</v>
      </c>
      <c r="G39" s="171">
        <f>ROUND(IF(E2="工业",C39*$M$42,C39*$M$41),0)</f>
        <v>946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3785</v>
      </c>
      <c r="D40" s="2098">
        <f>'数据-基础表'!K14</f>
        <v>4785.4799999999996</v>
      </c>
      <c r="E40" s="171">
        <f t="shared" si="4"/>
        <v>1811</v>
      </c>
      <c r="F40" s="175">
        <f>SUMIF(修正!A57:A68,G2,修正!E57:E68)</f>
        <v>0.25</v>
      </c>
      <c r="G40" s="171">
        <f>ROUND(IF(E2="工业",C40*$M$42,C40*$M$41),0)</f>
        <v>946</v>
      </c>
      <c r="H40" s="171">
        <f t="shared" si="5"/>
        <v>4785.4799999999996</v>
      </c>
      <c r="I40" s="171">
        <f t="shared" si="6"/>
        <v>453</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3785</v>
      </c>
      <c r="D41" s="2098"/>
      <c r="E41" s="171">
        <f t="shared" si="4"/>
        <v>0</v>
      </c>
      <c r="F41" s="175">
        <f>SUMIF(修正!A57:A68,G2,修正!F57:F68)</f>
        <v>0.25</v>
      </c>
      <c r="G41" s="171">
        <f>ROUND(IF(E2="工业",C41*$M$42,C41*$M$41),0)</f>
        <v>946</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2271</v>
      </c>
      <c r="D42" s="2103"/>
      <c r="E42" s="187">
        <f t="shared" si="4"/>
        <v>0</v>
      </c>
      <c r="F42" s="767">
        <f>SUMIF(修正!A57:A68,G2,修正!G57:G68)</f>
        <v>0.15</v>
      </c>
      <c r="G42" s="187">
        <f>ROUND(IF(E2="工业",C42*$M$42,C42*$M$41),0)</f>
        <v>568</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0.8679</v>
      </c>
      <c r="D44" s="171" t="s">
        <v>1999</v>
      </c>
      <c r="E44" s="2153">
        <f>G24</f>
        <v>5.5E-2</v>
      </c>
      <c r="F44" s="171" t="s">
        <v>2008</v>
      </c>
      <c r="G44" s="183">
        <f>项目基本情况!E15</f>
        <v>30.84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1.0471999999999999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3429</v>
      </c>
      <c r="D61" s="1065">
        <f t="shared" ref="D61:D69" si="12">SUMIF($J$60:$N$60,C61,J61:N61)</f>
        <v>1.21E-2</v>
      </c>
      <c r="E61" s="744">
        <f>ROUND(SUM(D61:D69),4)</f>
        <v>4.7199999999999999E-2</v>
      </c>
      <c r="F61" s="1814">
        <f>IF(E2="办公",SUMIF(L1:L12,G2,N1:N12),"——")</f>
        <v>0.1</v>
      </c>
      <c r="G61" s="1063">
        <v>1.21E-2</v>
      </c>
      <c r="H61" s="1066">
        <f t="shared" ref="H61:H69" si="13">IFERROR(ROUNDDOWN($F$61*I61/2,4),"——")</f>
        <v>1.2500000000000001E-2</v>
      </c>
      <c r="I61" s="3367">
        <v>0.25</v>
      </c>
      <c r="J61" s="1064">
        <f t="shared" ref="J61:J69" si="14">K61+$G61</f>
        <v>2.4199999999999999E-2</v>
      </c>
      <c r="K61" s="1064">
        <f t="shared" ref="K61:K69" si="15">$L61+$G61</f>
        <v>1.21E-2</v>
      </c>
      <c r="L61" s="1064">
        <v>0</v>
      </c>
      <c r="M61" s="1064">
        <f t="shared" ref="M61:N69" si="16">L61-$G61</f>
        <v>-1.21E-2</v>
      </c>
      <c r="N61" s="1064">
        <f t="shared" si="16"/>
        <v>-2.4199999999999999E-2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3429</v>
      </c>
      <c r="D62" s="1065">
        <f t="shared" si="12"/>
        <v>1.26E-2</v>
      </c>
      <c r="E62" s="745"/>
      <c r="F62" s="1814"/>
      <c r="G62" s="1063">
        <v>1.26E-2</v>
      </c>
      <c r="H62" s="1066">
        <f t="shared" si="13"/>
        <v>1.2999999999999999E-2</v>
      </c>
      <c r="I62" s="3367">
        <v>0.26</v>
      </c>
      <c r="J62" s="1064">
        <f t="shared" si="14"/>
        <v>2.52E-2</v>
      </c>
      <c r="K62" s="1064">
        <f t="shared" si="15"/>
        <v>1.26E-2</v>
      </c>
      <c r="L62" s="1064">
        <v>0</v>
      </c>
      <c r="M62" s="1064">
        <f t="shared" si="16"/>
        <v>-1.26E-2</v>
      </c>
      <c r="N62" s="1064">
        <f t="shared" si="16"/>
        <v>-2.52E-2</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t="s">
        <v>3429</v>
      </c>
      <c r="D63" s="1065">
        <f t="shared" si="12"/>
        <v>5.3E-3</v>
      </c>
      <c r="E63" s="745"/>
      <c r="F63" s="1814"/>
      <c r="G63" s="1063">
        <v>5.3E-3</v>
      </c>
      <c r="H63" s="1066">
        <f t="shared" si="13"/>
        <v>5.4999999999999997E-3</v>
      </c>
      <c r="I63" s="3367">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30" t="s">
        <v>2054</v>
      </c>
      <c r="B64" s="2135" t="s">
        <v>2055</v>
      </c>
      <c r="C64" s="2044" t="s">
        <v>3429</v>
      </c>
      <c r="D64" s="1065">
        <f t="shared" si="12"/>
        <v>2.3999999999999998E-3</v>
      </c>
      <c r="E64" s="745"/>
      <c r="F64" s="1814"/>
      <c r="G64" s="1063">
        <v>2.3999999999999998E-3</v>
      </c>
      <c r="H64" s="1066">
        <f t="shared" si="13"/>
        <v>2.5000000000000001E-3</v>
      </c>
      <c r="I64" s="3367">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3430</v>
      </c>
      <c r="D65" s="1065">
        <f t="shared" si="12"/>
        <v>0</v>
      </c>
      <c r="E65" s="745"/>
      <c r="F65" s="1814"/>
      <c r="G65" s="1063">
        <v>2.3999999999999998E-3</v>
      </c>
      <c r="H65" s="1066">
        <f t="shared" si="13"/>
        <v>2.5000000000000001E-3</v>
      </c>
      <c r="I65" s="3367">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2044" t="s">
        <v>3430</v>
      </c>
      <c r="D66" s="1065">
        <f t="shared" si="12"/>
        <v>0</v>
      </c>
      <c r="E66" s="745"/>
      <c r="F66" s="1814"/>
      <c r="G66" s="1063">
        <v>2.8999999999999998E-3</v>
      </c>
      <c r="H66" s="1066">
        <f t="shared" si="13"/>
        <v>3.0000000000000001E-3</v>
      </c>
      <c r="I66" s="3367">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3429</v>
      </c>
      <c r="D67" s="1065">
        <f t="shared" si="12"/>
        <v>2.8999999999999998E-3</v>
      </c>
      <c r="E67" s="745"/>
      <c r="F67" s="1814"/>
      <c r="G67" s="1063">
        <v>2.8999999999999998E-3</v>
      </c>
      <c r="H67" s="1066">
        <f t="shared" si="13"/>
        <v>3.0000000000000001E-3</v>
      </c>
      <c r="I67" s="3367">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3461" t="s">
        <v>3435</v>
      </c>
      <c r="D68" s="1065">
        <f t="shared" si="12"/>
        <v>8.6E-3</v>
      </c>
      <c r="E68" s="745"/>
      <c r="F68" s="1814"/>
      <c r="G68" s="1063">
        <v>4.3E-3</v>
      </c>
      <c r="H68" s="1066">
        <f t="shared" si="13"/>
        <v>4.4999999999999997E-3</v>
      </c>
      <c r="I68" s="3367">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3429</v>
      </c>
      <c r="D69" s="1065">
        <f t="shared" si="12"/>
        <v>3.3E-3</v>
      </c>
      <c r="E69" s="746"/>
      <c r="F69" s="1814"/>
      <c r="G69" s="1063">
        <v>3.3E-3</v>
      </c>
      <c r="H69" s="1066">
        <f t="shared" si="13"/>
        <v>3.5000000000000001E-3</v>
      </c>
      <c r="I69" s="3368">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4087" t="s">
        <v>3296</v>
      </c>
      <c r="B103" s="4087"/>
      <c r="C103" s="4087"/>
      <c r="D103" s="4087"/>
      <c r="E103" s="4087"/>
      <c r="F103" s="4087"/>
      <c r="G103" s="4087"/>
      <c r="H103" s="4087"/>
      <c r="I103" s="4087"/>
      <c r="J103" s="4087"/>
      <c r="K103" s="3390"/>
      <c r="L103" s="3390"/>
      <c r="M103" s="3390"/>
      <c r="N103" s="3390"/>
    </row>
    <row r="104" spans="1:14">
      <c r="A104" s="4088" t="s">
        <v>3297</v>
      </c>
      <c r="B104" s="4088" t="s">
        <v>3298</v>
      </c>
      <c r="C104" s="3391" t="s">
        <v>3299</v>
      </c>
      <c r="D104" s="3392"/>
      <c r="E104" s="3392"/>
      <c r="F104" s="3392"/>
      <c r="G104" s="3392"/>
      <c r="H104" s="3392"/>
      <c r="I104" s="3392"/>
      <c r="J104" s="3393"/>
      <c r="K104" s="3394"/>
      <c r="L104" s="3394"/>
      <c r="M104" s="3394"/>
      <c r="N104" s="3394"/>
    </row>
    <row r="105" spans="1:14">
      <c r="A105" s="4088"/>
      <c r="B105" s="4088"/>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4074"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407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407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407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407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4075"/>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407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4077" t="s">
        <v>3313</v>
      </c>
      <c r="B113" s="4077"/>
      <c r="C113" s="4077"/>
      <c r="D113" s="4077"/>
      <c r="E113" s="4077"/>
      <c r="F113" s="4077"/>
      <c r="G113" s="4077"/>
      <c r="H113" s="4077"/>
      <c r="I113" s="4077"/>
      <c r="J113" s="407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5.1325000000000003</v>
      </c>
      <c r="C116" s="3400" t="s">
        <v>3315</v>
      </c>
      <c r="D116" s="3401">
        <f>SUMPRODUCT((A118:A122=F116)*(B117:M117=H116)*B118:M122)</f>
        <v>0.86860000000000004</v>
      </c>
      <c r="E116" s="2000" t="s">
        <v>3316</v>
      </c>
      <c r="F116" s="3402" t="str">
        <f>E2</f>
        <v>办公</v>
      </c>
      <c r="G116" s="2000" t="s">
        <v>3317</v>
      </c>
      <c r="H116" s="3402" t="str">
        <f>G2</f>
        <v>四级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0.94030000000000002</v>
      </c>
      <c r="C118" s="3388">
        <f>B118</f>
        <v>0.94030000000000002</v>
      </c>
      <c r="D118" s="3388">
        <f>ROUND(0.949-0.014*B116,4)</f>
        <v>0.87709999999999999</v>
      </c>
      <c r="E118" s="3388">
        <f>D118</f>
        <v>0.87709999999999999</v>
      </c>
      <c r="F118" s="3388">
        <f>E118</f>
        <v>0.87709999999999999</v>
      </c>
      <c r="G118" s="3388">
        <f>F118</f>
        <v>0.87709999999999999</v>
      </c>
      <c r="H118" s="3388">
        <f>G118</f>
        <v>0.87709999999999999</v>
      </c>
      <c r="I118" s="3388">
        <f>ROUND(0.8486-0.018*B116,4)</f>
        <v>0.75619999999999998</v>
      </c>
      <c r="J118" s="3388">
        <f t="shared" ref="J118:M122" si="35">I118</f>
        <v>0.75619999999999998</v>
      </c>
      <c r="K118" s="3388">
        <f t="shared" si="35"/>
        <v>0.75619999999999998</v>
      </c>
      <c r="L118" s="3388">
        <f t="shared" si="35"/>
        <v>0.75619999999999998</v>
      </c>
      <c r="M118" s="3411">
        <f t="shared" si="35"/>
        <v>0.75619999999999998</v>
      </c>
      <c r="N118" s="3398"/>
    </row>
    <row r="119" spans="1:14">
      <c r="A119" s="3410" t="s">
        <v>3331</v>
      </c>
      <c r="B119" s="3388">
        <f>ROUND(0.993-0.0112*B116,4)</f>
        <v>0.9355</v>
      </c>
      <c r="C119" s="3388">
        <f>B119</f>
        <v>0.9355</v>
      </c>
      <c r="D119" s="3388">
        <f>ROUND(0.9415-0.0142*B116,4)</f>
        <v>0.86860000000000004</v>
      </c>
      <c r="E119" s="3388">
        <f t="shared" ref="E119:H120" si="36">D119</f>
        <v>0.86860000000000004</v>
      </c>
      <c r="F119" s="3388">
        <f t="shared" si="36"/>
        <v>0.86860000000000004</v>
      </c>
      <c r="G119" s="3388">
        <f t="shared" si="36"/>
        <v>0.86860000000000004</v>
      </c>
      <c r="H119" s="3388">
        <f t="shared" si="36"/>
        <v>0.86860000000000004</v>
      </c>
      <c r="I119" s="3388">
        <f>ROUND(0.838-0.0182*B116,4)</f>
        <v>0.74460000000000004</v>
      </c>
      <c r="J119" s="3388">
        <f t="shared" si="35"/>
        <v>0.74460000000000004</v>
      </c>
      <c r="K119" s="3388">
        <f t="shared" si="35"/>
        <v>0.74460000000000004</v>
      </c>
      <c r="L119" s="3388">
        <f t="shared" si="35"/>
        <v>0.74460000000000004</v>
      </c>
      <c r="M119" s="3411">
        <f t="shared" si="35"/>
        <v>0.74460000000000004</v>
      </c>
      <c r="N119" s="3398"/>
    </row>
    <row r="120" spans="1:14">
      <c r="A120" s="3410" t="s">
        <v>3332</v>
      </c>
      <c r="B120" s="3388">
        <f>ROUND(0.9448-0.0115*B116,4)</f>
        <v>0.88580000000000003</v>
      </c>
      <c r="C120" s="3388">
        <f>B120</f>
        <v>0.88580000000000003</v>
      </c>
      <c r="D120" s="3388">
        <f>ROUND(0.937-0.0145*B116,4)</f>
        <v>0.86260000000000003</v>
      </c>
      <c r="E120" s="3388">
        <f t="shared" si="36"/>
        <v>0.86260000000000003</v>
      </c>
      <c r="F120" s="3388">
        <f t="shared" si="36"/>
        <v>0.86260000000000003</v>
      </c>
      <c r="G120" s="3388">
        <f t="shared" si="36"/>
        <v>0.86260000000000003</v>
      </c>
      <c r="H120" s="3388">
        <f t="shared" si="36"/>
        <v>0.86260000000000003</v>
      </c>
      <c r="I120" s="3388">
        <f>ROUND(0.7965-0.0185*B116,4)</f>
        <v>0.70150000000000001</v>
      </c>
      <c r="J120" s="3388">
        <f t="shared" si="35"/>
        <v>0.70150000000000001</v>
      </c>
      <c r="K120" s="3388">
        <f t="shared" si="35"/>
        <v>0.70150000000000001</v>
      </c>
      <c r="L120" s="3388">
        <f t="shared" si="35"/>
        <v>0.70150000000000001</v>
      </c>
      <c r="M120" s="3411">
        <f t="shared" si="35"/>
        <v>0.70150000000000001</v>
      </c>
      <c r="N120" s="3398"/>
    </row>
    <row r="121" spans="1:14" ht="13.5" thickBot="1">
      <c r="A121" s="3412" t="s">
        <v>3333</v>
      </c>
      <c r="B121" s="3413">
        <f>ROUND(0.7836-0.012*B116,4)</f>
        <v>0.72199999999999998</v>
      </c>
      <c r="C121" s="3413">
        <f>B121</f>
        <v>0.72199999999999998</v>
      </c>
      <c r="D121" s="3413">
        <f>ROUND(0.753-0.015*B116,4)</f>
        <v>0.67600000000000005</v>
      </c>
      <c r="E121" s="3413">
        <f>D121</f>
        <v>0.67600000000000005</v>
      </c>
      <c r="F121" s="3413">
        <f>E121</f>
        <v>0.67600000000000005</v>
      </c>
      <c r="G121" s="3413">
        <f>ROUND(0.6612-0.018*B116,4)</f>
        <v>0.56879999999999997</v>
      </c>
      <c r="H121" s="3413">
        <f>G121</f>
        <v>0.56879999999999997</v>
      </c>
      <c r="I121" s="3413">
        <f>ROUND(0.5905-0.019*B116,4)</f>
        <v>0.49299999999999999</v>
      </c>
      <c r="J121" s="3413">
        <f t="shared" si="35"/>
        <v>0.49299999999999999</v>
      </c>
      <c r="K121" s="3413">
        <f t="shared" si="35"/>
        <v>0.49299999999999999</v>
      </c>
      <c r="L121" s="3413">
        <f t="shared" si="35"/>
        <v>0.49299999999999999</v>
      </c>
      <c r="M121" s="3414">
        <f t="shared" si="35"/>
        <v>0.49299999999999999</v>
      </c>
      <c r="N121" s="3398"/>
    </row>
    <row r="122" spans="1:14">
      <c r="A122" s="3415" t="s">
        <v>2614</v>
      </c>
      <c r="B122" s="3388">
        <f>ROUND(0.9404-0.0106*B116,4)</f>
        <v>0.88600000000000001</v>
      </c>
      <c r="C122" s="3388">
        <f>B122</f>
        <v>0.88600000000000001</v>
      </c>
      <c r="D122" s="3388">
        <f>ROUND(0.8955-0.0135*B116,4)</f>
        <v>0.82620000000000005</v>
      </c>
      <c r="E122" s="3388">
        <f t="shared" ref="E122:H122" si="37">D122</f>
        <v>0.82620000000000005</v>
      </c>
      <c r="F122" s="3388">
        <f t="shared" si="37"/>
        <v>0.82620000000000005</v>
      </c>
      <c r="G122" s="3388">
        <f t="shared" si="37"/>
        <v>0.82620000000000005</v>
      </c>
      <c r="H122" s="3388">
        <f t="shared" si="37"/>
        <v>0.82620000000000005</v>
      </c>
      <c r="I122" s="3388">
        <f>ROUND(0.7632-0.0166*B116,4)</f>
        <v>0.67800000000000005</v>
      </c>
      <c r="J122" s="3388">
        <f t="shared" si="35"/>
        <v>0.67800000000000005</v>
      </c>
      <c r="K122" s="3388">
        <f t="shared" si="35"/>
        <v>0.67800000000000005</v>
      </c>
      <c r="L122" s="3388">
        <f t="shared" si="35"/>
        <v>0.67800000000000005</v>
      </c>
      <c r="M122" s="3411">
        <f t="shared" si="35"/>
        <v>0.67800000000000005</v>
      </c>
      <c r="N122" s="3398"/>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L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2" s="200" customFormat="1" ht="20.25">
      <c r="A1" s="196" t="s">
        <v>1461</v>
      </c>
      <c r="B1" s="1470"/>
      <c r="C1" s="198"/>
      <c r="D1" s="198"/>
      <c r="E1" s="198"/>
      <c r="F1" s="198"/>
      <c r="G1" s="1126">
        <f>MATCH(B1,'数据-取费表'!A6:A16,0)+5</f>
        <v>7</v>
      </c>
    </row>
    <row r="2" spans="1:12" s="200" customFormat="1" ht="18" customHeight="1">
      <c r="A2" s="201" t="s">
        <v>1462</v>
      </c>
      <c r="B2" s="202">
        <f ca="1">IF(D2="——",C52,C52-E2)</f>
        <v>97938</v>
      </c>
      <c r="C2" s="199" t="s">
        <v>1463</v>
      </c>
      <c r="D2" s="1853" t="s">
        <v>43</v>
      </c>
      <c r="E2" s="1169" t="e">
        <f ca="1">SUMIF(INDIRECT("'"&amp;G2&amp;"'"&amp;"!A:A"),"承租人权益价值",INDIRECT("'"&amp;G2&amp;"'"&amp;"!c:c"))</f>
        <v>#REF!</v>
      </c>
      <c r="F2" s="1854" t="s">
        <v>1463</v>
      </c>
      <c r="G2" s="1855"/>
    </row>
    <row r="3" spans="1:12" s="200" customFormat="1" ht="18" customHeight="1" thickBot="1">
      <c r="A3" s="203" t="s">
        <v>1464</v>
      </c>
      <c r="B3" s="204">
        <f ca="1">ROUND(B2*10000/(IF(B1="",'数据-汇总表'!E3,INDIRECT("'数据-取费表'!k"&amp;$G$1))),0)</f>
        <v>27685</v>
      </c>
      <c r="C3" s="199" t="s">
        <v>1465</v>
      </c>
      <c r="D3" s="199"/>
      <c r="E3" s="199"/>
      <c r="F3" s="199"/>
      <c r="G3" s="199"/>
    </row>
    <row r="4" spans="1:12" s="208" customFormat="1" ht="15.75">
      <c r="A4" s="205" t="s">
        <v>1466</v>
      </c>
      <c r="B4" s="206"/>
      <c r="C4" s="206"/>
      <c r="D4" s="206"/>
      <c r="E4" s="206"/>
      <c r="F4" s="206"/>
      <c r="G4" s="207"/>
    </row>
    <row r="5" spans="1:12" s="214" customFormat="1" ht="13.5" customHeight="1">
      <c r="A5" s="255" t="s">
        <v>1467</v>
      </c>
      <c r="B5" s="210" t="s">
        <v>1468</v>
      </c>
      <c r="C5" s="211">
        <f>C6+C7+C8</f>
        <v>45021</v>
      </c>
      <c r="D5" s="211" t="s">
        <v>1469</v>
      </c>
      <c r="E5" s="212" t="s">
        <v>1470</v>
      </c>
      <c r="F5" s="212" t="s">
        <v>1471</v>
      </c>
      <c r="G5" s="213"/>
    </row>
    <row r="6" spans="1:12" s="214" customFormat="1" ht="13.5" customHeight="1">
      <c r="A6" s="778" t="s">
        <v>1472</v>
      </c>
      <c r="B6" s="215" t="s">
        <v>1473</v>
      </c>
      <c r="C6" s="216">
        <f>基准地价修正!B2</f>
        <v>43001</v>
      </c>
      <c r="D6" s="217"/>
      <c r="E6" s="218"/>
      <c r="F6" s="218"/>
      <c r="G6" s="219"/>
    </row>
    <row r="7" spans="1:12" s="214" customFormat="1" ht="13.5" customHeight="1">
      <c r="A7" s="778" t="s">
        <v>1474</v>
      </c>
      <c r="B7" s="215" t="s">
        <v>1475</v>
      </c>
      <c r="C7" s="220">
        <f>ROUND(C6*F7,0)</f>
        <v>1312</v>
      </c>
      <c r="D7" s="220"/>
      <c r="E7" s="218"/>
      <c r="F7" s="221">
        <f>IF(项目基本情况!B8="出让",0,'数据-取费表'!B48+'数据-取费表'!B49)</f>
        <v>3.0499999999999999E-2</v>
      </c>
      <c r="G7" s="219"/>
      <c r="K7" s="214">
        <v>20000</v>
      </c>
      <c r="L7" s="214">
        <f>'数据-基础表'!I13</f>
        <v>30590.480000000003</v>
      </c>
    </row>
    <row r="8" spans="1:12" s="223" customFormat="1">
      <c r="A8" s="778" t="s">
        <v>1476</v>
      </c>
      <c r="B8" s="215" t="s">
        <v>1477</v>
      </c>
      <c r="C8" s="220">
        <f>IF(G8="已包含在土地购买价格中","0",IF(B1="",'数据-取费表'!B29,IF(G9="全部缴纳",C9+C10,H9)))</f>
        <v>708</v>
      </c>
      <c r="D8" s="222"/>
      <c r="E8" s="220"/>
      <c r="F8" s="221"/>
      <c r="G8" s="1856" t="s">
        <v>3431</v>
      </c>
      <c r="K8" s="223">
        <f>K7*0.25*0.25</f>
        <v>1250</v>
      </c>
      <c r="L8" s="223">
        <f>'数据-汇总表'!G19</f>
        <v>4785.4799999999996</v>
      </c>
    </row>
    <row r="9" spans="1:12"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3432</v>
      </c>
      <c r="H9" s="1137"/>
      <c r="I9" s="1858" t="s">
        <v>1479</v>
      </c>
      <c r="L9" s="214">
        <f>(L7*K7+K8*L8)/10000</f>
        <v>61779.145000000011</v>
      </c>
    </row>
    <row r="10" spans="1:12" s="214" customFormat="1" ht="13.5" customHeight="1">
      <c r="A10" s="779" t="s">
        <v>356</v>
      </c>
      <c r="B10" s="224" t="s">
        <v>1480</v>
      </c>
      <c r="C10" s="225">
        <f ca="1">ROUND(D10*E10/10000,0)</f>
        <v>708</v>
      </c>
      <c r="D10" s="845">
        <f ca="1">IF(B1="",'数据-汇总表'!E6,IF(INDIRECT("'数据-取费表'!c"&amp;$G$1)="住宅",INDIRECT("'数据-取费表'!s"&amp;$G$1),INDIRECT("'数据-取费表'!k"&amp;$G$1)+INDIRECT("'数据-取费表'!s"&amp;$G$1)))</f>
        <v>35375.960000000006</v>
      </c>
      <c r="E10" s="225">
        <f>'数据-取费表'!B28</f>
        <v>200</v>
      </c>
      <c r="F10" s="221"/>
      <c r="G10" s="226"/>
    </row>
    <row r="11" spans="1:12" s="214" customFormat="1" ht="13.5" hidden="1" customHeight="1">
      <c r="A11" s="227" t="s">
        <v>4</v>
      </c>
      <c r="B11" s="215" t="s">
        <v>1481</v>
      </c>
      <c r="C11" s="211"/>
      <c r="D11" s="847"/>
      <c r="E11" s="218"/>
      <c r="F11" s="218"/>
      <c r="G11" s="219"/>
    </row>
    <row r="12" spans="1:12" s="214" customFormat="1" ht="13.5" hidden="1" customHeight="1">
      <c r="A12" s="227" t="s">
        <v>5</v>
      </c>
      <c r="B12" s="215" t="s">
        <v>1482</v>
      </c>
      <c r="C12" s="211">
        <v>0</v>
      </c>
      <c r="D12" s="847"/>
      <c r="E12" s="228"/>
      <c r="F12" s="221">
        <v>3.0499999999999999E-2</v>
      </c>
      <c r="G12" s="219"/>
    </row>
    <row r="13" spans="1:12" s="214" customFormat="1" ht="13.5" hidden="1" customHeight="1">
      <c r="A13" s="227" t="s">
        <v>6</v>
      </c>
      <c r="B13" s="215" t="s">
        <v>1483</v>
      </c>
      <c r="C13" s="211"/>
      <c r="D13" s="847"/>
      <c r="E13" s="218"/>
      <c r="F13" s="218"/>
      <c r="G13" s="219"/>
    </row>
    <row r="14" spans="1:12" s="214" customFormat="1" ht="13.5" hidden="1" customHeight="1">
      <c r="A14" s="227" t="s">
        <v>7</v>
      </c>
      <c r="B14" s="215" t="s">
        <v>1484</v>
      </c>
      <c r="C14" s="211"/>
      <c r="D14" s="847"/>
      <c r="E14" s="218"/>
      <c r="F14" s="218"/>
      <c r="G14" s="219" t="s">
        <v>1485</v>
      </c>
    </row>
    <row r="15" spans="1:12" s="214" customFormat="1" ht="13.5" hidden="1" customHeight="1">
      <c r="A15" s="227" t="s">
        <v>8</v>
      </c>
      <c r="B15" s="215" t="s">
        <v>1486</v>
      </c>
      <c r="C15" s="220"/>
      <c r="D15" s="847"/>
      <c r="E15" s="218"/>
      <c r="F15" s="218"/>
      <c r="G15" s="219" t="s">
        <v>1487</v>
      </c>
    </row>
    <row r="16" spans="1:12"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35375.960000000006</v>
      </c>
      <c r="E19" s="211">
        <f>'数据-取费表'!B31</f>
        <v>200</v>
      </c>
      <c r="F19" s="231"/>
      <c r="G19" s="1856" t="s">
        <v>3433</v>
      </c>
    </row>
    <row r="20" spans="1:7" s="214" customFormat="1" ht="13.5" customHeight="1">
      <c r="A20" s="255" t="s">
        <v>1493</v>
      </c>
      <c r="B20" s="210" t="s">
        <v>1494</v>
      </c>
      <c r="C20" s="232">
        <f>ROUND((C5+C19)*F20,0)</f>
        <v>900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4724</v>
      </c>
      <c r="D22" s="235">
        <f ca="1">C26</f>
        <v>1E-3</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4678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46</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9184</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9184</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64912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30990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28301</v>
      </c>
      <c r="D34" s="217"/>
      <c r="E34" s="220"/>
      <c r="F34" s="257">
        <f ca="1">IF('数据-取费表'!B24=0,1,IF(B1="",'数据-取费表'!N16,INDIRECT("'数据-取费表'!n"&amp;$G$1)))</f>
        <v>1</v>
      </c>
      <c r="G34" s="219" t="s">
        <v>1526</v>
      </c>
    </row>
    <row r="35" spans="1:7" ht="13.5" customHeight="1">
      <c r="A35" s="780" t="s">
        <v>351</v>
      </c>
      <c r="B35" s="215" t="s">
        <v>1527</v>
      </c>
      <c r="C35" s="220">
        <f ca="1">ROUND(C34*F35,0)</f>
        <v>1415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708</v>
      </c>
      <c r="D37" s="217">
        <f ca="1">D19</f>
        <v>35375.960000000006</v>
      </c>
      <c r="E37" s="249">
        <f>'数据-取费表'!B35</f>
        <v>200</v>
      </c>
      <c r="F37" s="259"/>
      <c r="G37" s="261" t="s">
        <v>1532</v>
      </c>
    </row>
    <row r="38" spans="1:7" ht="13.5" customHeight="1">
      <c r="A38" s="780" t="s">
        <v>354</v>
      </c>
      <c r="B38" s="215" t="s">
        <v>1533</v>
      </c>
      <c r="C38" s="220">
        <f ca="1">ROUND(C34*F38,0)</f>
        <v>566</v>
      </c>
      <c r="D38" s="220"/>
      <c r="E38" s="220"/>
      <c r="F38" s="259">
        <f>'数据-取费表'!B36</f>
        <v>0.02</v>
      </c>
      <c r="G38" s="219" t="s">
        <v>1528</v>
      </c>
    </row>
    <row r="39" spans="1:7" s="214" customFormat="1" ht="13.5" customHeight="1">
      <c r="A39" s="255" t="s">
        <v>1534</v>
      </c>
      <c r="B39" s="210" t="s">
        <v>1535</v>
      </c>
      <c r="C39" s="232">
        <f ca="1">ROUND(C33*F20,0)</f>
        <v>620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1601</v>
      </c>
      <c r="D41" s="235">
        <f ca="1">C44</f>
        <v>1E-3</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1570</v>
      </c>
      <c r="D42" s="238"/>
      <c r="E42" s="238"/>
      <c r="F42" s="239"/>
      <c r="G42" s="4093" t="s">
        <v>1544</v>
      </c>
    </row>
    <row r="43" spans="1:7" ht="13.5" customHeight="1">
      <c r="A43" s="780" t="s">
        <v>347</v>
      </c>
      <c r="B43" s="215" t="s">
        <v>1545</v>
      </c>
      <c r="C43" s="238">
        <f ca="1">ROUND(IF('数据-取费表'!B22&lt;=1,C39*F22*'数据-取费表'!B21/2,C39*(POWER((1+F22),'数据-取费表'!B21/2)-1)),0)</f>
        <v>31</v>
      </c>
      <c r="D43" s="238"/>
      <c r="E43" s="238"/>
      <c r="F43" s="239"/>
      <c r="G43" s="4094"/>
    </row>
    <row r="44" spans="1:7" ht="13.5" customHeight="1">
      <c r="A44" s="780" t="s">
        <v>348</v>
      </c>
      <c r="B44" s="215" t="s">
        <v>1546</v>
      </c>
      <c r="C44" s="238">
        <f ca="1">ROUND(IF('数据-取费表'!B22&lt;=1,C40*F22*'数据-取费表'!B21/2,C40*(POWER((1+F22),'数据-取费表'!B21/2)-1)),4)</f>
        <v>1E-3</v>
      </c>
      <c r="D44" s="238"/>
      <c r="E44" s="238"/>
      <c r="F44" s="239"/>
      <c r="G44" s="4095"/>
    </row>
    <row r="45" spans="1:7" s="214" customFormat="1" ht="13.5" customHeight="1">
      <c r="A45" s="255" t="s">
        <v>1547</v>
      </c>
      <c r="B45" s="244" t="s">
        <v>1513</v>
      </c>
      <c r="C45" s="245">
        <f ca="1">C46</f>
        <v>6322</v>
      </c>
      <c r="D45" s="235">
        <f ca="1">C47</f>
        <v>4.0000000000000001E-3</v>
      </c>
      <c r="E45" s="236" t="s">
        <v>1539</v>
      </c>
      <c r="F45" s="246">
        <f ca="1">F27</f>
        <v>0.2</v>
      </c>
      <c r="G45" s="247" t="s">
        <v>1548</v>
      </c>
    </row>
    <row r="46" spans="1:7" s="214" customFormat="1" ht="13.5" customHeight="1">
      <c r="A46" s="780" t="s">
        <v>346</v>
      </c>
      <c r="B46" s="248" t="s">
        <v>1549</v>
      </c>
      <c r="C46" s="249">
        <f ca="1">ROUND((C33+C39)*F27,0)</f>
        <v>6322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42891</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33026</v>
      </c>
      <c r="D51" s="232"/>
      <c r="E51" s="232"/>
      <c r="F51" s="264"/>
      <c r="G51" s="234" t="s">
        <v>1560</v>
      </c>
    </row>
    <row r="52" spans="1:7" s="208" customFormat="1" ht="16.5" thickBot="1">
      <c r="A52" s="265" t="s">
        <v>1561</v>
      </c>
      <c r="B52" s="266"/>
      <c r="C52" s="267">
        <f ca="1">C31+C51</f>
        <v>97938</v>
      </c>
      <c r="D52" s="266"/>
      <c r="E52" s="266"/>
      <c r="F52" s="266"/>
      <c r="G52" s="268"/>
    </row>
    <row r="55" spans="1:7" ht="15">
      <c r="B55" s="270" t="s">
        <v>1562</v>
      </c>
      <c r="C55" s="271"/>
    </row>
    <row r="56" spans="1:7">
      <c r="B56" s="273" t="s">
        <v>802</v>
      </c>
      <c r="C56" s="275">
        <f ca="1">1-C57</f>
        <v>0.66300000000000003</v>
      </c>
    </row>
    <row r="57" spans="1:7">
      <c r="B57" s="273" t="s">
        <v>803</v>
      </c>
      <c r="C57" s="274">
        <f ca="1">ROUND(C51/C52,3)</f>
        <v>0.33700000000000002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35066.210599999999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9912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7075192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7075192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7075192</v>
      </c>
      <c r="D10" s="845">
        <f ca="1">IF(B1="",'数据-汇总表'!E6,IF(INDIRECT("'数据-取费表'!c"&amp;$G$1)="住宅",INDIRECT("'数据-取费表'!s"&amp;$G$1),INDIRECT("'数据-取费表'!k"&amp;$G$1)+INDIRECT("'数据-取费表'!s"&amp;$G$1)))</f>
        <v>35375.960000000006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7075192</v>
      </c>
      <c r="D19" s="849">
        <f ca="1">D9+D10</f>
        <v>35375.960000000006</v>
      </c>
      <c r="E19" s="211">
        <f>'数据-取费表'!B31</f>
        <v>200</v>
      </c>
      <c r="F19" s="231"/>
      <c r="G19" s="1856"/>
    </row>
    <row r="20" spans="1:7" s="214" customFormat="1" ht="13.5" customHeight="1">
      <c r="A20" s="255" t="s">
        <v>1574</v>
      </c>
      <c r="B20" s="210" t="s">
        <v>1575</v>
      </c>
      <c r="C20" s="232">
        <f ca="1">ROUND((C5+C19)*F20,0)</f>
        <v>283008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1484626</v>
      </c>
      <c r="D22" s="235">
        <f ca="1">C26</f>
        <v>1E-3</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735143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735143</v>
      </c>
      <c r="D24" s="238"/>
      <c r="E24" s="238"/>
      <c r="F24" s="239"/>
      <c r="G24" s="240" t="s">
        <v>1586</v>
      </c>
    </row>
    <row r="25" spans="1:7" s="214" customFormat="1" ht="24">
      <c r="A25" s="780" t="s">
        <v>1476</v>
      </c>
      <c r="B25" s="215" t="s">
        <v>1587</v>
      </c>
      <c r="C25" s="1128">
        <f ca="1">ROUND(IF('数据-取费表'!B22&lt;=1,C20*F22*'数据-取费表'!B22/2,C20*(POWER((1+F22),'数据-取费表'!B22/2)-1)),0)</f>
        <v>14340</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2886678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2886678</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20402187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309893410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283007680</v>
      </c>
      <c r="D34" s="217"/>
      <c r="E34" s="220"/>
      <c r="F34" s="257"/>
      <c r="G34" s="219"/>
    </row>
    <row r="35" spans="1:7" ht="13.5" customHeight="1">
      <c r="A35" s="780" t="s">
        <v>351</v>
      </c>
      <c r="B35" s="215" t="s">
        <v>1527</v>
      </c>
      <c r="C35" s="220">
        <f ca="1">ROUND(C34*F35,0)</f>
        <v>14150384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7075192</v>
      </c>
      <c r="D37" s="217">
        <f ca="1">D19</f>
        <v>35375.960000000006</v>
      </c>
      <c r="E37" s="249">
        <f>'数据-取费表'!B35</f>
        <v>200</v>
      </c>
      <c r="F37" s="259"/>
      <c r="G37" s="261"/>
    </row>
    <row r="38" spans="1:7" ht="13.5" customHeight="1">
      <c r="A38" s="780" t="s">
        <v>354</v>
      </c>
      <c r="B38" s="215" t="s">
        <v>1533</v>
      </c>
      <c r="C38" s="220">
        <f ca="1">ROUND(C34*F38,0)</f>
        <v>5660154</v>
      </c>
      <c r="D38" s="220"/>
      <c r="E38" s="220"/>
      <c r="F38" s="259">
        <f>'数据-取费表'!B36</f>
        <v>0.02</v>
      </c>
      <c r="G38" s="219" t="s">
        <v>1528</v>
      </c>
    </row>
    <row r="39" spans="1:7" s="214" customFormat="1" ht="13.5" customHeight="1">
      <c r="A39" s="255" t="s">
        <v>1534</v>
      </c>
      <c r="B39" s="210" t="s">
        <v>1535</v>
      </c>
      <c r="C39" s="232">
        <f ca="1">ROUND(C33*F20,0)</f>
        <v>6197868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16015878</v>
      </c>
      <c r="D41" s="235">
        <f ca="1">C44</f>
        <v>1E-3</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15701841</v>
      </c>
      <c r="D42" s="238"/>
      <c r="E42" s="238"/>
      <c r="F42" s="239"/>
      <c r="G42" s="4093" t="s">
        <v>1591</v>
      </c>
    </row>
    <row r="43" spans="1:7" ht="13.5" customHeight="1">
      <c r="A43" s="780" t="s">
        <v>347</v>
      </c>
      <c r="B43" s="215" t="s">
        <v>1545</v>
      </c>
      <c r="C43" s="238">
        <f ca="1">ROUND(IF('数据-取费表'!B22&lt;=1,C39*F22*'数据-取费表'!B20/2,C39*(POWER((1+F22),'数据-取费表'!B20/2)-1)),0)</f>
        <v>314037</v>
      </c>
      <c r="D43" s="238"/>
      <c r="E43" s="238"/>
      <c r="F43" s="239"/>
      <c r="G43" s="4094"/>
    </row>
    <row r="44" spans="1:7" ht="13.5" customHeight="1">
      <c r="A44" s="780" t="s">
        <v>348</v>
      </c>
      <c r="B44" s="215" t="s">
        <v>1546</v>
      </c>
      <c r="C44" s="238">
        <f ca="1">ROUND(IF('数据-取费表'!B22&lt;=1,C40*F22*'数据-取费表'!B20/2,C40*(POWER((1+F22),'数据-取费表'!B20/2)-1)),4)</f>
        <v>1E-3</v>
      </c>
      <c r="D44" s="238"/>
      <c r="E44" s="238"/>
      <c r="F44" s="239"/>
      <c r="G44" s="4095"/>
    </row>
    <row r="45" spans="1:7" s="214" customFormat="1" ht="13.5" customHeight="1">
      <c r="A45" s="255" t="s">
        <v>1547</v>
      </c>
      <c r="B45" s="244" t="s">
        <v>1513</v>
      </c>
      <c r="C45" s="245">
        <f ca="1">C46</f>
        <v>63218256</v>
      </c>
      <c r="D45" s="235">
        <f ca="1">C47</f>
        <v>4.0000000000000001E-3</v>
      </c>
      <c r="E45" s="236" t="s">
        <v>1539</v>
      </c>
      <c r="F45" s="246">
        <f ca="1">F27</f>
        <v>0.2</v>
      </c>
      <c r="G45" s="247" t="s">
        <v>1548</v>
      </c>
    </row>
    <row r="46" spans="1:7" s="214" customFormat="1" ht="13.5" customHeight="1">
      <c r="A46" s="780" t="s">
        <v>346</v>
      </c>
      <c r="B46" s="248" t="s">
        <v>1549</v>
      </c>
      <c r="C46" s="249">
        <f ca="1">ROUND((C33+C39)*F27,0)</f>
        <v>63218256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428908986</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330259919</v>
      </c>
      <c r="D51" s="232"/>
      <c r="E51" s="232"/>
      <c r="F51" s="264"/>
      <c r="G51" s="234" t="s">
        <v>1560</v>
      </c>
    </row>
    <row r="52" spans="1:7" s="208" customFormat="1" ht="16.5" thickBot="1">
      <c r="A52" s="265" t="s">
        <v>1561</v>
      </c>
      <c r="B52" s="266"/>
      <c r="C52" s="267">
        <f ca="1">C31+C51</f>
        <v>350662106</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35375.960000000006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35375.960000000006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708</v>
      </c>
      <c r="D20" s="846">
        <f ca="1">IF(C1="",'数据-汇总表'!E6,IF(INDIRECT("'数据-取费表'!c"&amp;$K$1)="住宅",INDIRECT("'数据-取费表'!s"&amp;$K$1),INDIRECT("'数据-取费表'!k"&amp;$K$1)+INDIRECT("'数据-取费表'!s"&amp;$K$1)))</f>
        <v>35375.960000000006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30.84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124351</v>
      </c>
      <c r="C2" s="1387" t="s">
        <v>805</v>
      </c>
      <c r="D2" s="1387"/>
      <c r="E2" s="1388"/>
      <c r="F2" s="1389"/>
      <c r="G2" s="2706"/>
      <c r="H2" s="2695"/>
      <c r="I2" s="2695"/>
      <c r="J2" s="2695"/>
      <c r="K2" s="2696"/>
      <c r="L2" s="2695"/>
      <c r="M2" s="2695"/>
    </row>
    <row r="3" spans="1:37" ht="18" customHeight="1" thickBot="1">
      <c r="A3" s="1390" t="s">
        <v>806</v>
      </c>
      <c r="B3" s="1391">
        <f ca="1">IF(ISERROR(B2*10000/F43),0,ROUND(B2*10000/F43,0))</f>
        <v>35151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8325</v>
      </c>
      <c r="D5" s="1364" t="s">
        <v>693</v>
      </c>
      <c r="E5" s="1071"/>
      <c r="F5" s="1072"/>
      <c r="G5" s="1384"/>
      <c r="H5" s="299">
        <v>1</v>
      </c>
      <c r="I5" s="300" t="s">
        <v>692</v>
      </c>
      <c r="J5" s="1070">
        <f ca="1">J6+J10+J12</f>
        <v>0</v>
      </c>
      <c r="K5" s="1364" t="s">
        <v>693</v>
      </c>
      <c r="L5" s="1071"/>
      <c r="M5" s="1072"/>
    </row>
    <row r="6" spans="1:37" ht="18" customHeight="1">
      <c r="A6" s="1069" t="s">
        <v>398</v>
      </c>
      <c r="B6" s="4098" t="s">
        <v>694</v>
      </c>
      <c r="C6" s="1074">
        <f ca="1">ROUND(F6*F8*F7*(1-F9)/10000,0)</f>
        <v>8315</v>
      </c>
      <c r="D6" s="155" t="s">
        <v>2109</v>
      </c>
      <c r="E6" s="302" t="s">
        <v>696</v>
      </c>
      <c r="F6" s="303">
        <f ca="1">INDIRECT("'数据-取费表'!u"&amp;$G$1)</f>
        <v>7</v>
      </c>
      <c r="G6" s="1384"/>
      <c r="H6" s="1069" t="s">
        <v>398</v>
      </c>
      <c r="I6" s="4098" t="s">
        <v>694</v>
      </c>
      <c r="J6" s="301">
        <f ca="1">ROUND(M6*M8*M7*(1-M9)/10000,0)</f>
        <v>0</v>
      </c>
      <c r="K6" s="155" t="s">
        <v>2108</v>
      </c>
      <c r="L6" s="302" t="s">
        <v>696</v>
      </c>
      <c r="M6" s="303">
        <f ca="1">INDIRECT("'数据-取费表'!z"&amp;$G$1)</f>
        <v>0</v>
      </c>
    </row>
    <row r="7" spans="1:37" ht="18" customHeight="1">
      <c r="A7" s="1073"/>
      <c r="B7" s="4099"/>
      <c r="C7" s="1075"/>
      <c r="D7" s="307"/>
      <c r="E7" s="1076" t="s">
        <v>697</v>
      </c>
      <c r="F7" s="303">
        <f ca="1">IF(INDIRECT("'数据-取费表'!ah"&amp;$G$1)="",INDIRECT("'数据-取费表'!k"&amp;$G$1),INDIRECT("'数据-取费表'!ah"&amp;$G$1))</f>
        <v>35375.960000000006</v>
      </c>
      <c r="G7" s="1384"/>
      <c r="H7" s="304"/>
      <c r="I7" s="4099"/>
      <c r="J7" s="306"/>
      <c r="K7" s="307"/>
      <c r="L7" s="302" t="s">
        <v>697</v>
      </c>
      <c r="M7" s="303">
        <f ca="1">F7</f>
        <v>35375.960000000006</v>
      </c>
    </row>
    <row r="8" spans="1:37" ht="18" customHeight="1">
      <c r="A8" s="304"/>
      <c r="B8" s="4099"/>
      <c r="C8" s="306"/>
      <c r="D8" s="307"/>
      <c r="E8" s="302" t="s">
        <v>698</v>
      </c>
      <c r="F8" s="303">
        <f ca="1">INDIRECT("'数据-取费表'!ai"&amp;$G$1)</f>
        <v>365</v>
      </c>
      <c r="G8" s="1384"/>
      <c r="H8" s="304"/>
      <c r="I8" s="4099"/>
      <c r="J8" s="306"/>
      <c r="K8" s="307"/>
      <c r="L8" s="302" t="s">
        <v>698</v>
      </c>
      <c r="M8" s="303">
        <f ca="1">INDIRECT("'数据-取费表'!ai"&amp;$G$1)</f>
        <v>365</v>
      </c>
    </row>
    <row r="9" spans="1:37" ht="18" customHeight="1">
      <c r="A9" s="304"/>
      <c r="B9" s="4100"/>
      <c r="C9" s="306"/>
      <c r="D9" s="307"/>
      <c r="E9" s="302" t="s">
        <v>699</v>
      </c>
      <c r="F9" s="312">
        <f ca="1">INDIRECT("'数据-取费表'!w"&amp;$G$1)</f>
        <v>0.08</v>
      </c>
      <c r="G9" s="1384"/>
      <c r="H9" s="304"/>
      <c r="I9" s="4100"/>
      <c r="J9" s="306"/>
      <c r="K9" s="307"/>
      <c r="L9" s="313" t="s">
        <v>699</v>
      </c>
      <c r="M9" s="314">
        <f ca="1">INDIRECT("'数据-取费表'!ab"&amp;$G$1)</f>
        <v>0</v>
      </c>
    </row>
    <row r="10" spans="1:37" ht="18" customHeight="1">
      <c r="A10" s="1069" t="s">
        <v>402</v>
      </c>
      <c r="B10" s="1365" t="s">
        <v>700</v>
      </c>
      <c r="C10" s="316">
        <f ca="1">ROUND(IF(F10="押一",C6/12*F11,IF(F10="押二",C6/12*2*F11,IF(F10="押三",C6/12*3*F11,C11*F11))),0)</f>
        <v>10</v>
      </c>
      <c r="D10" s="1366" t="s">
        <v>2117</v>
      </c>
      <c r="E10" s="313" t="s">
        <v>701</v>
      </c>
      <c r="F10" s="1116" t="s">
        <v>3398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33026</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28301</v>
      </c>
      <c r="D14" s="1345" t="s">
        <v>708</v>
      </c>
      <c r="E14" s="1342"/>
      <c r="F14" s="319"/>
      <c r="G14" s="1384"/>
      <c r="H14" s="982" t="s">
        <v>398</v>
      </c>
      <c r="I14" s="302" t="s">
        <v>709</v>
      </c>
      <c r="J14" s="21">
        <f ca="1">C29</f>
        <v>42891</v>
      </c>
      <c r="K14" s="12"/>
      <c r="L14" s="807"/>
      <c r="M14" s="808"/>
    </row>
    <row r="15" spans="1:37" s="1397" customFormat="1" ht="18" customHeight="1" thickBot="1">
      <c r="A15" s="982" t="s">
        <v>399</v>
      </c>
      <c r="B15" s="302" t="s">
        <v>710</v>
      </c>
      <c r="C15" s="21">
        <f ca="1">ROUND(C14*F15,0)</f>
        <v>1415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226</v>
      </c>
      <c r="K16" s="1087" t="s">
        <v>715</v>
      </c>
      <c r="L16" s="1088"/>
      <c r="M16" s="1072"/>
    </row>
    <row r="17" spans="1:37" s="1397" customFormat="1" ht="18" customHeight="1">
      <c r="A17" s="982" t="s">
        <v>681</v>
      </c>
      <c r="B17" s="302" t="s">
        <v>716</v>
      </c>
      <c r="C17" s="21">
        <f ca="1">ROUND(F17*(F43+INDIRECT("'数据-取费表'!S"&amp;$G$1))/10000,0)</f>
        <v>708</v>
      </c>
      <c r="D17" s="302" t="s">
        <v>717</v>
      </c>
      <c r="E17" s="302" t="s">
        <v>718</v>
      </c>
      <c r="F17" s="23">
        <f>'数据-取费表'!B35</f>
        <v>200</v>
      </c>
      <c r="G17" s="1396"/>
      <c r="H17" s="982" t="s">
        <v>398</v>
      </c>
      <c r="I17" s="302" t="s">
        <v>719</v>
      </c>
      <c r="J17" s="2316">
        <f ca="1">ROUND(IF(AND(项目基本情况!B11="自然人",项目基本情况!B10="北京市"),J6*M17/(1+'数据-取费表'!C42),J18+J19+J20),2)</f>
        <v>11.76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566</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30990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620</v>
      </c>
      <c r="D20" s="323" t="s">
        <v>729</v>
      </c>
      <c r="E20" s="302" t="s">
        <v>712</v>
      </c>
      <c r="F20" s="322">
        <f>'数据-取费表'!B37</f>
        <v>0.02</v>
      </c>
      <c r="G20" s="1396"/>
      <c r="H20" s="982" t="s">
        <v>680</v>
      </c>
      <c r="I20" s="155" t="s">
        <v>730</v>
      </c>
      <c r="J20" s="22">
        <f ca="1">ROUND(M20*M21/10000,2)</f>
        <v>11.76</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6534.54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214.46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1601</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-226</v>
      </c>
      <c r="K25" s="1095" t="s">
        <v>753</v>
      </c>
      <c r="L25" s="1096"/>
      <c r="M25" s="1097"/>
    </row>
    <row r="26" spans="1:37">
      <c r="A26" s="982" t="s">
        <v>397</v>
      </c>
      <c r="B26" s="302" t="s">
        <v>754</v>
      </c>
      <c r="C26" s="21">
        <f ca="1">ROUND((C19+C20)*F26,0)</f>
        <v>6322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42891</v>
      </c>
      <c r="D29" s="1092"/>
      <c r="E29" s="1090"/>
      <c r="F29" s="1093"/>
      <c r="G29" s="1396"/>
      <c r="H29" s="334" t="s">
        <v>396</v>
      </c>
      <c r="I29" s="335" t="s">
        <v>768</v>
      </c>
      <c r="J29" s="336">
        <f ca="1">ROUND(J26/(1+F40)^F41,0)</f>
        <v>0</v>
      </c>
      <c r="K29" s="337" t="s">
        <v>769</v>
      </c>
      <c r="L29" s="338"/>
      <c r="M29" s="339">
        <f ca="1">INDIRECT("'数据-取费表'!k"&amp;$G$1)</f>
        <v>35375.960000000006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1695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1405.52</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443.47</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950.29</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11.76</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6534.54</v>
      </c>
      <c r="G35" s="1384"/>
      <c r="H35" s="2697"/>
      <c r="I35" s="1398"/>
      <c r="J35" s="1399"/>
      <c r="K35" s="2701"/>
      <c r="L35" s="2700"/>
      <c r="M35" s="2700"/>
    </row>
    <row r="36" spans="1:18" ht="18" customHeight="1">
      <c r="A36" s="1102" t="s">
        <v>402</v>
      </c>
      <c r="B36" s="302" t="s">
        <v>738</v>
      </c>
      <c r="C36" s="21">
        <f ca="1">ROUND(C29*F36,2)</f>
        <v>214.46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33.03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41.63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6630</v>
      </c>
      <c r="D39" s="1095" t="s">
        <v>773</v>
      </c>
      <c r="E39" s="1096"/>
      <c r="F39" s="1097"/>
      <c r="G39" s="1384"/>
      <c r="H39" s="2700"/>
      <c r="I39" s="1398">
        <f ca="1">C39/C5</f>
        <v>0.79639639639639637</v>
      </c>
      <c r="J39" s="1399"/>
      <c r="K39" s="2704"/>
      <c r="L39" s="2700"/>
      <c r="M39" s="2700"/>
    </row>
    <row r="40" spans="1:18" ht="18" customHeight="1">
      <c r="A40" s="299" t="s">
        <v>395</v>
      </c>
      <c r="B40" s="300" t="s">
        <v>774</v>
      </c>
      <c r="C40" s="301">
        <f ca="1">ROUND(C39*(1-((1+F42)/(1+F40))^F41)/(F40-F42),0)</f>
        <v>122507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30.84</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34630</v>
      </c>
      <c r="D43" s="337" t="s">
        <v>777</v>
      </c>
      <c r="E43" s="338" t="s">
        <v>778</v>
      </c>
      <c r="F43" s="339">
        <f ca="1">INDIRECT("'数据-取费表'!k"&amp;$G$1)</f>
        <v>35375.960000000006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-126313</v>
      </c>
      <c r="D46" s="1406" t="str">
        <f>C2</f>
        <v>万元</v>
      </c>
      <c r="E46" s="1400"/>
      <c r="F46" s="1400"/>
      <c r="I46" s="1407" t="s">
        <v>810</v>
      </c>
      <c r="J46" s="1408"/>
      <c r="K46" s="1409"/>
      <c r="L46" s="1410">
        <f ca="1">IF(M47="住宅",0,IF(L48&gt;J51,L60,J60))</f>
        <v>1844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3399</v>
      </c>
      <c r="K47" s="1416" t="s">
        <v>816</v>
      </c>
      <c r="L47" s="1417">
        <f ca="1">INDIRECT("'数据-取费表'!d"&amp;$G$1)</f>
        <v>50</v>
      </c>
      <c r="M47" s="1380" t="str">
        <f>IF(ISNUMBER(FIND("住宅",C1)),"住宅","非住宅")</f>
        <v>非住宅</v>
      </c>
      <c r="O47" s="1418" t="s">
        <v>403</v>
      </c>
      <c r="P47" s="1419" t="s">
        <v>817</v>
      </c>
      <c r="Q47" s="1420">
        <f ca="1">C40+J29</f>
        <v>122507</v>
      </c>
      <c r="R47" s="1420" t="s">
        <v>818</v>
      </c>
    </row>
    <row r="48" spans="1:18" s="1384" customFormat="1" ht="28.5" thickBot="1">
      <c r="A48" s="1110" t="s">
        <v>438</v>
      </c>
      <c r="B48" s="300" t="s">
        <v>692</v>
      </c>
      <c r="C48" s="1359">
        <f ca="1">C49+C53+C55</f>
        <v>0</v>
      </c>
      <c r="D48" s="1112"/>
      <c r="E48" s="1113"/>
      <c r="F48" s="962"/>
      <c r="G48" s="722"/>
      <c r="H48" s="723"/>
      <c r="I48" s="1421" t="s">
        <v>819</v>
      </c>
      <c r="J48" s="1422" t="s">
        <v>3400</v>
      </c>
      <c r="K48" s="1423" t="s">
        <v>820</v>
      </c>
      <c r="L48" s="1424">
        <f ca="1">INDIRECT("'数据-取费表'!f"&amp;$G$1)</f>
        <v>30.84</v>
      </c>
      <c r="O48" s="1418" t="s">
        <v>404</v>
      </c>
      <c r="P48" s="1419" t="s">
        <v>821</v>
      </c>
      <c r="Q48" s="1420">
        <f ca="1">J60</f>
        <v>1844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面积取值!C52</f>
        <v>2010</v>
      </c>
      <c r="K49" s="1423" t="s">
        <v>824</v>
      </c>
      <c r="L49" s="1427"/>
      <c r="O49" s="1428" t="s">
        <v>405</v>
      </c>
      <c r="P49" s="1419" t="s">
        <v>825</v>
      </c>
      <c r="Q49" s="1420">
        <f ca="1">C29</f>
        <v>42891</v>
      </c>
      <c r="R49" s="1420" t="s">
        <v>818</v>
      </c>
    </row>
    <row r="50" spans="1:18" s="1384" customFormat="1" ht="13.5" thickBot="1">
      <c r="A50" s="976"/>
      <c r="B50" s="979"/>
      <c r="C50" s="1118"/>
      <c r="D50" s="953"/>
      <c r="E50" s="1056" t="s">
        <v>697</v>
      </c>
      <c r="F50" s="1057">
        <f ca="1">F7</f>
        <v>35375.960000000006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77209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30.84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30.84</v>
      </c>
      <c r="K53" s="4096" t="s">
        <v>837</v>
      </c>
      <c r="L53" s="4097"/>
      <c r="O53" s="1418" t="s">
        <v>409</v>
      </c>
      <c r="P53" s="1419" t="s">
        <v>838</v>
      </c>
      <c r="Q53" s="1420">
        <f ca="1">Q47+Q48</f>
        <v>124351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0.253</v>
      </c>
      <c r="K55" s="1445" t="s">
        <v>841</v>
      </c>
      <c r="L55" s="1446"/>
      <c r="O55" s="1411" t="s">
        <v>811</v>
      </c>
      <c r="P55" s="1412" t="s">
        <v>812</v>
      </c>
      <c r="Q55" s="1413" t="s">
        <v>813</v>
      </c>
      <c r="R55" s="1413" t="s">
        <v>814</v>
      </c>
    </row>
    <row r="56" spans="1:18" s="1384" customFormat="1" ht="25.5" thickTop="1" thickBot="1">
      <c r="A56" s="957">
        <v>2</v>
      </c>
      <c r="B56" s="958" t="s">
        <v>704</v>
      </c>
      <c r="C56" s="232">
        <f ca="1">C13</f>
        <v>33026</v>
      </c>
      <c r="D56" s="1447"/>
      <c r="E56" s="1448"/>
      <c r="F56" s="1440"/>
      <c r="I56" s="1449" t="s">
        <v>842</v>
      </c>
      <c r="J56" s="1450" t="s">
        <v>3401</v>
      </c>
      <c r="K56" s="1421" t="s">
        <v>843</v>
      </c>
      <c r="L56" s="1424" t="str">
        <f ca="1">IF(L48&lt;J51,"——",L48-J53)</f>
        <v>——</v>
      </c>
      <c r="O56" s="1418" t="s">
        <v>403</v>
      </c>
      <c r="P56" s="1419" t="s">
        <v>817</v>
      </c>
      <c r="Q56" s="1420">
        <f ca="1">C40+J29</f>
        <v>122507</v>
      </c>
      <c r="R56" s="1420" t="s">
        <v>818</v>
      </c>
    </row>
    <row r="57" spans="1:18" s="1384" customFormat="1" ht="24.75" thickBot="1">
      <c r="A57" s="1451"/>
      <c r="B57" s="950" t="s">
        <v>767</v>
      </c>
      <c r="C57" s="238">
        <f ca="1">C29</f>
        <v>42891</v>
      </c>
      <c r="D57" s="1452"/>
      <c r="E57" s="1453"/>
      <c r="F57" s="1454"/>
      <c r="I57" s="1455" t="s">
        <v>844</v>
      </c>
      <c r="J57" s="1456">
        <f ca="1">IF(OR(M47="住宅",J51&lt;L48,J56="是"),"——",J51-L48)</f>
        <v>15.16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12</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17156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1844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11.76</v>
      </c>
      <c r="D62" s="965" t="s">
        <v>786</v>
      </c>
      <c r="E62" s="950" t="s">
        <v>787</v>
      </c>
      <c r="F62" s="325">
        <f t="shared" si="0"/>
        <v>18</v>
      </c>
      <c r="I62" s="1462" t="s">
        <v>858</v>
      </c>
      <c r="J62" s="1463" t="s">
        <v>859</v>
      </c>
      <c r="K62" s="1463" t="s">
        <v>860</v>
      </c>
      <c r="L62" s="1463" t="s">
        <v>861</v>
      </c>
      <c r="M62" s="1464" t="s">
        <v>862</v>
      </c>
      <c r="O62" s="1418" t="s">
        <v>409</v>
      </c>
      <c r="P62" s="1419" t="s">
        <v>863</v>
      </c>
      <c r="Q62" s="1420">
        <f ca="1">Q56+Q57</f>
        <v>122507</v>
      </c>
      <c r="R62" s="1420" t="s">
        <v>410</v>
      </c>
    </row>
    <row r="63" spans="1:18" s="1384" customFormat="1" ht="13.5" thickBot="1">
      <c r="A63" s="326"/>
      <c r="B63" s="956"/>
      <c r="C63" s="26"/>
      <c r="D63" s="966"/>
      <c r="E63" s="950" t="s">
        <v>788</v>
      </c>
      <c r="F63" s="303">
        <f t="shared" ca="1" si="0"/>
        <v>6534.54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214.46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33.03</v>
      </c>
      <c r="D65" s="964" t="s">
        <v>743</v>
      </c>
      <c r="E65" s="950" t="s">
        <v>744</v>
      </c>
      <c r="F65" s="330">
        <f t="shared" ca="1" si="0"/>
        <v>1E-3</v>
      </c>
      <c r="I65" s="1462" t="s">
        <v>867</v>
      </c>
      <c r="J65" s="1463">
        <v>40</v>
      </c>
      <c r="K65" s="1463">
        <v>30</v>
      </c>
      <c r="L65" s="1463">
        <v>50</v>
      </c>
      <c r="M65" s="1465">
        <v>0.02</v>
      </c>
      <c r="O65" s="1418" t="s">
        <v>403</v>
      </c>
      <c r="P65" s="1419" t="s">
        <v>868</v>
      </c>
      <c r="Q65" s="1420">
        <f ca="1">C40+J29</f>
        <v>122507</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-259</v>
      </c>
      <c r="D67" s="963" t="s">
        <v>753</v>
      </c>
      <c r="E67" s="968"/>
      <c r="F67" s="969"/>
      <c r="O67" s="1428" t="s">
        <v>405</v>
      </c>
      <c r="P67" s="1419" t="s">
        <v>850</v>
      </c>
      <c r="Q67" s="1466">
        <f ca="1">L51</f>
        <v>77209</v>
      </c>
      <c r="R67" s="1420" t="s">
        <v>870</v>
      </c>
    </row>
    <row r="68" spans="1:18" s="1384" customFormat="1" ht="16.5" thickBot="1">
      <c r="A68" s="947" t="s">
        <v>395</v>
      </c>
      <c r="B68" s="948" t="s">
        <v>774</v>
      </c>
      <c r="C68" s="301">
        <f ca="1">ROUND(C67*(1-((1+F70)/(1+F68))^F69)/(F68-F70),0)</f>
        <v>-3806</v>
      </c>
      <c r="D68" s="965" t="s">
        <v>758</v>
      </c>
      <c r="E68" s="950" t="s">
        <v>759</v>
      </c>
      <c r="F68" s="312">
        <f ca="1">F40</f>
        <v>5.5E-2</v>
      </c>
      <c r="O68" s="1428" t="s">
        <v>406</v>
      </c>
      <c r="P68" s="1467" t="s">
        <v>871</v>
      </c>
      <c r="Q68" s="1420">
        <f ca="1">ROUND(Q69-Q70*Q71,0)</f>
        <v>4318</v>
      </c>
      <c r="R68" s="1420" t="s">
        <v>414</v>
      </c>
    </row>
    <row r="69" spans="1:18" s="1384" customFormat="1" ht="13.5" thickBot="1">
      <c r="A69" s="951"/>
      <c r="B69" s="952"/>
      <c r="C69" s="306"/>
      <c r="D69" s="970" t="s">
        <v>762</v>
      </c>
      <c r="E69" s="950" t="s">
        <v>763</v>
      </c>
      <c r="F69" s="333">
        <f ca="1">F41</f>
        <v>30.84</v>
      </c>
      <c r="O69" s="1428" t="s">
        <v>411</v>
      </c>
      <c r="P69" s="1467" t="s">
        <v>872</v>
      </c>
      <c r="Q69" s="1420">
        <f ca="1">C39</f>
        <v>6630</v>
      </c>
      <c r="R69" s="1420" t="s">
        <v>818</v>
      </c>
    </row>
    <row r="70" spans="1:18" s="1384" customFormat="1" ht="13.5" thickBot="1">
      <c r="A70" s="954"/>
      <c r="B70" s="955"/>
      <c r="C70" s="310"/>
      <c r="D70" s="966"/>
      <c r="E70" s="950" t="s">
        <v>766</v>
      </c>
      <c r="F70" s="1054"/>
      <c r="O70" s="1428" t="s">
        <v>412</v>
      </c>
      <c r="P70" s="1467" t="s">
        <v>873</v>
      </c>
      <c r="Q70" s="1420">
        <f ca="1">C13</f>
        <v>33026</v>
      </c>
      <c r="R70" s="1420" t="s">
        <v>818</v>
      </c>
    </row>
    <row r="71" spans="1:18" s="1384" customFormat="1" ht="13.5" thickBot="1">
      <c r="A71" s="971" t="s">
        <v>396</v>
      </c>
      <c r="B71" s="972" t="s">
        <v>776</v>
      </c>
      <c r="C71" s="336">
        <f ca="1">ROUND(C68*10000/F71,0)</f>
        <v>-1076</v>
      </c>
      <c r="D71" s="973" t="s">
        <v>777</v>
      </c>
      <c r="E71" s="974" t="s">
        <v>778</v>
      </c>
      <c r="F71" s="339">
        <f ca="1">F43</f>
        <v>35375.960000000006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2312</v>
      </c>
      <c r="D75" s="1384"/>
      <c r="E75" s="1384"/>
      <c r="F75" s="1384"/>
      <c r="K75" s="1402"/>
      <c r="L75" s="1384"/>
      <c r="O75" s="1418" t="s">
        <v>409</v>
      </c>
      <c r="P75" s="1419" t="s">
        <v>838</v>
      </c>
      <c r="Q75" s="1420">
        <f ca="1">Q65+Q66</f>
        <v>122507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0.65100000000000002</v>
      </c>
    </row>
    <row r="80" spans="1:18">
      <c r="B80" s="340" t="s">
        <v>800</v>
      </c>
      <c r="C80" s="274">
        <f ca="1">ROUND(C75/C39,3)</f>
        <v>0.34899999999999998</v>
      </c>
    </row>
    <row r="81" spans="2:3">
      <c r="B81" s="270" t="s">
        <v>801</v>
      </c>
      <c r="C81" s="238"/>
    </row>
    <row r="82" spans="2:3">
      <c r="B82" s="273" t="s">
        <v>802</v>
      </c>
      <c r="C82" s="275">
        <f ca="1">1-C83</f>
        <v>0.73</v>
      </c>
    </row>
    <row r="83" spans="2:3">
      <c r="B83" s="273" t="s">
        <v>803</v>
      </c>
      <c r="C83" s="274">
        <f ca="1">ROUND(C13/C40,3)</f>
        <v>0.27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4098" t="s">
        <v>694</v>
      </c>
      <c r="C6" s="1074">
        <f ca="1">ROUND(F6*F8*F7*(1-F9),0)</f>
        <v>0</v>
      </c>
      <c r="D6" s="155" t="s">
        <v>2106</v>
      </c>
      <c r="E6" s="302" t="s">
        <v>696</v>
      </c>
      <c r="F6" s="303">
        <f ca="1">INDIRECT("'数据-取费表'!u"&amp;$G$1)</f>
        <v>0</v>
      </c>
      <c r="G6" s="1384"/>
      <c r="H6" s="1069" t="s">
        <v>398</v>
      </c>
      <c r="I6" s="4098" t="s">
        <v>694</v>
      </c>
      <c r="J6" s="301">
        <f ca="1">ROUND(M6*M8*M7*(1-M9),0)</f>
        <v>0</v>
      </c>
      <c r="K6" s="1376" t="s">
        <v>2107</v>
      </c>
      <c r="L6" s="302" t="s">
        <v>696</v>
      </c>
      <c r="M6" s="303">
        <f ca="1">INDIRECT("'数据-取费表'!z"&amp;$G$1)</f>
        <v>0</v>
      </c>
    </row>
    <row r="7" spans="1:37" ht="18" customHeight="1">
      <c r="A7" s="1073"/>
      <c r="B7" s="4099"/>
      <c r="C7" s="1075"/>
      <c r="D7" s="307"/>
      <c r="E7" s="1076" t="s">
        <v>697</v>
      </c>
      <c r="F7" s="303">
        <f ca="1">IF(INDIRECT("'数据-取费表'!ah"&amp;$G$1)="",INDIRECT("'数据-取费表'!k"&amp;$G$1),INDIRECT("'数据-取费表'!ah"&amp;$G$1))</f>
        <v>0</v>
      </c>
      <c r="G7" s="1384"/>
      <c r="H7" s="304"/>
      <c r="I7" s="4099"/>
      <c r="J7" s="306"/>
      <c r="K7" s="307"/>
      <c r="L7" s="302" t="s">
        <v>697</v>
      </c>
      <c r="M7" s="303">
        <f ca="1">F7</f>
        <v>0</v>
      </c>
    </row>
    <row r="8" spans="1:37" ht="18" customHeight="1">
      <c r="A8" s="304"/>
      <c r="B8" s="4099"/>
      <c r="C8" s="306"/>
      <c r="D8" s="307"/>
      <c r="E8" s="302" t="s">
        <v>698</v>
      </c>
      <c r="F8" s="303">
        <f ca="1">INDIRECT("'数据-取费表'!ai"&amp;$G$1)</f>
        <v>0</v>
      </c>
      <c r="G8" s="1384"/>
      <c r="H8" s="304"/>
      <c r="I8" s="4099"/>
      <c r="J8" s="306"/>
      <c r="K8" s="307"/>
      <c r="L8" s="302" t="s">
        <v>698</v>
      </c>
      <c r="M8" s="303">
        <f ca="1">INDIRECT("'数据-取费表'!ai"&amp;$G$1)</f>
        <v>0</v>
      </c>
    </row>
    <row r="9" spans="1:37" ht="18" customHeight="1">
      <c r="A9" s="304"/>
      <c r="B9" s="4100"/>
      <c r="C9" s="306"/>
      <c r="D9" s="307"/>
      <c r="E9" s="302" t="s">
        <v>699</v>
      </c>
      <c r="F9" s="312">
        <f ca="1">INDIRECT("'数据-取费表'!w"&amp;$G$1)</f>
        <v>0</v>
      </c>
      <c r="G9" s="1384"/>
      <c r="H9" s="304"/>
      <c r="I9" s="410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4096" t="s">
        <v>837</v>
      </c>
      <c r="L53" s="409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7" zoomScaleNormal="100" workbookViewId="0">
      <selection activeCell="C39" sqref="C3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f ca="1">IF(D2="——",C40,C40+E2)</f>
        <v>72502</v>
      </c>
      <c r="C2" s="2844" t="s">
        <v>2318</v>
      </c>
      <c r="D2" s="3443" t="s">
        <v>3361</v>
      </c>
      <c r="E2" s="3444">
        <f ca="1">收益法!L46</f>
        <v>1844</v>
      </c>
      <c r="F2" s="2846"/>
      <c r="G2" s="2847"/>
      <c r="H2" s="2848"/>
      <c r="I2" s="2849"/>
      <c r="J2" s="4107" t="s">
        <v>2319</v>
      </c>
      <c r="K2" s="4108"/>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f ca="1">ROUND(B2*10000/B4,0)</f>
        <v>20495</v>
      </c>
      <c r="C3" s="2844" t="s">
        <v>2328</v>
      </c>
      <c r="D3" s="2844"/>
      <c r="E3" s="2845"/>
      <c r="F3" s="2846"/>
      <c r="G3" s="2847"/>
      <c r="H3" s="2848"/>
      <c r="I3" s="2849"/>
      <c r="J3" s="4109" t="s">
        <v>2329</v>
      </c>
      <c r="K3" s="4110"/>
      <c r="L3" s="2856"/>
      <c r="M3" s="2856"/>
      <c r="N3" s="2856"/>
      <c r="O3" s="2856"/>
      <c r="P3" s="2856"/>
      <c r="Q3" s="2857"/>
      <c r="R3" s="2858">
        <f>SUM(L3:Q3)</f>
        <v>0</v>
      </c>
      <c r="S3" s="2841"/>
      <c r="T3" s="2841"/>
      <c r="U3" s="2841"/>
      <c r="V3" s="2849"/>
    </row>
    <row r="4" spans="1:22" s="2853" customFormat="1" ht="13.15" customHeight="1">
      <c r="A4" s="2859" t="s">
        <v>2330</v>
      </c>
      <c r="B4" s="2860">
        <f>'数据-汇总表'!E3</f>
        <v>35375.960000000006</v>
      </c>
      <c r="C4" s="2844"/>
      <c r="D4" s="2844"/>
      <c r="E4" s="2845"/>
      <c r="F4" s="2846"/>
      <c r="G4" s="2847"/>
      <c r="H4" s="2848"/>
      <c r="I4" s="2849"/>
      <c r="J4" s="4109" t="s">
        <v>2331</v>
      </c>
      <c r="K4" s="4110"/>
      <c r="L4" s="2861"/>
      <c r="M4" s="2861"/>
      <c r="N4" s="2861"/>
      <c r="O4" s="2861"/>
      <c r="P4" s="2861"/>
      <c r="Q4" s="2862"/>
      <c r="R4" s="2863">
        <f>SUM(L4:Q4)</f>
        <v>0</v>
      </c>
      <c r="S4" s="2841"/>
      <c r="T4" s="2841"/>
      <c r="U4" s="2841"/>
      <c r="V4" s="2849"/>
    </row>
    <row r="5" spans="1:22" s="2853" customFormat="1" ht="13.15" customHeight="1" thickBot="1">
      <c r="A5" s="2864" t="s">
        <v>2332</v>
      </c>
      <c r="B5" s="2865">
        <f>'数据-汇总表'!D3</f>
        <v>6534.54</v>
      </c>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4115" t="s">
        <v>2335</v>
      </c>
      <c r="B6" s="4116"/>
      <c r="C6" s="4117"/>
      <c r="D6" s="2870">
        <v>6500</v>
      </c>
      <c r="E6" s="2871"/>
      <c r="F6" s="2872"/>
      <c r="G6" s="2873"/>
      <c r="H6" s="2848"/>
      <c r="I6" s="2849"/>
      <c r="J6" s="4101">
        <v>1</v>
      </c>
      <c r="K6" s="4102"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 ca="1">SUM(D9,D10,D11,D17,0)</f>
        <v>2351</v>
      </c>
      <c r="E7" s="2880">
        <f ca="1">E9+E10+E11+E17</f>
        <v>0.3616923076923077</v>
      </c>
      <c r="F7" s="2881"/>
      <c r="G7" s="2882"/>
      <c r="H7" s="2848"/>
      <c r="I7" s="2849"/>
      <c r="J7" s="4101"/>
      <c r="K7" s="4103"/>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4118" t="s">
        <v>2349</v>
      </c>
      <c r="C8" s="4119"/>
      <c r="D8" s="2889" t="s">
        <v>2350</v>
      </c>
      <c r="E8" s="2890" t="s">
        <v>2351</v>
      </c>
      <c r="F8" s="2891" t="s">
        <v>2352</v>
      </c>
      <c r="G8" s="2892"/>
      <c r="H8" s="2848"/>
      <c r="I8" s="2849"/>
      <c r="J8" s="4101"/>
      <c r="K8" s="4103"/>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4118" t="s">
        <v>2355</v>
      </c>
      <c r="C9" s="4119"/>
      <c r="D9" s="2889">
        <f>ROUND(D6*E9,0)</f>
        <v>650</v>
      </c>
      <c r="E9" s="2893">
        <v>0.1</v>
      </c>
      <c r="F9" s="2894" t="s">
        <v>2356</v>
      </c>
      <c r="G9" s="2873"/>
      <c r="H9" s="2848"/>
      <c r="I9" s="2849"/>
      <c r="J9" s="4101"/>
      <c r="K9" s="4103"/>
      <c r="L9" s="2883" t="s">
        <v>2357</v>
      </c>
      <c r="M9" s="2884"/>
      <c r="N9" s="2860"/>
      <c r="O9" s="2885"/>
      <c r="P9" s="2885"/>
      <c r="Q9" s="2886">
        <v>365</v>
      </c>
      <c r="R9" s="2887">
        <f t="shared" si="0"/>
        <v>0</v>
      </c>
      <c r="S9" s="2841"/>
      <c r="T9" s="2841"/>
      <c r="U9" s="2841"/>
      <c r="V9" s="2849"/>
    </row>
    <row r="10" spans="1:22" s="2853" customFormat="1" ht="13.15" customHeight="1">
      <c r="A10" s="2888">
        <v>2</v>
      </c>
      <c r="B10" s="4118" t="s">
        <v>2358</v>
      </c>
      <c r="C10" s="4119"/>
      <c r="D10" s="2889">
        <f>ROUND(D6*E10,0)</f>
        <v>650</v>
      </c>
      <c r="E10" s="2893">
        <v>0.1</v>
      </c>
      <c r="F10" s="2894" t="s">
        <v>2359</v>
      </c>
      <c r="G10" s="2873"/>
      <c r="H10" s="2848"/>
      <c r="I10" s="2849"/>
      <c r="J10" s="4101"/>
      <c r="K10" s="4103"/>
      <c r="L10" s="2883" t="s">
        <v>2360</v>
      </c>
      <c r="M10" s="2884"/>
      <c r="N10" s="2860"/>
      <c r="O10" s="2885"/>
      <c r="P10" s="2885"/>
      <c r="Q10" s="2886">
        <v>365</v>
      </c>
      <c r="R10" s="2887">
        <f t="shared" si="0"/>
        <v>0</v>
      </c>
      <c r="S10" s="2841"/>
      <c r="T10" s="2841"/>
      <c r="U10" s="2841"/>
      <c r="V10" s="2849"/>
    </row>
    <row r="11" spans="1:22" s="2853" customFormat="1" ht="13.15" customHeight="1">
      <c r="A11" s="2888">
        <v>3</v>
      </c>
      <c r="B11" s="4118" t="s">
        <v>2361</v>
      </c>
      <c r="C11" s="4119"/>
      <c r="D11" s="2889">
        <f ca="1">D12+D14+D15+D16</f>
        <v>726</v>
      </c>
      <c r="E11" s="2895">
        <f ca="1">D11/D6</f>
        <v>0.11169230769230769</v>
      </c>
      <c r="F11" s="2891"/>
      <c r="G11" s="2892"/>
      <c r="H11" s="2848"/>
      <c r="I11" s="2849"/>
      <c r="J11" s="4101"/>
      <c r="K11" s="4103"/>
      <c r="L11" s="2883" t="s">
        <v>2362</v>
      </c>
      <c r="M11" s="2884"/>
      <c r="N11" s="2860"/>
      <c r="O11" s="2885"/>
      <c r="P11" s="2885"/>
      <c r="Q11" s="2886">
        <v>365</v>
      </c>
      <c r="R11" s="2887">
        <f t="shared" si="0"/>
        <v>0</v>
      </c>
      <c r="S11" s="2841"/>
      <c r="T11" s="2841"/>
      <c r="U11" s="2841"/>
      <c r="V11" s="2849"/>
    </row>
    <row r="12" spans="1:22" s="2853" customFormat="1" ht="13.15" customHeight="1">
      <c r="A12" s="2896" t="s">
        <v>2363</v>
      </c>
      <c r="B12" s="4111" t="s">
        <v>2364</v>
      </c>
      <c r="C12" s="4112"/>
      <c r="D12" s="2897">
        <f ca="1">ROUND(D13*1.2%*(1-30%),0)</f>
        <v>360</v>
      </c>
      <c r="E12" s="2898">
        <v>1.2E-2</v>
      </c>
      <c r="F12" s="2891" t="s">
        <v>2365</v>
      </c>
      <c r="G12" s="2892"/>
      <c r="H12" s="2848"/>
      <c r="I12" s="2849"/>
      <c r="J12" s="4101"/>
      <c r="K12" s="4103"/>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f ca="1">成本法!C49</f>
        <v>42891</v>
      </c>
      <c r="E13" s="2902"/>
      <c r="F13" s="2891"/>
      <c r="G13" s="2892"/>
      <c r="H13" s="2848"/>
      <c r="I13" s="2849"/>
      <c r="J13" s="4101"/>
      <c r="K13" s="4103"/>
      <c r="L13" s="2883" t="s">
        <v>2368</v>
      </c>
      <c r="M13" s="2884"/>
      <c r="N13" s="2860"/>
      <c r="O13" s="2885"/>
      <c r="P13" s="2885"/>
      <c r="Q13" s="2886">
        <v>365</v>
      </c>
      <c r="R13" s="2887">
        <f t="shared" si="0"/>
        <v>0</v>
      </c>
      <c r="S13" s="2841"/>
      <c r="T13" s="2841"/>
      <c r="U13" s="2841"/>
      <c r="V13" s="2849"/>
    </row>
    <row r="14" spans="1:22" s="2853" customFormat="1" ht="13.15" customHeight="1">
      <c r="A14" s="2896" t="s">
        <v>2369</v>
      </c>
      <c r="B14" s="4111" t="s">
        <v>2370</v>
      </c>
      <c r="C14" s="4112"/>
      <c r="D14" s="2897">
        <f>ROUND(E14*B5/10000,0)</f>
        <v>8</v>
      </c>
      <c r="E14" s="2886">
        <v>12</v>
      </c>
      <c r="F14" s="2891" t="s">
        <v>2371</v>
      </c>
      <c r="G14" s="2892"/>
      <c r="H14" s="2848"/>
      <c r="I14" s="2849"/>
      <c r="J14" s="4101"/>
      <c r="K14" s="4104"/>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4111" t="s">
        <v>2374</v>
      </c>
      <c r="C15" s="4112"/>
      <c r="D15" s="2897">
        <f>ROUND(D6*E15,0)</f>
        <v>358</v>
      </c>
      <c r="E15" s="2898">
        <v>5.5E-2</v>
      </c>
      <c r="F15" s="2891" t="s">
        <v>2375</v>
      </c>
      <c r="G15" s="2873"/>
      <c r="H15" s="2848"/>
      <c r="I15" s="2849"/>
      <c r="J15" s="4101">
        <v>2</v>
      </c>
      <c r="K15" s="4102"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4111" t="s">
        <v>2383</v>
      </c>
      <c r="C16" s="4112"/>
      <c r="D16" s="2908">
        <f>D6*E16</f>
        <v>0</v>
      </c>
      <c r="E16" s="2909"/>
      <c r="F16" s="2894" t="s">
        <v>2384</v>
      </c>
      <c r="G16" s="2873"/>
      <c r="H16" s="2848"/>
      <c r="I16" s="2849"/>
      <c r="J16" s="4101"/>
      <c r="K16" s="4103"/>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4113" t="s">
        <v>2386</v>
      </c>
      <c r="C17" s="4114"/>
      <c r="D17" s="2911">
        <f>ROUND(D6*E17,0)</f>
        <v>325</v>
      </c>
      <c r="E17" s="2912">
        <v>0.05</v>
      </c>
      <c r="F17" s="2913" t="s">
        <v>2387</v>
      </c>
      <c r="G17" s="2873"/>
      <c r="H17" s="2848"/>
      <c r="I17" s="2849"/>
      <c r="J17" s="4101"/>
      <c r="K17" s="4103"/>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325</v>
      </c>
      <c r="E18" s="2915">
        <v>0.05</v>
      </c>
      <c r="F18" s="2916" t="s">
        <v>2390</v>
      </c>
      <c r="G18" s="2873"/>
      <c r="H18" s="2848"/>
      <c r="I18" s="2849"/>
      <c r="J18" s="4101"/>
      <c r="K18" s="4103"/>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4101"/>
      <c r="K19" s="4104"/>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4101">
        <v>3</v>
      </c>
      <c r="K20" s="4102"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4101"/>
      <c r="K21" s="4103"/>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4101"/>
      <c r="K22" s="4103"/>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6500</v>
      </c>
      <c r="D23" s="2934">
        <f>C23*(1+D24)</f>
        <v>6500</v>
      </c>
      <c r="E23" s="2935">
        <f>D23*(1+E24)</f>
        <v>6500</v>
      </c>
      <c r="F23" s="2936"/>
      <c r="G23" s="2937"/>
      <c r="H23" s="2848"/>
      <c r="I23" s="2849"/>
      <c r="J23" s="4101"/>
      <c r="K23" s="4103"/>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4101"/>
      <c r="K24" s="4104"/>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 ca="1">D7</f>
        <v>2351</v>
      </c>
      <c r="D26" s="2934">
        <f>D23*D27</f>
        <v>0</v>
      </c>
      <c r="E26" s="2935">
        <f>E23*E27</f>
        <v>0</v>
      </c>
      <c r="F26" s="2936"/>
      <c r="G26" s="2937"/>
      <c r="H26" s="2848"/>
      <c r="I26" s="2849"/>
      <c r="J26" s="4105">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f ca="1">E7</f>
        <v>0.3616923076923077</v>
      </c>
      <c r="D27" s="2941"/>
      <c r="E27" s="2942"/>
      <c r="F27" s="2943"/>
      <c r="G27" s="2937"/>
      <c r="H27" s="2958"/>
      <c r="I27" s="2949"/>
      <c r="J27" s="410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325</v>
      </c>
      <c r="D29" s="2934">
        <f>D23*C30</f>
        <v>325</v>
      </c>
      <c r="E29" s="2935">
        <f>E23*C30</f>
        <v>325</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0.05</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 ca="1">C23-C26-C29</f>
        <v>3824</v>
      </c>
      <c r="D32" s="2934">
        <f>D23-D26-D29</f>
        <v>6175</v>
      </c>
      <c r="E32" s="2935">
        <f>E23-E26-E29</f>
        <v>6175</v>
      </c>
      <c r="F32" s="2936"/>
      <c r="G32" s="2930"/>
      <c r="H32" s="2848"/>
      <c r="I32" s="2849"/>
      <c r="J32" s="4107" t="s">
        <v>2319</v>
      </c>
      <c r="K32" s="4108"/>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4109" t="s">
        <v>2329</v>
      </c>
      <c r="K33" s="4110"/>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v>5.5E-2</v>
      </c>
      <c r="D34" s="2978"/>
      <c r="E34" s="2979"/>
      <c r="F34" s="2936"/>
      <c r="G34" s="2930"/>
      <c r="H34" s="2958"/>
      <c r="I34" s="2949"/>
      <c r="J34" s="4109" t="s">
        <v>2331</v>
      </c>
      <c r="K34" s="411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v>0.02</v>
      </c>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f>项目基本情况!E15</f>
        <v>30.84</v>
      </c>
      <c r="D36" s="2988"/>
      <c r="E36" s="2989"/>
      <c r="F36" s="2990">
        <f>C36+D36+E36</f>
        <v>30.84</v>
      </c>
      <c r="G36" s="2930"/>
      <c r="H36" s="2848"/>
      <c r="I36" s="2849"/>
      <c r="J36" s="4101">
        <v>1</v>
      </c>
      <c r="K36" s="4102"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4101"/>
      <c r="K37" s="4103"/>
      <c r="L37" s="2883"/>
      <c r="M37" s="2884"/>
      <c r="N37" s="2860"/>
      <c r="O37" s="2885"/>
      <c r="P37" s="2885"/>
      <c r="Q37" s="2886"/>
      <c r="R37" s="2887"/>
      <c r="S37" s="2922"/>
      <c r="T37" s="2841" t="s">
        <v>2347</v>
      </c>
      <c r="U37" s="2841"/>
      <c r="V37" s="2849"/>
    </row>
    <row r="38" spans="1:23" s="2853" customFormat="1" ht="13.15" customHeight="1">
      <c r="A38" s="2931">
        <v>8</v>
      </c>
      <c r="B38" s="2932"/>
      <c r="C38" s="2889">
        <f ca="1">ROUND(C32*(1-((1+C35)/(1+C34))^C36)/(C34-C35),0)</f>
        <v>70658</v>
      </c>
      <c r="D38" s="2889"/>
      <c r="E38" s="2889"/>
      <c r="F38" s="2936"/>
      <c r="G38" s="2930"/>
      <c r="H38" s="2848"/>
      <c r="I38" s="2849"/>
      <c r="J38" s="4101"/>
      <c r="K38" s="4103"/>
      <c r="L38" s="2883"/>
      <c r="M38" s="2884"/>
      <c r="N38" s="2860"/>
      <c r="O38" s="2885"/>
      <c r="P38" s="2885"/>
      <c r="Q38" s="2886"/>
      <c r="R38" s="2887"/>
      <c r="S38" s="2922"/>
      <c r="T38" s="2841" t="s">
        <v>2354</v>
      </c>
      <c r="U38" s="2841"/>
      <c r="V38" s="2849"/>
    </row>
    <row r="39" spans="1:23" s="2853" customFormat="1" ht="13.15" customHeight="1">
      <c r="A39" s="2931">
        <v>9</v>
      </c>
      <c r="B39" s="2932" t="s">
        <v>2432</v>
      </c>
      <c r="C39" s="2897">
        <f ca="1">C38</f>
        <v>70658</v>
      </c>
      <c r="D39" s="2932"/>
      <c r="E39" s="2932"/>
      <c r="F39" s="2936"/>
      <c r="G39" s="2991"/>
      <c r="H39" s="2848"/>
      <c r="I39" s="2849"/>
      <c r="J39" s="4101"/>
      <c r="K39" s="4103"/>
      <c r="L39" s="2883"/>
      <c r="M39" s="2884"/>
      <c r="N39" s="2860"/>
      <c r="O39" s="2885"/>
      <c r="P39" s="2885"/>
      <c r="Q39" s="2886"/>
      <c r="R39" s="2887"/>
      <c r="S39" s="2922"/>
      <c r="T39" s="2841"/>
      <c r="U39" s="2841"/>
      <c r="V39" s="2849"/>
    </row>
    <row r="40" spans="1:23" s="2853" customFormat="1" ht="13.15" customHeight="1">
      <c r="A40" s="2992">
        <v>10</v>
      </c>
      <c r="B40" s="2932" t="s">
        <v>2433</v>
      </c>
      <c r="C40" s="2993">
        <f ca="1">C39+D39+E39</f>
        <v>70658</v>
      </c>
      <c r="D40" s="2994"/>
      <c r="E40" s="2994"/>
      <c r="F40" s="2995"/>
      <c r="G40" s="2930"/>
      <c r="H40" s="2848"/>
      <c r="I40" s="2849"/>
      <c r="J40" s="4101"/>
      <c r="K40" s="4104"/>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f ca="1">ROUND(C40*10000/B4,0)</f>
        <v>19973</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4105">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410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124351</v>
      </c>
      <c r="C2" s="1872" t="s">
        <v>1651</v>
      </c>
      <c r="D2" s="1873" t="s">
        <v>1652</v>
      </c>
      <c r="E2" s="2607">
        <f>SUM(E6:E13)</f>
        <v>35375.960000000006</v>
      </c>
      <c r="F2" s="2707"/>
      <c r="G2" s="1489"/>
      <c r="H2" s="1489"/>
      <c r="I2" s="1489"/>
      <c r="J2" s="1489"/>
      <c r="K2" s="1489"/>
      <c r="L2" s="1489"/>
      <c r="M2" s="1489"/>
      <c r="N2" s="1489"/>
      <c r="O2" s="1489"/>
      <c r="P2" s="1489"/>
      <c r="Q2" s="1489"/>
      <c r="R2" s="1489"/>
      <c r="S2" s="1489"/>
    </row>
    <row r="3" spans="1:22" ht="15.75">
      <c r="A3" s="1870" t="s">
        <v>686</v>
      </c>
      <c r="B3" s="2601">
        <f ca="1">ROUND(B2*10000/E2,0)</f>
        <v>35151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4120" t="s">
        <v>1654</v>
      </c>
      <c r="C5" s="412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124351</v>
      </c>
      <c r="C6" s="1872" t="s">
        <v>1651</v>
      </c>
      <c r="D6" s="2709"/>
      <c r="E6" s="2606">
        <f>IF(OR(A6=0,F6="否"),0,'数据-取费表'!K6+'数据-取费表'!S6)</f>
        <v>35375.960000000006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估价对象为北京市房地产，为所有。根据《国有土地使用证》[]，估价对象（分摊）出让国有建设用地使用权面积为6534.54平方米，建筑面积为35375.96平方米。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估价对象为北京市房地产,属开发建设的，该项目尚在开发建设中。根据《国有土地使用证》[]，估价对象（分摊）出让国有建设用地使用权面积为6534.54平方米，规划建筑面积为35375.96平方米。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2024年8月26日（评估专业人员实地查勘之日）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35375.960000000006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993" t="s">
        <v>1667</v>
      </c>
      <c r="D4" s="3994"/>
      <c r="E4" s="3995" t="s">
        <v>1668</v>
      </c>
      <c r="F4" s="3996"/>
      <c r="G4" s="3993" t="s">
        <v>1669</v>
      </c>
      <c r="H4" s="3994"/>
      <c r="I4" s="3993" t="s">
        <v>1670</v>
      </c>
      <c r="J4" s="3994"/>
      <c r="K4" s="1889" t="s">
        <v>1671</v>
      </c>
      <c r="L4" s="2715"/>
      <c r="M4" s="2716"/>
      <c r="N4" s="2716"/>
      <c r="O4" s="2716"/>
      <c r="P4" s="4126" t="s">
        <v>1672</v>
      </c>
      <c r="Q4" s="4127"/>
      <c r="R4" s="4130" t="s">
        <v>1668</v>
      </c>
      <c r="S4" s="4131"/>
      <c r="T4" s="4130" t="s">
        <v>1669</v>
      </c>
      <c r="U4" s="4131"/>
      <c r="V4" s="4010" t="s">
        <v>1670</v>
      </c>
      <c r="W4" s="4010"/>
      <c r="X4" s="1355"/>
      <c r="Y4" s="4130" t="s">
        <v>1672</v>
      </c>
      <c r="Z4" s="4131"/>
      <c r="AA4" s="4125" t="s">
        <v>1668</v>
      </c>
      <c r="AB4" s="4125" t="s">
        <v>1669</v>
      </c>
      <c r="AC4" s="4125" t="s">
        <v>1670</v>
      </c>
    </row>
    <row r="5" spans="1:29" ht="15">
      <c r="A5" s="358"/>
      <c r="B5" s="359"/>
      <c r="C5" s="4013" t="s">
        <v>1673</v>
      </c>
      <c r="D5" s="4014"/>
      <c r="E5" s="4024" t="s">
        <v>1674</v>
      </c>
      <c r="F5" s="4025"/>
      <c r="G5" s="4013" t="s">
        <v>1675</v>
      </c>
      <c r="H5" s="4014"/>
      <c r="I5" s="4013" t="s">
        <v>1676</v>
      </c>
      <c r="J5" s="4014"/>
      <c r="K5" s="1890"/>
      <c r="L5" s="2715"/>
      <c r="M5" s="2716"/>
      <c r="N5" s="2716"/>
      <c r="O5" s="2716"/>
      <c r="P5" s="4128"/>
      <c r="Q5" s="4000"/>
      <c r="R5" s="4005"/>
      <c r="S5" s="4006"/>
      <c r="T5" s="4005"/>
      <c r="U5" s="4006"/>
      <c r="V5" s="4010"/>
      <c r="W5" s="4010"/>
      <c r="X5" s="1355"/>
      <c r="Y5" s="4005"/>
      <c r="Z5" s="4006"/>
      <c r="AA5" s="4022"/>
      <c r="AB5" s="4022"/>
      <c r="AC5" s="4022"/>
    </row>
    <row r="6" spans="1:29" ht="15.75" thickBot="1">
      <c r="A6" s="360"/>
      <c r="B6" s="361"/>
      <c r="C6" s="4011" t="s">
        <v>1677</v>
      </c>
      <c r="D6" s="4012"/>
      <c r="E6" s="4019" t="s">
        <v>1677</v>
      </c>
      <c r="F6" s="4020"/>
      <c r="G6" s="4011" t="s">
        <v>1677</v>
      </c>
      <c r="H6" s="4012"/>
      <c r="I6" s="4011" t="s">
        <v>1677</v>
      </c>
      <c r="J6" s="4012"/>
      <c r="K6" s="1890" t="s">
        <v>1678</v>
      </c>
      <c r="L6" s="2715"/>
      <c r="M6" s="2716"/>
      <c r="N6" s="2716"/>
      <c r="O6" s="2716"/>
      <c r="P6" s="4129"/>
      <c r="Q6" s="4002"/>
      <c r="R6" s="4005"/>
      <c r="S6" s="4006"/>
      <c r="T6" s="4007"/>
      <c r="U6" s="4008"/>
      <c r="V6" s="4010"/>
      <c r="W6" s="4010"/>
      <c r="X6" s="1355"/>
      <c r="Y6" s="4007"/>
      <c r="Z6" s="4008"/>
      <c r="AA6" s="4023"/>
      <c r="AB6" s="4023"/>
      <c r="AC6" s="4023"/>
    </row>
    <row r="7" spans="1:29" s="108" customFormat="1" ht="15.75" thickBot="1">
      <c r="A7" s="362" t="s">
        <v>1679</v>
      </c>
      <c r="B7" s="363"/>
      <c r="C7" s="364">
        <f>'数据-取费表'!B2</f>
        <v>45530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4017" t="s">
        <v>1680</v>
      </c>
      <c r="Q7" s="4018"/>
      <c r="R7" s="701" t="s">
        <v>20</v>
      </c>
      <c r="S7" s="702">
        <f t="shared" ref="S7:S15" si="0">F7</f>
        <v>0</v>
      </c>
      <c r="T7" s="701" t="s">
        <v>20</v>
      </c>
      <c r="U7" s="702">
        <f t="shared" ref="U7:U15" si="1">H7</f>
        <v>0</v>
      </c>
      <c r="V7" s="701" t="s">
        <v>20</v>
      </c>
      <c r="W7" s="702">
        <f t="shared" ref="W7:W15" si="2">J7</f>
        <v>0</v>
      </c>
      <c r="X7" s="703"/>
      <c r="Y7" s="4017" t="s">
        <v>1680</v>
      </c>
      <c r="Z7" s="401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4017" t="s">
        <v>1683</v>
      </c>
      <c r="Q8" s="4016"/>
      <c r="R8" s="701" t="s">
        <v>20</v>
      </c>
      <c r="S8" s="702">
        <f t="shared" si="0"/>
        <v>100</v>
      </c>
      <c r="T8" s="701" t="s">
        <v>20</v>
      </c>
      <c r="U8" s="702">
        <f t="shared" si="1"/>
        <v>100</v>
      </c>
      <c r="V8" s="701" t="s">
        <v>20</v>
      </c>
      <c r="W8" s="702">
        <f t="shared" si="2"/>
        <v>100</v>
      </c>
      <c r="X8" s="703"/>
      <c r="Y8" s="4017" t="s">
        <v>1683</v>
      </c>
      <c r="Z8" s="401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975" t="s">
        <v>1686</v>
      </c>
      <c r="Q9" s="1343" t="str">
        <f t="shared" ref="Q9:Q15" si="6">B9</f>
        <v>用途</v>
      </c>
      <c r="R9" s="701" t="s">
        <v>14</v>
      </c>
      <c r="S9" s="702">
        <f t="shared" si="0"/>
        <v>100</v>
      </c>
      <c r="T9" s="701" t="s">
        <v>14</v>
      </c>
      <c r="U9" s="702">
        <f t="shared" si="1"/>
        <v>100</v>
      </c>
      <c r="V9" s="701" t="s">
        <v>14</v>
      </c>
      <c r="W9" s="702">
        <f t="shared" si="2"/>
        <v>100</v>
      </c>
      <c r="X9" s="703"/>
      <c r="Y9" s="388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975"/>
      <c r="Q10" s="1343" t="str">
        <f t="shared" si="6"/>
        <v>土地使用年限（年）</v>
      </c>
      <c r="R10" s="701" t="s">
        <v>14</v>
      </c>
      <c r="S10" s="702">
        <f t="shared" si="0"/>
        <v>100</v>
      </c>
      <c r="T10" s="701" t="s">
        <v>14</v>
      </c>
      <c r="U10" s="702">
        <f t="shared" si="1"/>
        <v>100</v>
      </c>
      <c r="V10" s="701" t="s">
        <v>14</v>
      </c>
      <c r="W10" s="702">
        <f t="shared" si="2"/>
        <v>100</v>
      </c>
      <c r="X10" s="703"/>
      <c r="Y10" s="388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975"/>
      <c r="Q11" s="1343" t="str">
        <f t="shared" si="6"/>
        <v>容积率</v>
      </c>
      <c r="R11" s="701" t="s">
        <v>18</v>
      </c>
      <c r="S11" s="702" t="e">
        <f t="shared" si="0"/>
        <v>#N/A</v>
      </c>
      <c r="T11" s="701" t="s">
        <v>18</v>
      </c>
      <c r="U11" s="702" t="e">
        <f t="shared" si="1"/>
        <v>#N/A</v>
      </c>
      <c r="V11" s="701" t="s">
        <v>18</v>
      </c>
      <c r="W11" s="702" t="e">
        <f t="shared" si="2"/>
        <v>#N/A</v>
      </c>
      <c r="X11" s="703"/>
      <c r="Y11" s="388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975"/>
      <c r="Q12" s="1343">
        <f t="shared" si="6"/>
        <v>111</v>
      </c>
      <c r="R12" s="701" t="s">
        <v>18</v>
      </c>
      <c r="S12" s="702">
        <f t="shared" si="0"/>
        <v>100</v>
      </c>
      <c r="T12" s="701" t="s">
        <v>18</v>
      </c>
      <c r="U12" s="702">
        <f t="shared" si="1"/>
        <v>100</v>
      </c>
      <c r="V12" s="701" t="s">
        <v>18</v>
      </c>
      <c r="W12" s="702">
        <f t="shared" si="2"/>
        <v>100</v>
      </c>
      <c r="X12" s="703"/>
      <c r="Y12" s="388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975"/>
      <c r="Q13" s="1343">
        <f t="shared" si="6"/>
        <v>111</v>
      </c>
      <c r="R13" s="701" t="s">
        <v>18</v>
      </c>
      <c r="S13" s="702">
        <f t="shared" si="0"/>
        <v>100</v>
      </c>
      <c r="T13" s="701" t="s">
        <v>18</v>
      </c>
      <c r="U13" s="702">
        <f t="shared" si="1"/>
        <v>100</v>
      </c>
      <c r="V13" s="701" t="s">
        <v>18</v>
      </c>
      <c r="W13" s="702">
        <f t="shared" si="2"/>
        <v>100</v>
      </c>
      <c r="X13" s="703"/>
      <c r="Y13" s="388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975"/>
      <c r="Q14" s="1343">
        <f t="shared" si="6"/>
        <v>111</v>
      </c>
      <c r="R14" s="701" t="s">
        <v>18</v>
      </c>
      <c r="S14" s="702">
        <f t="shared" si="0"/>
        <v>100</v>
      </c>
      <c r="T14" s="701" t="s">
        <v>18</v>
      </c>
      <c r="U14" s="702">
        <f t="shared" si="1"/>
        <v>100</v>
      </c>
      <c r="V14" s="701" t="s">
        <v>18</v>
      </c>
      <c r="W14" s="702">
        <f t="shared" si="2"/>
        <v>100</v>
      </c>
      <c r="X14" s="703"/>
      <c r="Y14" s="388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981" t="s">
        <v>1691</v>
      </c>
      <c r="Q15" s="1352" t="str">
        <f t="shared" si="6"/>
        <v>居住社区成熟度</v>
      </c>
      <c r="R15" s="705" t="s">
        <v>18</v>
      </c>
      <c r="S15" s="706">
        <f t="shared" si="0"/>
        <v>100</v>
      </c>
      <c r="T15" s="705" t="s">
        <v>18</v>
      </c>
      <c r="U15" s="706">
        <f t="shared" si="1"/>
        <v>100</v>
      </c>
      <c r="V15" s="705" t="s">
        <v>18</v>
      </c>
      <c r="W15" s="706">
        <f t="shared" si="2"/>
        <v>100</v>
      </c>
      <c r="X15" s="1355"/>
      <c r="Y15" s="398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982"/>
      <c r="Q16" s="1352"/>
      <c r="R16" s="705"/>
      <c r="S16" s="706"/>
      <c r="T16" s="705"/>
      <c r="U16" s="706"/>
      <c r="V16" s="705"/>
      <c r="W16" s="706"/>
      <c r="X16" s="1355"/>
      <c r="Y16" s="398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982"/>
      <c r="Q17" s="1352" t="str">
        <f>B17</f>
        <v>交通便捷度</v>
      </c>
      <c r="R17" s="705" t="s">
        <v>18</v>
      </c>
      <c r="S17" s="706">
        <f>F17</f>
        <v>100</v>
      </c>
      <c r="T17" s="705" t="s">
        <v>18</v>
      </c>
      <c r="U17" s="706">
        <f>H17</f>
        <v>100</v>
      </c>
      <c r="V17" s="705" t="s">
        <v>18</v>
      </c>
      <c r="W17" s="706">
        <f>J17</f>
        <v>100</v>
      </c>
      <c r="X17" s="1355"/>
      <c r="Y17" s="398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982"/>
      <c r="Q18" s="1352"/>
      <c r="R18" s="705"/>
      <c r="S18" s="706"/>
      <c r="T18" s="705"/>
      <c r="U18" s="706"/>
      <c r="V18" s="705"/>
      <c r="W18" s="706"/>
      <c r="X18" s="1355"/>
      <c r="Y18" s="398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982"/>
      <c r="Q19" s="1352" t="str">
        <f>B19</f>
        <v>公共配套设施</v>
      </c>
      <c r="R19" s="705" t="s">
        <v>18</v>
      </c>
      <c r="S19" s="706">
        <f>F19</f>
        <v>100</v>
      </c>
      <c r="T19" s="705" t="s">
        <v>18</v>
      </c>
      <c r="U19" s="706">
        <f>H19</f>
        <v>100</v>
      </c>
      <c r="V19" s="705" t="s">
        <v>18</v>
      </c>
      <c r="W19" s="706">
        <f>J19</f>
        <v>100</v>
      </c>
      <c r="X19" s="1355"/>
      <c r="Y19" s="398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982"/>
      <c r="Q20" s="1352"/>
      <c r="R20" s="705"/>
      <c r="S20" s="706"/>
      <c r="T20" s="705"/>
      <c r="U20" s="706"/>
      <c r="V20" s="705"/>
      <c r="W20" s="706"/>
      <c r="X20" s="1355"/>
      <c r="Y20" s="398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982"/>
      <c r="Q21" s="1352" t="str">
        <f>B21</f>
        <v>基础设施水平</v>
      </c>
      <c r="R21" s="705" t="s">
        <v>14</v>
      </c>
      <c r="S21" s="706">
        <f>F21</f>
        <v>100</v>
      </c>
      <c r="T21" s="705" t="s">
        <v>14</v>
      </c>
      <c r="U21" s="706">
        <f>H21</f>
        <v>100</v>
      </c>
      <c r="V21" s="705" t="s">
        <v>14</v>
      </c>
      <c r="W21" s="706">
        <f>J21</f>
        <v>100</v>
      </c>
      <c r="X21" s="1355"/>
      <c r="Y21" s="39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982"/>
      <c r="Q22" s="1352"/>
      <c r="R22" s="705"/>
      <c r="S22" s="706"/>
      <c r="T22" s="705"/>
      <c r="U22" s="706"/>
      <c r="V22" s="705"/>
      <c r="W22" s="706"/>
      <c r="X22" s="1355"/>
      <c r="Y22" s="398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982"/>
      <c r="Q23" s="1352" t="str">
        <f>B23</f>
        <v>自然及人文环境</v>
      </c>
      <c r="R23" s="705" t="s">
        <v>18</v>
      </c>
      <c r="S23" s="706">
        <f>F23</f>
        <v>100</v>
      </c>
      <c r="T23" s="705" t="s">
        <v>18</v>
      </c>
      <c r="U23" s="706">
        <f>H23</f>
        <v>100</v>
      </c>
      <c r="V23" s="705" t="s">
        <v>18</v>
      </c>
      <c r="W23" s="706">
        <f>J23</f>
        <v>100</v>
      </c>
      <c r="X23" s="1355"/>
      <c r="Y23" s="398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982"/>
      <c r="Q24" s="1352"/>
      <c r="R24" s="705"/>
      <c r="S24" s="706"/>
      <c r="T24" s="705"/>
      <c r="U24" s="706"/>
      <c r="V24" s="705"/>
      <c r="W24" s="706"/>
      <c r="X24" s="1355"/>
      <c r="Y24" s="398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98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98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982"/>
      <c r="Q26" s="1352" t="str">
        <f t="shared" si="11"/>
        <v>朝向</v>
      </c>
      <c r="R26" s="705" t="s">
        <v>18</v>
      </c>
      <c r="S26" s="706">
        <f t="shared" si="12"/>
        <v>100</v>
      </c>
      <c r="T26" s="705" t="s">
        <v>18</v>
      </c>
      <c r="U26" s="706">
        <f t="shared" si="13"/>
        <v>100</v>
      </c>
      <c r="V26" s="705" t="s">
        <v>18</v>
      </c>
      <c r="W26" s="706">
        <f t="shared" si="14"/>
        <v>100</v>
      </c>
      <c r="X26" s="1355"/>
      <c r="Y26" s="398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982"/>
      <c r="Q27" s="1343">
        <f t="shared" si="11"/>
        <v>111</v>
      </c>
      <c r="R27" s="701" t="s">
        <v>18</v>
      </c>
      <c r="S27" s="702">
        <f t="shared" si="12"/>
        <v>100</v>
      </c>
      <c r="T27" s="701" t="s">
        <v>18</v>
      </c>
      <c r="U27" s="702">
        <f t="shared" si="13"/>
        <v>100</v>
      </c>
      <c r="V27" s="701" t="s">
        <v>18</v>
      </c>
      <c r="W27" s="702">
        <f t="shared" si="14"/>
        <v>100</v>
      </c>
      <c r="X27" s="703"/>
      <c r="Y27" s="398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982"/>
      <c r="Q28" s="1352">
        <f t="shared" si="11"/>
        <v>111</v>
      </c>
      <c r="R28" s="705" t="s">
        <v>18</v>
      </c>
      <c r="S28" s="706">
        <f t="shared" si="12"/>
        <v>100</v>
      </c>
      <c r="T28" s="705" t="s">
        <v>18</v>
      </c>
      <c r="U28" s="706">
        <f t="shared" si="13"/>
        <v>100</v>
      </c>
      <c r="V28" s="705" t="s">
        <v>18</v>
      </c>
      <c r="W28" s="706">
        <f t="shared" si="14"/>
        <v>100</v>
      </c>
      <c r="X28" s="1355"/>
      <c r="Y28" s="398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982"/>
      <c r="Q29" s="1352">
        <f t="shared" si="11"/>
        <v>111</v>
      </c>
      <c r="R29" s="705" t="s">
        <v>18</v>
      </c>
      <c r="S29" s="706">
        <f t="shared" si="12"/>
        <v>100</v>
      </c>
      <c r="T29" s="705" t="s">
        <v>18</v>
      </c>
      <c r="U29" s="706">
        <f t="shared" si="13"/>
        <v>100</v>
      </c>
      <c r="V29" s="705" t="s">
        <v>18</v>
      </c>
      <c r="W29" s="706">
        <f t="shared" si="14"/>
        <v>100</v>
      </c>
      <c r="X29" s="1355"/>
      <c r="Y29" s="398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982"/>
      <c r="Q30" s="1352">
        <f t="shared" si="11"/>
        <v>111</v>
      </c>
      <c r="R30" s="705" t="s">
        <v>18</v>
      </c>
      <c r="S30" s="706">
        <f t="shared" si="12"/>
        <v>100</v>
      </c>
      <c r="T30" s="705" t="s">
        <v>18</v>
      </c>
      <c r="U30" s="706">
        <f t="shared" si="13"/>
        <v>100</v>
      </c>
      <c r="V30" s="705" t="s">
        <v>18</v>
      </c>
      <c r="W30" s="706">
        <f t="shared" si="14"/>
        <v>100</v>
      </c>
      <c r="X30" s="1355"/>
      <c r="Y30" s="398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982"/>
      <c r="Q31" s="1352">
        <f t="shared" si="11"/>
        <v>111</v>
      </c>
      <c r="R31" s="705" t="s">
        <v>18</v>
      </c>
      <c r="S31" s="706">
        <f t="shared" si="12"/>
        <v>100</v>
      </c>
      <c r="T31" s="705" t="s">
        <v>18</v>
      </c>
      <c r="U31" s="706">
        <f t="shared" si="13"/>
        <v>100</v>
      </c>
      <c r="V31" s="705" t="s">
        <v>18</v>
      </c>
      <c r="W31" s="706">
        <f t="shared" si="14"/>
        <v>100</v>
      </c>
      <c r="X31" s="1355"/>
      <c r="Y31" s="398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985" t="s">
        <v>1696</v>
      </c>
      <c r="Q32" s="1352" t="str">
        <f t="shared" si="11"/>
        <v>建筑类型</v>
      </c>
      <c r="R32" s="705" t="s">
        <v>18</v>
      </c>
      <c r="S32" s="706">
        <f t="shared" si="12"/>
        <v>100</v>
      </c>
      <c r="T32" s="705" t="s">
        <v>18</v>
      </c>
      <c r="U32" s="706">
        <f t="shared" si="13"/>
        <v>100</v>
      </c>
      <c r="V32" s="705" t="s">
        <v>18</v>
      </c>
      <c r="W32" s="706">
        <f t="shared" si="14"/>
        <v>100</v>
      </c>
      <c r="X32" s="1355"/>
      <c r="Y32" s="398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986"/>
      <c r="Q33" s="707" t="str">
        <f t="shared" si="11"/>
        <v>项目建筑规模</v>
      </c>
      <c r="R33" s="708" t="s">
        <v>18</v>
      </c>
      <c r="S33" s="709" t="e">
        <f t="shared" si="12"/>
        <v>#N/A</v>
      </c>
      <c r="T33" s="708" t="s">
        <v>18</v>
      </c>
      <c r="U33" s="709" t="e">
        <f t="shared" si="13"/>
        <v>#N/A</v>
      </c>
      <c r="V33" s="708" t="s">
        <v>18</v>
      </c>
      <c r="W33" s="709" t="e">
        <f t="shared" si="14"/>
        <v>#N/A</v>
      </c>
      <c r="X33" s="710"/>
      <c r="Y33" s="398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986"/>
      <c r="Q34" s="1352" t="str">
        <f t="shared" si="11"/>
        <v>建筑结构</v>
      </c>
      <c r="R34" s="705" t="s">
        <v>18</v>
      </c>
      <c r="S34" s="706">
        <f t="shared" si="12"/>
        <v>100</v>
      </c>
      <c r="T34" s="705" t="s">
        <v>18</v>
      </c>
      <c r="U34" s="706">
        <f t="shared" si="13"/>
        <v>100</v>
      </c>
      <c r="V34" s="705" t="s">
        <v>18</v>
      </c>
      <c r="W34" s="706">
        <f t="shared" si="14"/>
        <v>100</v>
      </c>
      <c r="X34" s="1355"/>
      <c r="Y34" s="398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986"/>
      <c r="Q35" s="1352" t="str">
        <f t="shared" si="11"/>
        <v>建筑品质</v>
      </c>
      <c r="R35" s="705" t="s">
        <v>18</v>
      </c>
      <c r="S35" s="706">
        <f t="shared" si="12"/>
        <v>100</v>
      </c>
      <c r="T35" s="705" t="s">
        <v>18</v>
      </c>
      <c r="U35" s="706">
        <f t="shared" si="13"/>
        <v>100</v>
      </c>
      <c r="V35" s="705" t="s">
        <v>18</v>
      </c>
      <c r="W35" s="706">
        <f t="shared" si="14"/>
        <v>100</v>
      </c>
      <c r="X35" s="1355"/>
      <c r="Y35" s="398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986"/>
      <c r="Q36" s="1352" t="str">
        <f t="shared" si="11"/>
        <v>公共部分装修</v>
      </c>
      <c r="R36" s="705" t="s">
        <v>18</v>
      </c>
      <c r="S36" s="706">
        <f t="shared" si="12"/>
        <v>100</v>
      </c>
      <c r="T36" s="705" t="s">
        <v>18</v>
      </c>
      <c r="U36" s="706">
        <f t="shared" si="13"/>
        <v>100</v>
      </c>
      <c r="V36" s="705" t="s">
        <v>18</v>
      </c>
      <c r="W36" s="706">
        <f t="shared" si="14"/>
        <v>100</v>
      </c>
      <c r="X36" s="1355"/>
      <c r="Y36" s="398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986"/>
      <c r="Q37" s="1343" t="str">
        <f t="shared" si="11"/>
        <v>成新度</v>
      </c>
      <c r="R37" s="701" t="s">
        <v>18</v>
      </c>
      <c r="S37" s="702" t="e">
        <f t="shared" si="12"/>
        <v>#N/A</v>
      </c>
      <c r="T37" s="701" t="s">
        <v>18</v>
      </c>
      <c r="U37" s="702" t="e">
        <f t="shared" si="13"/>
        <v>#N/A</v>
      </c>
      <c r="V37" s="701" t="s">
        <v>18</v>
      </c>
      <c r="W37" s="702" t="e">
        <f t="shared" si="14"/>
        <v>#N/A</v>
      </c>
      <c r="X37" s="703"/>
      <c r="Y37" s="398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986" t="s">
        <v>1696</v>
      </c>
      <c r="Q38" s="1352" t="str">
        <f t="shared" si="11"/>
        <v>物业管理</v>
      </c>
      <c r="R38" s="705" t="s">
        <v>18</v>
      </c>
      <c r="S38" s="706">
        <f t="shared" si="12"/>
        <v>100</v>
      </c>
      <c r="T38" s="705" t="s">
        <v>18</v>
      </c>
      <c r="U38" s="706">
        <f t="shared" si="13"/>
        <v>100</v>
      </c>
      <c r="V38" s="705" t="s">
        <v>18</v>
      </c>
      <c r="W38" s="706">
        <f t="shared" si="14"/>
        <v>100</v>
      </c>
      <c r="X38" s="1355"/>
      <c r="Y38" s="398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986"/>
      <c r="Q39" s="1352" t="str">
        <f t="shared" si="11"/>
        <v>市政基础设施</v>
      </c>
      <c r="R39" s="705" t="s">
        <v>18</v>
      </c>
      <c r="S39" s="706">
        <f t="shared" si="12"/>
        <v>100</v>
      </c>
      <c r="T39" s="705" t="s">
        <v>18</v>
      </c>
      <c r="U39" s="706">
        <f t="shared" si="13"/>
        <v>100</v>
      </c>
      <c r="V39" s="705" t="s">
        <v>18</v>
      </c>
      <c r="W39" s="706">
        <f t="shared" si="14"/>
        <v>100</v>
      </c>
      <c r="X39" s="1355"/>
      <c r="Y39" s="398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986"/>
      <c r="Q40" s="1352" t="str">
        <f t="shared" si="11"/>
        <v>房型</v>
      </c>
      <c r="R40" s="705" t="s">
        <v>18</v>
      </c>
      <c r="S40" s="706">
        <f t="shared" si="12"/>
        <v>100</v>
      </c>
      <c r="T40" s="705" t="s">
        <v>18</v>
      </c>
      <c r="U40" s="706">
        <f t="shared" si="13"/>
        <v>100</v>
      </c>
      <c r="V40" s="705" t="s">
        <v>18</v>
      </c>
      <c r="W40" s="706">
        <f t="shared" si="14"/>
        <v>100</v>
      </c>
      <c r="X40" s="1355"/>
      <c r="Y40" s="398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986"/>
      <c r="Q41" s="707" t="str">
        <f t="shared" si="11"/>
        <v>单套/主力户型建筑面积</v>
      </c>
      <c r="R41" s="708" t="s">
        <v>18</v>
      </c>
      <c r="S41" s="709">
        <f t="shared" si="12"/>
        <v>100</v>
      </c>
      <c r="T41" s="708" t="s">
        <v>18</v>
      </c>
      <c r="U41" s="709">
        <f t="shared" si="13"/>
        <v>100</v>
      </c>
      <c r="V41" s="708" t="s">
        <v>18</v>
      </c>
      <c r="W41" s="709">
        <f t="shared" si="14"/>
        <v>100</v>
      </c>
      <c r="X41" s="710"/>
      <c r="Y41" s="398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986"/>
      <c r="Q42" s="1352" t="str">
        <f t="shared" si="11"/>
        <v>内部装修</v>
      </c>
      <c r="R42" s="705" t="s">
        <v>18</v>
      </c>
      <c r="S42" s="706">
        <f t="shared" si="12"/>
        <v>100</v>
      </c>
      <c r="T42" s="705" t="s">
        <v>18</v>
      </c>
      <c r="U42" s="706">
        <f t="shared" si="13"/>
        <v>100</v>
      </c>
      <c r="V42" s="705" t="s">
        <v>18</v>
      </c>
      <c r="W42" s="706">
        <f t="shared" si="14"/>
        <v>100</v>
      </c>
      <c r="X42" s="1355"/>
      <c r="Y42" s="398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986"/>
      <c r="Q43" s="1352" t="str">
        <f t="shared" si="11"/>
        <v>内部装修维护情况</v>
      </c>
      <c r="R43" s="705" t="s">
        <v>18</v>
      </c>
      <c r="S43" s="706">
        <f t="shared" si="12"/>
        <v>100</v>
      </c>
      <c r="T43" s="705" t="s">
        <v>18</v>
      </c>
      <c r="U43" s="706">
        <f t="shared" si="13"/>
        <v>100</v>
      </c>
      <c r="V43" s="705" t="s">
        <v>18</v>
      </c>
      <c r="W43" s="706">
        <f t="shared" si="14"/>
        <v>100</v>
      </c>
      <c r="X43" s="1355"/>
      <c r="Y43" s="398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986"/>
      <c r="Q44" s="1343">
        <f t="shared" si="11"/>
        <v>111</v>
      </c>
      <c r="R44" s="701" t="s">
        <v>18</v>
      </c>
      <c r="S44" s="702">
        <f t="shared" si="12"/>
        <v>100</v>
      </c>
      <c r="T44" s="701" t="s">
        <v>18</v>
      </c>
      <c r="U44" s="702">
        <f t="shared" si="13"/>
        <v>100</v>
      </c>
      <c r="V44" s="701" t="s">
        <v>18</v>
      </c>
      <c r="W44" s="702">
        <f t="shared" si="14"/>
        <v>100</v>
      </c>
      <c r="X44" s="703"/>
      <c r="Y44" s="398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986"/>
      <c r="Q45" s="1352">
        <f t="shared" si="11"/>
        <v>111</v>
      </c>
      <c r="R45" s="705" t="s">
        <v>18</v>
      </c>
      <c r="S45" s="706">
        <f t="shared" si="12"/>
        <v>100</v>
      </c>
      <c r="T45" s="705" t="s">
        <v>18</v>
      </c>
      <c r="U45" s="706">
        <f t="shared" si="13"/>
        <v>100</v>
      </c>
      <c r="V45" s="705" t="s">
        <v>18</v>
      </c>
      <c r="W45" s="706">
        <f t="shared" si="14"/>
        <v>100</v>
      </c>
      <c r="X45" s="1355"/>
      <c r="Y45" s="398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987"/>
      <c r="Q46" s="1352">
        <f t="shared" si="11"/>
        <v>111</v>
      </c>
      <c r="R46" s="705" t="s">
        <v>17</v>
      </c>
      <c r="S46" s="706">
        <f t="shared" si="12"/>
        <v>100</v>
      </c>
      <c r="T46" s="705" t="s">
        <v>17</v>
      </c>
      <c r="U46" s="706">
        <f t="shared" si="13"/>
        <v>100</v>
      </c>
      <c r="V46" s="705" t="s">
        <v>17</v>
      </c>
      <c r="W46" s="706">
        <f t="shared" si="14"/>
        <v>100</v>
      </c>
      <c r="X46" s="1355"/>
      <c r="Y46" s="398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976" t="str">
        <f>A47</f>
        <v>成交单价（元/平方米）</v>
      </c>
      <c r="Q47" s="3976"/>
      <c r="R47" s="3977">
        <f>E47</f>
        <v>0</v>
      </c>
      <c r="S47" s="3977"/>
      <c r="T47" s="3977">
        <f>G47</f>
        <v>0</v>
      </c>
      <c r="U47" s="3977"/>
      <c r="V47" s="3977">
        <f>I47</f>
        <v>0</v>
      </c>
      <c r="W47" s="397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976" t="str">
        <f>A48</f>
        <v>比较价值（元/平方米）</v>
      </c>
      <c r="Q48" s="3976"/>
      <c r="R48" s="3977" t="e">
        <f>IF(F1="售价",ROUND(PRODUCT(R47,AA7:AA46),0),ROUND(PRODUCT(R47,AA7:AA46),1))</f>
        <v>#DIV/0!</v>
      </c>
      <c r="S48" s="3977"/>
      <c r="T48" s="3977" t="e">
        <f>IF(F1="售价",ROUND(PRODUCT(T47,AB7:AB46),0),ROUND(PRODUCT(T47,AB7:AB46),1))</f>
        <v>#DIV/0!</v>
      </c>
      <c r="U48" s="3977"/>
      <c r="V48" s="3977" t="e">
        <f>IF(F1="售价",ROUND(PRODUCT(V47,AC7:AC46),0),ROUND(PRODUCT(V47,AC7:AC46),1))</f>
        <v>#DIV/0!</v>
      </c>
      <c r="W48" s="397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4122" t="str">
        <f>A49</f>
        <v>估价对象XX用房的比较价值（楼面单价，元/平方米）</v>
      </c>
      <c r="Q49" s="4123"/>
      <c r="R49" s="4124" t="e">
        <f>IF(F1="售价",ROUND(IF(D48="简单平均",AVERAGE(R48:V48),R48*F48+T48*H48+V48*J48),0),ROUND(IF(D48="简单平均",AVERAGE(R48:V48),R48*F48+T48*H48+V48*J48),1))</f>
        <v>#DIV/0!</v>
      </c>
      <c r="S49" s="4124"/>
      <c r="T49" s="4124"/>
      <c r="U49" s="4124"/>
      <c r="V49" s="4124"/>
      <c r="W49" s="412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35375.960000000006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993" t="s">
        <v>1770</v>
      </c>
      <c r="D4" s="3994"/>
      <c r="E4" s="3995" t="s">
        <v>1771</v>
      </c>
      <c r="F4" s="3996"/>
      <c r="G4" s="3993" t="s">
        <v>1772</v>
      </c>
      <c r="H4" s="3994"/>
      <c r="I4" s="3993" t="s">
        <v>1773</v>
      </c>
      <c r="J4" s="3994"/>
      <c r="K4" s="559" t="s">
        <v>1774</v>
      </c>
      <c r="L4" s="2715"/>
      <c r="M4" s="2716"/>
      <c r="N4" s="2716"/>
      <c r="O4" s="2716"/>
      <c r="P4" s="4126" t="s">
        <v>1775</v>
      </c>
      <c r="Q4" s="4127"/>
      <c r="R4" s="4130" t="s">
        <v>1771</v>
      </c>
      <c r="S4" s="4131"/>
      <c r="T4" s="4130" t="s">
        <v>1772</v>
      </c>
      <c r="U4" s="4131"/>
      <c r="V4" s="4010" t="s">
        <v>1773</v>
      </c>
      <c r="W4" s="4010"/>
      <c r="X4" s="1355"/>
      <c r="Y4" s="4130" t="s">
        <v>1775</v>
      </c>
      <c r="Z4" s="4131"/>
      <c r="AA4" s="4125" t="s">
        <v>1771</v>
      </c>
      <c r="AB4" s="4010" t="s">
        <v>1772</v>
      </c>
      <c r="AC4" s="4125" t="s">
        <v>1773</v>
      </c>
    </row>
    <row r="5" spans="1:29" ht="15">
      <c r="A5" s="358"/>
      <c r="B5" s="359"/>
      <c r="C5" s="4013" t="s">
        <v>1673</v>
      </c>
      <c r="D5" s="4014"/>
      <c r="E5" s="4024" t="s">
        <v>1674</v>
      </c>
      <c r="F5" s="4025"/>
      <c r="G5" s="4013" t="s">
        <v>1675</v>
      </c>
      <c r="H5" s="4014"/>
      <c r="I5" s="4013" t="s">
        <v>1676</v>
      </c>
      <c r="J5" s="4014"/>
      <c r="K5" s="559"/>
      <c r="L5" s="2715"/>
      <c r="M5" s="2716"/>
      <c r="N5" s="2716"/>
      <c r="O5" s="2716"/>
      <c r="P5" s="4128"/>
      <c r="Q5" s="4000"/>
      <c r="R5" s="4005"/>
      <c r="S5" s="4006"/>
      <c r="T5" s="4005"/>
      <c r="U5" s="4006"/>
      <c r="V5" s="4010"/>
      <c r="W5" s="4010"/>
      <c r="X5" s="1355"/>
      <c r="Y5" s="4005"/>
      <c r="Z5" s="4006"/>
      <c r="AA5" s="4022"/>
      <c r="AB5" s="4010"/>
      <c r="AC5" s="4022"/>
    </row>
    <row r="6" spans="1:29" ht="15.75" thickBot="1">
      <c r="A6" s="360"/>
      <c r="B6" s="361"/>
      <c r="C6" s="4011" t="s">
        <v>1677</v>
      </c>
      <c r="D6" s="4012"/>
      <c r="E6" s="4019" t="s">
        <v>1677</v>
      </c>
      <c r="F6" s="4020"/>
      <c r="G6" s="4011" t="s">
        <v>1677</v>
      </c>
      <c r="H6" s="4012"/>
      <c r="I6" s="4011" t="s">
        <v>1677</v>
      </c>
      <c r="J6" s="4012"/>
      <c r="K6" s="559" t="s">
        <v>1678</v>
      </c>
      <c r="L6" s="2715"/>
      <c r="M6" s="2716"/>
      <c r="N6" s="2716"/>
      <c r="O6" s="2716"/>
      <c r="P6" s="4129"/>
      <c r="Q6" s="4002"/>
      <c r="R6" s="4005"/>
      <c r="S6" s="4006"/>
      <c r="T6" s="4007"/>
      <c r="U6" s="4008"/>
      <c r="V6" s="4010"/>
      <c r="W6" s="4010"/>
      <c r="X6" s="1355"/>
      <c r="Y6" s="4007"/>
      <c r="Z6" s="4008"/>
      <c r="AA6" s="4023"/>
      <c r="AB6" s="4010"/>
      <c r="AC6" s="4023"/>
    </row>
    <row r="7" spans="1:29" s="108" customFormat="1" ht="15.75" thickBot="1">
      <c r="A7" s="362" t="s">
        <v>1679</v>
      </c>
      <c r="B7" s="363"/>
      <c r="C7" s="364">
        <f>'数据-取费表'!B2</f>
        <v>45530</v>
      </c>
      <c r="D7" s="365">
        <v>100</v>
      </c>
      <c r="E7" s="366"/>
      <c r="F7" s="367">
        <f>SUMIF(58:58,YEAR(E7)&amp;"-"&amp;MONTH(E7),59:59)</f>
        <v>0</v>
      </c>
      <c r="G7" s="366"/>
      <c r="H7" s="365">
        <f>SUMIF(58:58,YEAR(G7)&amp;"-"&amp;MONTH(G7),59:59)</f>
        <v>0</v>
      </c>
      <c r="I7" s="366"/>
      <c r="J7" s="365">
        <f>SUMIF(58:58,YEAR(I7)&amp;"-"&amp;MONTH(I7),59:59)</f>
        <v>0</v>
      </c>
      <c r="K7" s="560"/>
      <c r="L7" s="2717"/>
      <c r="M7" s="2718"/>
      <c r="N7" s="2718"/>
      <c r="O7" s="2718"/>
      <c r="P7" s="4017" t="s">
        <v>1680</v>
      </c>
      <c r="Q7" s="4018"/>
      <c r="R7" s="701" t="s">
        <v>14</v>
      </c>
      <c r="S7" s="702">
        <f t="shared" ref="S7:S15" si="0">F7</f>
        <v>0</v>
      </c>
      <c r="T7" s="701" t="s">
        <v>14</v>
      </c>
      <c r="U7" s="702">
        <f t="shared" ref="U7:U15" si="1">H7</f>
        <v>0</v>
      </c>
      <c r="V7" s="701" t="s">
        <v>14</v>
      </c>
      <c r="W7" s="702">
        <f t="shared" ref="W7:W15" si="2">J7</f>
        <v>0</v>
      </c>
      <c r="X7" s="703"/>
      <c r="Y7" s="4017" t="s">
        <v>1680</v>
      </c>
      <c r="Z7" s="401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4017" t="s">
        <v>1683</v>
      </c>
      <c r="Q8" s="4016"/>
      <c r="R8" s="701" t="s">
        <v>14</v>
      </c>
      <c r="S8" s="702">
        <f t="shared" si="0"/>
        <v>100</v>
      </c>
      <c r="T8" s="701" t="s">
        <v>14</v>
      </c>
      <c r="U8" s="702">
        <f t="shared" si="1"/>
        <v>100</v>
      </c>
      <c r="V8" s="701" t="s">
        <v>14</v>
      </c>
      <c r="W8" s="702">
        <f t="shared" si="2"/>
        <v>100</v>
      </c>
      <c r="X8" s="703"/>
      <c r="Y8" s="4017" t="s">
        <v>1683</v>
      </c>
      <c r="Z8" s="401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975" t="s">
        <v>1686</v>
      </c>
      <c r="Q9" s="1343" t="str">
        <f t="shared" ref="Q9:Q15" si="6">B9</f>
        <v>用途</v>
      </c>
      <c r="R9" s="701" t="s">
        <v>14</v>
      </c>
      <c r="S9" s="702">
        <f t="shared" si="0"/>
        <v>100</v>
      </c>
      <c r="T9" s="701" t="s">
        <v>14</v>
      </c>
      <c r="U9" s="702">
        <f t="shared" si="1"/>
        <v>100</v>
      </c>
      <c r="V9" s="701" t="s">
        <v>14</v>
      </c>
      <c r="W9" s="702">
        <f t="shared" si="2"/>
        <v>100</v>
      </c>
      <c r="X9" s="703"/>
      <c r="Y9" s="388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975"/>
      <c r="Q10" s="1343" t="str">
        <f t="shared" si="6"/>
        <v>土地使用年限（年）</v>
      </c>
      <c r="R10" s="701" t="s">
        <v>14</v>
      </c>
      <c r="S10" s="702">
        <f t="shared" si="0"/>
        <v>100</v>
      </c>
      <c r="T10" s="701" t="s">
        <v>14</v>
      </c>
      <c r="U10" s="702">
        <f t="shared" si="1"/>
        <v>100</v>
      </c>
      <c r="V10" s="701" t="s">
        <v>14</v>
      </c>
      <c r="W10" s="702">
        <f t="shared" si="2"/>
        <v>100</v>
      </c>
      <c r="X10" s="703"/>
      <c r="Y10" s="388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975"/>
      <c r="Q11" s="1343" t="str">
        <f t="shared" si="6"/>
        <v>容积率</v>
      </c>
      <c r="R11" s="701" t="s">
        <v>14</v>
      </c>
      <c r="S11" s="702" t="e">
        <f t="shared" si="0"/>
        <v>#N/A</v>
      </c>
      <c r="T11" s="701" t="s">
        <v>14</v>
      </c>
      <c r="U11" s="702" t="e">
        <f t="shared" si="1"/>
        <v>#N/A</v>
      </c>
      <c r="V11" s="701" t="s">
        <v>14</v>
      </c>
      <c r="W11" s="702" t="e">
        <f t="shared" si="2"/>
        <v>#N/A</v>
      </c>
      <c r="X11" s="703"/>
      <c r="Y11" s="388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975"/>
      <c r="Q12" s="1343">
        <f t="shared" si="6"/>
        <v>111</v>
      </c>
      <c r="R12" s="701" t="s">
        <v>14</v>
      </c>
      <c r="S12" s="702">
        <f t="shared" si="0"/>
        <v>100</v>
      </c>
      <c r="T12" s="701" t="s">
        <v>14</v>
      </c>
      <c r="U12" s="702">
        <f t="shared" si="1"/>
        <v>100</v>
      </c>
      <c r="V12" s="701" t="s">
        <v>14</v>
      </c>
      <c r="W12" s="702">
        <f t="shared" si="2"/>
        <v>100</v>
      </c>
      <c r="X12" s="703"/>
      <c r="Y12" s="388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975"/>
      <c r="Q13" s="1343">
        <f t="shared" si="6"/>
        <v>111</v>
      </c>
      <c r="R13" s="701" t="s">
        <v>14</v>
      </c>
      <c r="S13" s="702">
        <f t="shared" si="0"/>
        <v>100</v>
      </c>
      <c r="T13" s="701" t="s">
        <v>14</v>
      </c>
      <c r="U13" s="702">
        <f t="shared" si="1"/>
        <v>100</v>
      </c>
      <c r="V13" s="701" t="s">
        <v>14</v>
      </c>
      <c r="W13" s="702">
        <f t="shared" si="2"/>
        <v>100</v>
      </c>
      <c r="X13" s="703"/>
      <c r="Y13" s="388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975"/>
      <c r="Q14" s="1343">
        <f t="shared" si="6"/>
        <v>111</v>
      </c>
      <c r="R14" s="701" t="s">
        <v>14</v>
      </c>
      <c r="S14" s="702">
        <f t="shared" si="0"/>
        <v>100</v>
      </c>
      <c r="T14" s="701" t="s">
        <v>14</v>
      </c>
      <c r="U14" s="702">
        <f t="shared" si="1"/>
        <v>100</v>
      </c>
      <c r="V14" s="701" t="s">
        <v>14</v>
      </c>
      <c r="W14" s="702">
        <f t="shared" si="2"/>
        <v>100</v>
      </c>
      <c r="X14" s="703"/>
      <c r="Y14" s="388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981" t="s">
        <v>1691</v>
      </c>
      <c r="Q15" s="1352" t="str">
        <f t="shared" si="6"/>
        <v>商业繁华度</v>
      </c>
      <c r="R15" s="705" t="s">
        <v>14</v>
      </c>
      <c r="S15" s="706">
        <f t="shared" si="0"/>
        <v>100</v>
      </c>
      <c r="T15" s="705" t="s">
        <v>14</v>
      </c>
      <c r="U15" s="706">
        <f t="shared" si="1"/>
        <v>100</v>
      </c>
      <c r="V15" s="705" t="s">
        <v>14</v>
      </c>
      <c r="W15" s="706">
        <f t="shared" si="2"/>
        <v>100</v>
      </c>
      <c r="X15" s="1355"/>
      <c r="Y15" s="398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982"/>
      <c r="Q16" s="1352"/>
      <c r="R16" s="705"/>
      <c r="S16" s="706"/>
      <c r="T16" s="705"/>
      <c r="U16" s="706"/>
      <c r="V16" s="705"/>
      <c r="W16" s="706"/>
      <c r="X16" s="1355"/>
      <c r="Y16" s="398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982"/>
      <c r="Q17" s="1352" t="str">
        <f>B17</f>
        <v>交通便捷度</v>
      </c>
      <c r="R17" s="705" t="s">
        <v>14</v>
      </c>
      <c r="S17" s="706">
        <f>F17</f>
        <v>100</v>
      </c>
      <c r="T17" s="705" t="s">
        <v>14</v>
      </c>
      <c r="U17" s="706">
        <f>H17</f>
        <v>100</v>
      </c>
      <c r="V17" s="705" t="s">
        <v>14</v>
      </c>
      <c r="W17" s="706">
        <f>J17</f>
        <v>100</v>
      </c>
      <c r="X17" s="1355"/>
      <c r="Y17" s="39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982"/>
      <c r="Q18" s="1352"/>
      <c r="R18" s="705"/>
      <c r="S18" s="706"/>
      <c r="T18" s="705"/>
      <c r="U18" s="706"/>
      <c r="V18" s="705"/>
      <c r="W18" s="706"/>
      <c r="X18" s="1355"/>
      <c r="Y18" s="398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982"/>
      <c r="Q19" s="1352" t="str">
        <f>B19</f>
        <v>公共配套设施</v>
      </c>
      <c r="R19" s="705" t="s">
        <v>14</v>
      </c>
      <c r="S19" s="706">
        <f>F19</f>
        <v>100</v>
      </c>
      <c r="T19" s="705" t="s">
        <v>14</v>
      </c>
      <c r="U19" s="706">
        <f>H19</f>
        <v>100</v>
      </c>
      <c r="V19" s="705" t="s">
        <v>14</v>
      </c>
      <c r="W19" s="706">
        <f>J19</f>
        <v>100</v>
      </c>
      <c r="X19" s="1355"/>
      <c r="Y19" s="39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982"/>
      <c r="Q20" s="1352"/>
      <c r="R20" s="705"/>
      <c r="S20" s="706"/>
      <c r="T20" s="705"/>
      <c r="U20" s="706"/>
      <c r="V20" s="705"/>
      <c r="W20" s="706"/>
      <c r="X20" s="1355"/>
      <c r="Y20" s="398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982"/>
      <c r="Q21" s="1352" t="str">
        <f>B21</f>
        <v>基础设施水平</v>
      </c>
      <c r="R21" s="705" t="s">
        <v>14</v>
      </c>
      <c r="S21" s="706">
        <f>F21</f>
        <v>100</v>
      </c>
      <c r="T21" s="705" t="s">
        <v>14</v>
      </c>
      <c r="U21" s="706">
        <f>H21</f>
        <v>100</v>
      </c>
      <c r="V21" s="705" t="s">
        <v>14</v>
      </c>
      <c r="W21" s="706">
        <f>J21</f>
        <v>100</v>
      </c>
      <c r="X21" s="1355"/>
      <c r="Y21" s="39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982"/>
      <c r="Q22" s="1352"/>
      <c r="R22" s="705"/>
      <c r="S22" s="706"/>
      <c r="T22" s="705"/>
      <c r="U22" s="706"/>
      <c r="V22" s="705"/>
      <c r="W22" s="706"/>
      <c r="X22" s="1355"/>
      <c r="Y22" s="398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982"/>
      <c r="Q23" s="1352" t="str">
        <f>B23</f>
        <v>自然及人文环境</v>
      </c>
      <c r="R23" s="705" t="s">
        <v>14</v>
      </c>
      <c r="S23" s="706">
        <f>F23</f>
        <v>100</v>
      </c>
      <c r="T23" s="705" t="s">
        <v>14</v>
      </c>
      <c r="U23" s="706">
        <f>H23</f>
        <v>100</v>
      </c>
      <c r="V23" s="705" t="s">
        <v>14</v>
      </c>
      <c r="W23" s="706">
        <f>J23</f>
        <v>100</v>
      </c>
      <c r="X23" s="1355"/>
      <c r="Y23" s="398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982"/>
      <c r="Q24" s="1352"/>
      <c r="R24" s="705"/>
      <c r="S24" s="706"/>
      <c r="T24" s="705"/>
      <c r="U24" s="706"/>
      <c r="V24" s="705"/>
      <c r="W24" s="706"/>
      <c r="X24" s="1355"/>
      <c r="Y24" s="398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982"/>
      <c r="Q25" s="1352" t="str">
        <f t="shared" ref="Q25:Q46" si="11">B25</f>
        <v>临街状况</v>
      </c>
      <c r="R25" s="705" t="s">
        <v>14</v>
      </c>
      <c r="S25" s="706">
        <f>F25</f>
        <v>100</v>
      </c>
      <c r="T25" s="705" t="s">
        <v>14</v>
      </c>
      <c r="U25" s="706">
        <f>H25</f>
        <v>100</v>
      </c>
      <c r="V25" s="705" t="s">
        <v>14</v>
      </c>
      <c r="W25" s="706">
        <f>J25</f>
        <v>100</v>
      </c>
      <c r="X25" s="1355"/>
      <c r="Y25" s="398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982"/>
      <c r="Q26" s="1352" t="str">
        <f t="shared" si="11"/>
        <v>平面位置/可视性</v>
      </c>
      <c r="R26" s="705" t="s">
        <v>14</v>
      </c>
      <c r="S26" s="706">
        <f>F26</f>
        <v>100</v>
      </c>
      <c r="T26" s="705" t="s">
        <v>14</v>
      </c>
      <c r="U26" s="706">
        <f>H26</f>
        <v>100</v>
      </c>
      <c r="V26" s="705" t="s">
        <v>14</v>
      </c>
      <c r="W26" s="706">
        <f>J26</f>
        <v>100</v>
      </c>
      <c r="X26" s="1355"/>
      <c r="Y26" s="398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982"/>
      <c r="Q27" s="1343" t="str">
        <f t="shared" si="11"/>
        <v>人流量</v>
      </c>
      <c r="R27" s="701" t="s">
        <v>14</v>
      </c>
      <c r="S27" s="702">
        <f>F27</f>
        <v>100</v>
      </c>
      <c r="T27" s="701" t="s">
        <v>14</v>
      </c>
      <c r="U27" s="702">
        <f>H27</f>
        <v>100</v>
      </c>
      <c r="V27" s="701" t="s">
        <v>14</v>
      </c>
      <c r="W27" s="702">
        <f>J27</f>
        <v>100</v>
      </c>
      <c r="X27" s="703"/>
      <c r="Y27" s="398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98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98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982"/>
      <c r="Q29" s="1352">
        <f t="shared" si="11"/>
        <v>111</v>
      </c>
      <c r="R29" s="705" t="s">
        <v>14</v>
      </c>
      <c r="S29" s="706">
        <f t="shared" si="12"/>
        <v>100</v>
      </c>
      <c r="T29" s="705" t="s">
        <v>14</v>
      </c>
      <c r="U29" s="706">
        <f t="shared" si="13"/>
        <v>100</v>
      </c>
      <c r="V29" s="705" t="s">
        <v>14</v>
      </c>
      <c r="W29" s="706">
        <f t="shared" si="14"/>
        <v>100</v>
      </c>
      <c r="X29" s="1355"/>
      <c r="Y29" s="398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982"/>
      <c r="Q30" s="1352">
        <f t="shared" si="11"/>
        <v>111</v>
      </c>
      <c r="R30" s="705" t="s">
        <v>14</v>
      </c>
      <c r="S30" s="706">
        <f t="shared" si="12"/>
        <v>100</v>
      </c>
      <c r="T30" s="705" t="s">
        <v>14</v>
      </c>
      <c r="U30" s="706">
        <f t="shared" si="13"/>
        <v>100</v>
      </c>
      <c r="V30" s="705" t="s">
        <v>14</v>
      </c>
      <c r="W30" s="706">
        <f t="shared" si="14"/>
        <v>100</v>
      </c>
      <c r="X30" s="1355"/>
      <c r="Y30" s="398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982"/>
      <c r="Q31" s="1352">
        <f t="shared" si="11"/>
        <v>111</v>
      </c>
      <c r="R31" s="705" t="s">
        <v>14</v>
      </c>
      <c r="S31" s="706">
        <f t="shared" si="12"/>
        <v>100</v>
      </c>
      <c r="T31" s="705" t="s">
        <v>14</v>
      </c>
      <c r="U31" s="706">
        <f t="shared" si="13"/>
        <v>100</v>
      </c>
      <c r="V31" s="705" t="s">
        <v>14</v>
      </c>
      <c r="W31" s="706">
        <f t="shared" si="14"/>
        <v>100</v>
      </c>
      <c r="X31" s="1355"/>
      <c r="Y31" s="398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985" t="s">
        <v>1696</v>
      </c>
      <c r="Q32" s="1352" t="str">
        <f t="shared" si="11"/>
        <v>商业类型</v>
      </c>
      <c r="R32" s="705" t="s">
        <v>14</v>
      </c>
      <c r="S32" s="706">
        <f t="shared" si="12"/>
        <v>100</v>
      </c>
      <c r="T32" s="705" t="s">
        <v>14</v>
      </c>
      <c r="U32" s="706">
        <f t="shared" si="13"/>
        <v>100</v>
      </c>
      <c r="V32" s="705" t="s">
        <v>14</v>
      </c>
      <c r="W32" s="706">
        <f t="shared" si="14"/>
        <v>100</v>
      </c>
      <c r="X32" s="1355"/>
      <c r="Y32" s="398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986"/>
      <c r="Q33" s="707" t="str">
        <f t="shared" si="11"/>
        <v>项目建筑规模</v>
      </c>
      <c r="R33" s="708" t="s">
        <v>14</v>
      </c>
      <c r="S33" s="709" t="e">
        <f t="shared" si="12"/>
        <v>#N/A</v>
      </c>
      <c r="T33" s="708" t="s">
        <v>14</v>
      </c>
      <c r="U33" s="709" t="e">
        <f t="shared" si="13"/>
        <v>#N/A</v>
      </c>
      <c r="V33" s="708" t="s">
        <v>14</v>
      </c>
      <c r="W33" s="709" t="e">
        <f t="shared" si="14"/>
        <v>#N/A</v>
      </c>
      <c r="X33" s="710"/>
      <c r="Y33" s="398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986"/>
      <c r="Q34" s="1352" t="str">
        <f t="shared" si="11"/>
        <v>建筑结构</v>
      </c>
      <c r="R34" s="705" t="s">
        <v>14</v>
      </c>
      <c r="S34" s="706">
        <f t="shared" si="12"/>
        <v>100</v>
      </c>
      <c r="T34" s="705" t="s">
        <v>14</v>
      </c>
      <c r="U34" s="706">
        <f t="shared" si="13"/>
        <v>100</v>
      </c>
      <c r="V34" s="705" t="s">
        <v>14</v>
      </c>
      <c r="W34" s="706">
        <f t="shared" si="14"/>
        <v>100</v>
      </c>
      <c r="X34" s="1355"/>
      <c r="Y34" s="398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986"/>
      <c r="Q35" s="1352" t="str">
        <f t="shared" si="11"/>
        <v>公共部分装修</v>
      </c>
      <c r="R35" s="705" t="s">
        <v>14</v>
      </c>
      <c r="S35" s="706">
        <f t="shared" si="12"/>
        <v>100</v>
      </c>
      <c r="T35" s="705" t="s">
        <v>14</v>
      </c>
      <c r="U35" s="706">
        <f t="shared" si="13"/>
        <v>100</v>
      </c>
      <c r="V35" s="705" t="s">
        <v>14</v>
      </c>
      <c r="W35" s="706">
        <f t="shared" si="14"/>
        <v>100</v>
      </c>
      <c r="X35" s="1355"/>
      <c r="Y35" s="398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986"/>
      <c r="Q36" s="1352" t="str">
        <f t="shared" si="11"/>
        <v>成新度</v>
      </c>
      <c r="R36" s="705" t="s">
        <v>14</v>
      </c>
      <c r="S36" s="706" t="e">
        <f t="shared" si="12"/>
        <v>#N/A</v>
      </c>
      <c r="T36" s="705" t="s">
        <v>14</v>
      </c>
      <c r="U36" s="706" t="e">
        <f t="shared" si="13"/>
        <v>#N/A</v>
      </c>
      <c r="V36" s="705" t="s">
        <v>14</v>
      </c>
      <c r="W36" s="706" t="e">
        <f t="shared" si="14"/>
        <v>#N/A</v>
      </c>
      <c r="X36" s="1355"/>
      <c r="Y36" s="398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986"/>
      <c r="Q37" s="1343" t="str">
        <f t="shared" si="11"/>
        <v>市政基础设施</v>
      </c>
      <c r="R37" s="701" t="s">
        <v>14</v>
      </c>
      <c r="S37" s="702">
        <f t="shared" si="12"/>
        <v>100</v>
      </c>
      <c r="T37" s="701" t="s">
        <v>14</v>
      </c>
      <c r="U37" s="702">
        <f t="shared" si="13"/>
        <v>100</v>
      </c>
      <c r="V37" s="701" t="s">
        <v>14</v>
      </c>
      <c r="W37" s="702">
        <f t="shared" si="14"/>
        <v>100</v>
      </c>
      <c r="X37" s="703"/>
      <c r="Y37" s="398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986" t="s">
        <v>1696</v>
      </c>
      <c r="Q38" s="1352" t="str">
        <f t="shared" si="11"/>
        <v>业态</v>
      </c>
      <c r="R38" s="705" t="s">
        <v>14</v>
      </c>
      <c r="S38" s="706">
        <f t="shared" si="12"/>
        <v>100</v>
      </c>
      <c r="T38" s="705" t="s">
        <v>14</v>
      </c>
      <c r="U38" s="706">
        <f t="shared" si="13"/>
        <v>100</v>
      </c>
      <c r="V38" s="705" t="s">
        <v>14</v>
      </c>
      <c r="W38" s="706">
        <f t="shared" si="14"/>
        <v>100</v>
      </c>
      <c r="X38" s="1355"/>
      <c r="Y38" s="398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986"/>
      <c r="Q39" s="1352" t="str">
        <f t="shared" si="11"/>
        <v>层高</v>
      </c>
      <c r="R39" s="705" t="s">
        <v>14</v>
      </c>
      <c r="S39" s="706">
        <f t="shared" si="12"/>
        <v>100</v>
      </c>
      <c r="T39" s="705" t="s">
        <v>14</v>
      </c>
      <c r="U39" s="706">
        <f t="shared" si="13"/>
        <v>100</v>
      </c>
      <c r="V39" s="705" t="s">
        <v>14</v>
      </c>
      <c r="W39" s="706">
        <f t="shared" si="14"/>
        <v>100</v>
      </c>
      <c r="X39" s="1355"/>
      <c r="Y39" s="398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986"/>
      <c r="Q40" s="1352" t="str">
        <f t="shared" si="11"/>
        <v>单套建筑面积</v>
      </c>
      <c r="R40" s="705" t="s">
        <v>14</v>
      </c>
      <c r="S40" s="706">
        <f t="shared" si="12"/>
        <v>100</v>
      </c>
      <c r="T40" s="705" t="s">
        <v>14</v>
      </c>
      <c r="U40" s="706">
        <f t="shared" si="13"/>
        <v>100</v>
      </c>
      <c r="V40" s="705" t="s">
        <v>14</v>
      </c>
      <c r="W40" s="706">
        <f t="shared" si="14"/>
        <v>100</v>
      </c>
      <c r="X40" s="1355"/>
      <c r="Y40" s="398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986"/>
      <c r="Q41" s="707" t="str">
        <f t="shared" si="11"/>
        <v>进深比</v>
      </c>
      <c r="R41" s="708" t="s">
        <v>14</v>
      </c>
      <c r="S41" s="709">
        <f t="shared" si="12"/>
        <v>100</v>
      </c>
      <c r="T41" s="708" t="s">
        <v>14</v>
      </c>
      <c r="U41" s="709">
        <f t="shared" si="13"/>
        <v>100</v>
      </c>
      <c r="V41" s="708" t="s">
        <v>14</v>
      </c>
      <c r="W41" s="709">
        <f t="shared" si="14"/>
        <v>100</v>
      </c>
      <c r="X41" s="710"/>
      <c r="Y41" s="398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986"/>
      <c r="Q42" s="1352" t="str">
        <f t="shared" si="11"/>
        <v>内部装修</v>
      </c>
      <c r="R42" s="705" t="s">
        <v>14</v>
      </c>
      <c r="S42" s="706">
        <f t="shared" si="12"/>
        <v>100</v>
      </c>
      <c r="T42" s="705" t="s">
        <v>14</v>
      </c>
      <c r="U42" s="706">
        <f t="shared" si="13"/>
        <v>100</v>
      </c>
      <c r="V42" s="705" t="s">
        <v>14</v>
      </c>
      <c r="W42" s="706">
        <f t="shared" si="14"/>
        <v>100</v>
      </c>
      <c r="X42" s="1355"/>
      <c r="Y42" s="398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986"/>
      <c r="Q43" s="1352" t="str">
        <f t="shared" si="11"/>
        <v>内部装修维护情况</v>
      </c>
      <c r="R43" s="705" t="s">
        <v>14</v>
      </c>
      <c r="S43" s="706">
        <f t="shared" si="12"/>
        <v>100</v>
      </c>
      <c r="T43" s="705" t="s">
        <v>14</v>
      </c>
      <c r="U43" s="706">
        <f t="shared" si="13"/>
        <v>100</v>
      </c>
      <c r="V43" s="705" t="s">
        <v>14</v>
      </c>
      <c r="W43" s="706">
        <f t="shared" si="14"/>
        <v>100</v>
      </c>
      <c r="X43" s="1355"/>
      <c r="Y43" s="398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986"/>
      <c r="Q44" s="1343">
        <f t="shared" si="11"/>
        <v>111</v>
      </c>
      <c r="R44" s="701" t="s">
        <v>14</v>
      </c>
      <c r="S44" s="702">
        <f t="shared" si="12"/>
        <v>100</v>
      </c>
      <c r="T44" s="701" t="s">
        <v>14</v>
      </c>
      <c r="U44" s="702">
        <f t="shared" si="13"/>
        <v>100</v>
      </c>
      <c r="V44" s="701" t="s">
        <v>14</v>
      </c>
      <c r="W44" s="702">
        <f t="shared" si="14"/>
        <v>100</v>
      </c>
      <c r="X44" s="703"/>
      <c r="Y44" s="398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986"/>
      <c r="Q45" s="1352">
        <f t="shared" si="11"/>
        <v>111</v>
      </c>
      <c r="R45" s="705" t="s">
        <v>14</v>
      </c>
      <c r="S45" s="706">
        <f t="shared" si="12"/>
        <v>100</v>
      </c>
      <c r="T45" s="705" t="s">
        <v>14</v>
      </c>
      <c r="U45" s="706">
        <f t="shared" si="13"/>
        <v>100</v>
      </c>
      <c r="V45" s="705" t="s">
        <v>14</v>
      </c>
      <c r="W45" s="706">
        <f t="shared" si="14"/>
        <v>100</v>
      </c>
      <c r="X45" s="1355"/>
      <c r="Y45" s="398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987"/>
      <c r="Q46" s="1352">
        <f t="shared" si="11"/>
        <v>111</v>
      </c>
      <c r="R46" s="705" t="s">
        <v>14</v>
      </c>
      <c r="S46" s="706">
        <f t="shared" si="12"/>
        <v>100</v>
      </c>
      <c r="T46" s="705" t="s">
        <v>14</v>
      </c>
      <c r="U46" s="706">
        <f t="shared" si="13"/>
        <v>100</v>
      </c>
      <c r="V46" s="705" t="s">
        <v>14</v>
      </c>
      <c r="W46" s="706">
        <f t="shared" si="14"/>
        <v>100</v>
      </c>
      <c r="X46" s="1355"/>
      <c r="Y46" s="398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976" t="str">
        <f>A47</f>
        <v>成交单价（元/平方米）</v>
      </c>
      <c r="Q47" s="3976"/>
      <c r="R47" s="4010">
        <f>E47</f>
        <v>0</v>
      </c>
      <c r="S47" s="4010"/>
      <c r="T47" s="4010">
        <f>G47</f>
        <v>0</v>
      </c>
      <c r="U47" s="4010"/>
      <c r="V47" s="4010">
        <f>I47</f>
        <v>0</v>
      </c>
      <c r="W47" s="401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976" t="str">
        <f>A48</f>
        <v>比较价值（元/平方米）</v>
      </c>
      <c r="Q48" s="3976"/>
      <c r="R48" s="3977" t="e">
        <f>IF(F1="售价",ROUND(PRODUCT(R47,AA7:AA46),0),ROUND(PRODUCT(R47,AA7:AA46),1))</f>
        <v>#DIV/0!</v>
      </c>
      <c r="S48" s="3977"/>
      <c r="T48" s="3977" t="e">
        <f>IF(F1="售价",ROUND(PRODUCT(T47,AB7:AB46),0),ROUND(PRODUCT(T47,AB7:AB46),1))</f>
        <v>#DIV/0!</v>
      </c>
      <c r="U48" s="3977"/>
      <c r="V48" s="3977" t="e">
        <f>IF(F1="售价",ROUND(PRODUCT(V47,AC7:AC46),0),ROUND(PRODUCT(V47,AC7:AC46),1))</f>
        <v>#DIV/0!</v>
      </c>
      <c r="W48" s="397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4122" t="str">
        <f>A49</f>
        <v>估价对象XX用房的比较价值（楼面单价，元/平方米）</v>
      </c>
      <c r="Q49" s="4123"/>
      <c r="R49" s="4124" t="e">
        <f>IF(F1="售价",ROUND(IF(D48="简单平均",AVERAGE(R48:V48),R48*F48+T48*H48+V48*J48),0),ROUND(IF(D48="简单平均",AVERAGE(R48:V48),R48*F48+T48*H48+V48*J48),1))</f>
        <v>#DIV/0!</v>
      </c>
      <c r="S49" s="4124"/>
      <c r="T49" s="4124"/>
      <c r="U49" s="4124"/>
      <c r="V49" s="4124"/>
      <c r="W49" s="412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35375.960000000006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993" t="s">
        <v>1770</v>
      </c>
      <c r="D4" s="3994"/>
      <c r="E4" s="3995" t="s">
        <v>1771</v>
      </c>
      <c r="F4" s="3996"/>
      <c r="G4" s="3993" t="s">
        <v>1772</v>
      </c>
      <c r="H4" s="3994"/>
      <c r="I4" s="3993" t="s">
        <v>1773</v>
      </c>
      <c r="J4" s="3994"/>
      <c r="K4" s="559" t="s">
        <v>1774</v>
      </c>
      <c r="L4" s="913"/>
      <c r="M4" s="914"/>
      <c r="N4" s="914"/>
      <c r="O4" s="914"/>
      <c r="P4" s="4126" t="s">
        <v>1775</v>
      </c>
      <c r="Q4" s="4127"/>
      <c r="R4" s="4130" t="s">
        <v>1771</v>
      </c>
      <c r="S4" s="4131"/>
      <c r="T4" s="4130" t="s">
        <v>1772</v>
      </c>
      <c r="U4" s="4131"/>
      <c r="V4" s="4010" t="s">
        <v>1773</v>
      </c>
      <c r="W4" s="4010"/>
      <c r="X4" s="1355"/>
      <c r="Y4" s="4130" t="s">
        <v>1775</v>
      </c>
      <c r="Z4" s="4131"/>
      <c r="AA4" s="4125" t="s">
        <v>1771</v>
      </c>
      <c r="AB4" s="4022" t="s">
        <v>1772</v>
      </c>
      <c r="AC4" s="4125" t="s">
        <v>1773</v>
      </c>
    </row>
    <row r="5" spans="1:29" ht="15">
      <c r="A5" s="358"/>
      <c r="B5" s="359"/>
      <c r="C5" s="4013" t="s">
        <v>1673</v>
      </c>
      <c r="D5" s="4014"/>
      <c r="E5" s="4024" t="s">
        <v>1674</v>
      </c>
      <c r="F5" s="4025"/>
      <c r="G5" s="4013" t="s">
        <v>1675</v>
      </c>
      <c r="H5" s="4014"/>
      <c r="I5" s="4013" t="s">
        <v>1676</v>
      </c>
      <c r="J5" s="4014"/>
      <c r="K5" s="559"/>
      <c r="L5" s="913"/>
      <c r="M5" s="914"/>
      <c r="N5" s="914"/>
      <c r="O5" s="914"/>
      <c r="P5" s="4128"/>
      <c r="Q5" s="4000"/>
      <c r="R5" s="4005"/>
      <c r="S5" s="4006"/>
      <c r="T5" s="4005"/>
      <c r="U5" s="4006"/>
      <c r="V5" s="4010"/>
      <c r="W5" s="4010"/>
      <c r="X5" s="1355"/>
      <c r="Y5" s="4005"/>
      <c r="Z5" s="4006"/>
      <c r="AA5" s="4022"/>
      <c r="AB5" s="4022"/>
      <c r="AC5" s="4022"/>
    </row>
    <row r="6" spans="1:29" ht="15.75" thickBot="1">
      <c r="A6" s="360"/>
      <c r="B6" s="361"/>
      <c r="C6" s="4011" t="s">
        <v>1677</v>
      </c>
      <c r="D6" s="4012"/>
      <c r="E6" s="4019" t="s">
        <v>1677</v>
      </c>
      <c r="F6" s="4020"/>
      <c r="G6" s="4011" t="s">
        <v>1677</v>
      </c>
      <c r="H6" s="4012"/>
      <c r="I6" s="4011" t="s">
        <v>1677</v>
      </c>
      <c r="J6" s="4012"/>
      <c r="K6" s="559" t="s">
        <v>1678</v>
      </c>
      <c r="L6" s="913"/>
      <c r="M6" s="914"/>
      <c r="N6" s="914"/>
      <c r="O6" s="914"/>
      <c r="P6" s="4129"/>
      <c r="Q6" s="4002"/>
      <c r="R6" s="4005"/>
      <c r="S6" s="4006"/>
      <c r="T6" s="4007"/>
      <c r="U6" s="4008"/>
      <c r="V6" s="4010"/>
      <c r="W6" s="4010"/>
      <c r="X6" s="1355"/>
      <c r="Y6" s="4007"/>
      <c r="Z6" s="4008"/>
      <c r="AA6" s="4023"/>
      <c r="AB6" s="4023"/>
      <c r="AC6" s="4023"/>
    </row>
    <row r="7" spans="1:29" s="108" customFormat="1" ht="15.75" thickBot="1">
      <c r="A7" s="362" t="s">
        <v>1679</v>
      </c>
      <c r="B7" s="363"/>
      <c r="C7" s="364">
        <f>'数据-取费表'!B2</f>
        <v>45530</v>
      </c>
      <c r="D7" s="365">
        <v>100</v>
      </c>
      <c r="E7" s="366"/>
      <c r="F7" s="367">
        <f>SUMIF(52:52,YEAR(E7)&amp;"-"&amp;MONTH(E7),53:53)</f>
        <v>0</v>
      </c>
      <c r="G7" s="366"/>
      <c r="H7" s="365">
        <f>SUMIF(52:52,YEAR(G7)&amp;"-"&amp;MONTH(G7),53:53)</f>
        <v>0</v>
      </c>
      <c r="I7" s="366"/>
      <c r="J7" s="365">
        <f>SUMIF(52:52,YEAR(I7)&amp;"-"&amp;MONTH(I7),53:53)</f>
        <v>0</v>
      </c>
      <c r="K7" s="560"/>
      <c r="L7" s="915"/>
      <c r="M7" s="916"/>
      <c r="N7" s="916"/>
      <c r="O7" s="916"/>
      <c r="P7" s="4017" t="s">
        <v>1680</v>
      </c>
      <c r="Q7" s="4018"/>
      <c r="R7" s="701" t="s">
        <v>14</v>
      </c>
      <c r="S7" s="702">
        <f t="shared" ref="S7:S15" si="0">F7</f>
        <v>0</v>
      </c>
      <c r="T7" s="701" t="s">
        <v>14</v>
      </c>
      <c r="U7" s="702">
        <f t="shared" ref="U7:U15" si="1">H7</f>
        <v>0</v>
      </c>
      <c r="V7" s="701" t="s">
        <v>14</v>
      </c>
      <c r="W7" s="702">
        <f t="shared" ref="W7:W15" si="2">J7</f>
        <v>0</v>
      </c>
      <c r="X7" s="703"/>
      <c r="Y7" s="4017" t="s">
        <v>1680</v>
      </c>
      <c r="Z7" s="401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4017" t="s">
        <v>1683</v>
      </c>
      <c r="Q8" s="4016"/>
      <c r="R8" s="701" t="s">
        <v>14</v>
      </c>
      <c r="S8" s="702">
        <f t="shared" si="0"/>
        <v>100</v>
      </c>
      <c r="T8" s="701" t="s">
        <v>14</v>
      </c>
      <c r="U8" s="702">
        <f t="shared" si="1"/>
        <v>100</v>
      </c>
      <c r="V8" s="701" t="s">
        <v>14</v>
      </c>
      <c r="W8" s="702">
        <f t="shared" si="2"/>
        <v>100</v>
      </c>
      <c r="X8" s="703"/>
      <c r="Y8" s="4017" t="s">
        <v>1683</v>
      </c>
      <c r="Z8" s="401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976" t="s">
        <v>1686</v>
      </c>
      <c r="Q9" s="1343" t="str">
        <f t="shared" ref="Q9:Q15" si="6">B9</f>
        <v>用途</v>
      </c>
      <c r="R9" s="701" t="s">
        <v>14</v>
      </c>
      <c r="S9" s="702">
        <f t="shared" si="0"/>
        <v>100</v>
      </c>
      <c r="T9" s="701" t="s">
        <v>14</v>
      </c>
      <c r="U9" s="702">
        <f t="shared" si="1"/>
        <v>100</v>
      </c>
      <c r="V9" s="701" t="s">
        <v>14</v>
      </c>
      <c r="W9" s="702">
        <f t="shared" si="2"/>
        <v>100</v>
      </c>
      <c r="X9" s="703"/>
      <c r="Y9" s="388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976"/>
      <c r="Q10" s="1343" t="str">
        <f t="shared" si="6"/>
        <v>土地使用年限（年）</v>
      </c>
      <c r="R10" s="701" t="s">
        <v>14</v>
      </c>
      <c r="S10" s="702">
        <f t="shared" si="0"/>
        <v>100</v>
      </c>
      <c r="T10" s="701" t="s">
        <v>14</v>
      </c>
      <c r="U10" s="702">
        <f t="shared" si="1"/>
        <v>100</v>
      </c>
      <c r="V10" s="701" t="s">
        <v>14</v>
      </c>
      <c r="W10" s="702">
        <f t="shared" si="2"/>
        <v>100</v>
      </c>
      <c r="X10" s="703"/>
      <c r="Y10" s="388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976"/>
      <c r="Q11" s="1343" t="str">
        <f t="shared" si="6"/>
        <v>容积率</v>
      </c>
      <c r="R11" s="701" t="s">
        <v>14</v>
      </c>
      <c r="S11" s="702">
        <f t="shared" si="0"/>
        <v>100</v>
      </c>
      <c r="T11" s="701" t="s">
        <v>14</v>
      </c>
      <c r="U11" s="702">
        <f t="shared" si="1"/>
        <v>100</v>
      </c>
      <c r="V11" s="701" t="s">
        <v>14</v>
      </c>
      <c r="W11" s="702">
        <f t="shared" si="2"/>
        <v>100</v>
      </c>
      <c r="X11" s="703"/>
      <c r="Y11" s="388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976"/>
      <c r="Q12" s="1343">
        <f t="shared" si="6"/>
        <v>111</v>
      </c>
      <c r="R12" s="701" t="s">
        <v>14</v>
      </c>
      <c r="S12" s="702">
        <f t="shared" si="0"/>
        <v>100</v>
      </c>
      <c r="T12" s="701" t="s">
        <v>14</v>
      </c>
      <c r="U12" s="702">
        <f t="shared" si="1"/>
        <v>100</v>
      </c>
      <c r="V12" s="701" t="s">
        <v>14</v>
      </c>
      <c r="W12" s="702">
        <f t="shared" si="2"/>
        <v>100</v>
      </c>
      <c r="X12" s="703"/>
      <c r="Y12" s="388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976"/>
      <c r="Q13" s="1343">
        <f t="shared" si="6"/>
        <v>111</v>
      </c>
      <c r="R13" s="701" t="s">
        <v>14</v>
      </c>
      <c r="S13" s="702">
        <f t="shared" si="0"/>
        <v>100</v>
      </c>
      <c r="T13" s="701" t="s">
        <v>14</v>
      </c>
      <c r="U13" s="702">
        <f t="shared" si="1"/>
        <v>100</v>
      </c>
      <c r="V13" s="701" t="s">
        <v>14</v>
      </c>
      <c r="W13" s="702">
        <f t="shared" si="2"/>
        <v>100</v>
      </c>
      <c r="X13" s="703"/>
      <c r="Y13" s="388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976"/>
      <c r="Q14" s="1343">
        <f t="shared" si="6"/>
        <v>111</v>
      </c>
      <c r="R14" s="701" t="s">
        <v>14</v>
      </c>
      <c r="S14" s="702">
        <f t="shared" si="0"/>
        <v>100</v>
      </c>
      <c r="T14" s="701" t="s">
        <v>14</v>
      </c>
      <c r="U14" s="702">
        <f t="shared" si="1"/>
        <v>100</v>
      </c>
      <c r="V14" s="701" t="s">
        <v>14</v>
      </c>
      <c r="W14" s="702">
        <f t="shared" si="2"/>
        <v>100</v>
      </c>
      <c r="X14" s="703"/>
      <c r="Y14" s="388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983" t="s">
        <v>1691</v>
      </c>
      <c r="Q15" s="1352" t="str">
        <f t="shared" si="6"/>
        <v>产业集聚程度</v>
      </c>
      <c r="R15" s="705" t="s">
        <v>14</v>
      </c>
      <c r="S15" s="706">
        <f t="shared" si="0"/>
        <v>100</v>
      </c>
      <c r="T15" s="705" t="s">
        <v>14</v>
      </c>
      <c r="U15" s="706">
        <f t="shared" si="1"/>
        <v>100</v>
      </c>
      <c r="V15" s="705" t="s">
        <v>14</v>
      </c>
      <c r="W15" s="706">
        <f t="shared" si="2"/>
        <v>100</v>
      </c>
      <c r="X15" s="1355"/>
      <c r="Y15" s="398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984"/>
      <c r="Q16" s="1352"/>
      <c r="R16" s="705"/>
      <c r="S16" s="706"/>
      <c r="T16" s="705"/>
      <c r="U16" s="706"/>
      <c r="V16" s="705"/>
      <c r="W16" s="706"/>
      <c r="X16" s="1355"/>
      <c r="Y16" s="398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984"/>
      <c r="Q17" s="1352" t="str">
        <f>B17</f>
        <v>交通便捷度</v>
      </c>
      <c r="R17" s="705" t="s">
        <v>14</v>
      </c>
      <c r="S17" s="706">
        <f>F17</f>
        <v>100</v>
      </c>
      <c r="T17" s="705" t="s">
        <v>14</v>
      </c>
      <c r="U17" s="706">
        <f>H17</f>
        <v>100</v>
      </c>
      <c r="V17" s="705" t="s">
        <v>14</v>
      </c>
      <c r="W17" s="706">
        <f>J17</f>
        <v>100</v>
      </c>
      <c r="X17" s="1355"/>
      <c r="Y17" s="39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984"/>
      <c r="Q18" s="1352"/>
      <c r="R18" s="705"/>
      <c r="S18" s="706"/>
      <c r="T18" s="705"/>
      <c r="U18" s="706"/>
      <c r="V18" s="705"/>
      <c r="W18" s="706"/>
      <c r="X18" s="1355"/>
      <c r="Y18" s="398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984"/>
      <c r="Q19" s="1352" t="str">
        <f>B19</f>
        <v>公共配套设施</v>
      </c>
      <c r="R19" s="705" t="s">
        <v>14</v>
      </c>
      <c r="S19" s="706">
        <f>F19</f>
        <v>100</v>
      </c>
      <c r="T19" s="705" t="s">
        <v>14</v>
      </c>
      <c r="U19" s="706">
        <f>H19</f>
        <v>100</v>
      </c>
      <c r="V19" s="705" t="s">
        <v>14</v>
      </c>
      <c r="W19" s="706">
        <f>J19</f>
        <v>100</v>
      </c>
      <c r="X19" s="1355"/>
      <c r="Y19" s="39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984"/>
      <c r="Q20" s="1352"/>
      <c r="R20" s="705"/>
      <c r="S20" s="706"/>
      <c r="T20" s="705"/>
      <c r="U20" s="706"/>
      <c r="V20" s="705"/>
      <c r="W20" s="706"/>
      <c r="X20" s="1355"/>
      <c r="Y20" s="398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984"/>
      <c r="Q21" s="1352" t="str">
        <f>B21</f>
        <v>基础设施水平</v>
      </c>
      <c r="R21" s="705" t="s">
        <v>14</v>
      </c>
      <c r="S21" s="706">
        <f>F21</f>
        <v>100</v>
      </c>
      <c r="T21" s="705" t="s">
        <v>14</v>
      </c>
      <c r="U21" s="706">
        <f>H21</f>
        <v>100</v>
      </c>
      <c r="V21" s="705" t="s">
        <v>14</v>
      </c>
      <c r="W21" s="706">
        <f>J21</f>
        <v>100</v>
      </c>
      <c r="X21" s="1355"/>
      <c r="Y21" s="39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984"/>
      <c r="Q22" s="1352"/>
      <c r="R22" s="705"/>
      <c r="S22" s="706"/>
      <c r="T22" s="705"/>
      <c r="U22" s="706"/>
      <c r="V22" s="705"/>
      <c r="W22" s="706"/>
      <c r="X22" s="1355"/>
      <c r="Y22" s="398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984"/>
      <c r="Q23" s="1352" t="str">
        <f>B23</f>
        <v>环境质量</v>
      </c>
      <c r="R23" s="705" t="s">
        <v>14</v>
      </c>
      <c r="S23" s="706">
        <f>F23</f>
        <v>100</v>
      </c>
      <c r="T23" s="705" t="s">
        <v>14</v>
      </c>
      <c r="U23" s="706">
        <f>H23</f>
        <v>100</v>
      </c>
      <c r="V23" s="705" t="s">
        <v>14</v>
      </c>
      <c r="W23" s="706">
        <f>J23</f>
        <v>100</v>
      </c>
      <c r="X23" s="1355"/>
      <c r="Y23" s="398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984"/>
      <c r="Q24" s="1352"/>
      <c r="R24" s="705"/>
      <c r="S24" s="706"/>
      <c r="T24" s="705"/>
      <c r="U24" s="706"/>
      <c r="V24" s="705"/>
      <c r="W24" s="706"/>
      <c r="X24" s="1355"/>
      <c r="Y24" s="398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984"/>
      <c r="Q25" s="1352">
        <f>B25</f>
        <v>111</v>
      </c>
      <c r="R25" s="705" t="s">
        <v>14</v>
      </c>
      <c r="S25" s="706">
        <f>F25</f>
        <v>100</v>
      </c>
      <c r="T25" s="705" t="s">
        <v>14</v>
      </c>
      <c r="U25" s="706">
        <f>H25</f>
        <v>100</v>
      </c>
      <c r="V25" s="705" t="s">
        <v>14</v>
      </c>
      <c r="W25" s="706">
        <f>J25</f>
        <v>100</v>
      </c>
      <c r="X25" s="1355"/>
      <c r="Y25" s="398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984"/>
      <c r="Q26" s="1352">
        <f t="shared" ref="Q26:Q40" si="11">B26</f>
        <v>111</v>
      </c>
      <c r="R26" s="705" t="s">
        <v>14</v>
      </c>
      <c r="S26" s="706">
        <f>F26</f>
        <v>100</v>
      </c>
      <c r="T26" s="705" t="s">
        <v>14</v>
      </c>
      <c r="U26" s="706">
        <f>H26</f>
        <v>100</v>
      </c>
      <c r="V26" s="705" t="s">
        <v>14</v>
      </c>
      <c r="W26" s="706">
        <f>J26</f>
        <v>100</v>
      </c>
      <c r="X26" s="1355"/>
      <c r="Y26" s="398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984"/>
      <c r="Q27" s="1343">
        <f t="shared" si="11"/>
        <v>111</v>
      </c>
      <c r="R27" s="701" t="s">
        <v>14</v>
      </c>
      <c r="S27" s="702">
        <f>F27</f>
        <v>100</v>
      </c>
      <c r="T27" s="701" t="s">
        <v>14</v>
      </c>
      <c r="U27" s="702">
        <f>H27</f>
        <v>100</v>
      </c>
      <c r="V27" s="701" t="s">
        <v>14</v>
      </c>
      <c r="W27" s="702">
        <f>J27</f>
        <v>100</v>
      </c>
      <c r="X27" s="703"/>
      <c r="Y27" s="398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984"/>
      <c r="Q28" s="1352">
        <f t="shared" si="11"/>
        <v>111</v>
      </c>
      <c r="R28" s="705" t="s">
        <v>14</v>
      </c>
      <c r="S28" s="706">
        <f t="shared" ref="S28:S40" si="12">F28</f>
        <v>100</v>
      </c>
      <c r="T28" s="705" t="s">
        <v>14</v>
      </c>
      <c r="U28" s="706">
        <f t="shared" ref="U28:U40" si="13">H28</f>
        <v>100</v>
      </c>
      <c r="V28" s="705" t="s">
        <v>14</v>
      </c>
      <c r="W28" s="706">
        <f t="shared" ref="W28:W40" si="14">J28</f>
        <v>100</v>
      </c>
      <c r="X28" s="1355"/>
      <c r="Y28" s="398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4132" t="s">
        <v>1696</v>
      </c>
      <c r="Q29" s="1352" t="str">
        <f t="shared" si="11"/>
        <v>建筑类型</v>
      </c>
      <c r="R29" s="705" t="s">
        <v>14</v>
      </c>
      <c r="S29" s="706">
        <f t="shared" si="12"/>
        <v>100</v>
      </c>
      <c r="T29" s="705" t="s">
        <v>14</v>
      </c>
      <c r="U29" s="706">
        <f t="shared" si="13"/>
        <v>100</v>
      </c>
      <c r="V29" s="705" t="s">
        <v>14</v>
      </c>
      <c r="W29" s="706">
        <f t="shared" si="14"/>
        <v>100</v>
      </c>
      <c r="X29" s="1355"/>
      <c r="Y29" s="398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988"/>
      <c r="Q30" s="707" t="str">
        <f t="shared" si="11"/>
        <v>项目建筑规模</v>
      </c>
      <c r="R30" s="708" t="s">
        <v>14</v>
      </c>
      <c r="S30" s="709" t="e">
        <f t="shared" si="12"/>
        <v>#N/A</v>
      </c>
      <c r="T30" s="708" t="s">
        <v>14</v>
      </c>
      <c r="U30" s="709" t="e">
        <f t="shared" si="13"/>
        <v>#N/A</v>
      </c>
      <c r="V30" s="708" t="s">
        <v>14</v>
      </c>
      <c r="W30" s="709" t="e">
        <f t="shared" si="14"/>
        <v>#N/A</v>
      </c>
      <c r="X30" s="710"/>
      <c r="Y30" s="398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988"/>
      <c r="Q31" s="1352" t="str">
        <f t="shared" si="11"/>
        <v>建筑结构</v>
      </c>
      <c r="R31" s="705" t="s">
        <v>14</v>
      </c>
      <c r="S31" s="706">
        <f t="shared" si="12"/>
        <v>100</v>
      </c>
      <c r="T31" s="705" t="s">
        <v>14</v>
      </c>
      <c r="U31" s="706">
        <f t="shared" si="13"/>
        <v>100</v>
      </c>
      <c r="V31" s="705" t="s">
        <v>14</v>
      </c>
      <c r="W31" s="706">
        <f t="shared" si="14"/>
        <v>100</v>
      </c>
      <c r="X31" s="1355"/>
      <c r="Y31" s="398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988"/>
      <c r="Q32" s="1352" t="str">
        <f t="shared" si="11"/>
        <v>公共部分装修</v>
      </c>
      <c r="R32" s="705" t="s">
        <v>14</v>
      </c>
      <c r="S32" s="706">
        <f t="shared" si="12"/>
        <v>100</v>
      </c>
      <c r="T32" s="705" t="s">
        <v>14</v>
      </c>
      <c r="U32" s="706">
        <f t="shared" si="13"/>
        <v>100</v>
      </c>
      <c r="V32" s="705" t="s">
        <v>14</v>
      </c>
      <c r="W32" s="706">
        <f t="shared" si="14"/>
        <v>100</v>
      </c>
      <c r="X32" s="1355"/>
      <c r="Y32" s="398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988"/>
      <c r="Q33" s="1352" t="str">
        <f t="shared" si="11"/>
        <v>成新度</v>
      </c>
      <c r="R33" s="705" t="s">
        <v>14</v>
      </c>
      <c r="S33" s="706" t="e">
        <f t="shared" si="12"/>
        <v>#N/A</v>
      </c>
      <c r="T33" s="705" t="s">
        <v>14</v>
      </c>
      <c r="U33" s="706" t="e">
        <f t="shared" si="13"/>
        <v>#N/A</v>
      </c>
      <c r="V33" s="705" t="s">
        <v>14</v>
      </c>
      <c r="W33" s="706" t="e">
        <f t="shared" si="14"/>
        <v>#N/A</v>
      </c>
      <c r="X33" s="1355"/>
      <c r="Y33" s="398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988"/>
      <c r="Q34" s="1343" t="str">
        <f t="shared" si="11"/>
        <v>物业管理</v>
      </c>
      <c r="R34" s="701" t="s">
        <v>14</v>
      </c>
      <c r="S34" s="702">
        <f t="shared" si="12"/>
        <v>100</v>
      </c>
      <c r="T34" s="701" t="s">
        <v>14</v>
      </c>
      <c r="U34" s="702">
        <f t="shared" si="13"/>
        <v>100</v>
      </c>
      <c r="V34" s="701" t="s">
        <v>14</v>
      </c>
      <c r="W34" s="702">
        <f t="shared" si="14"/>
        <v>100</v>
      </c>
      <c r="X34" s="703"/>
      <c r="Y34" s="398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988" t="s">
        <v>1696</v>
      </c>
      <c r="Q35" s="1352" t="str">
        <f t="shared" si="11"/>
        <v>市政基础设施</v>
      </c>
      <c r="R35" s="705" t="s">
        <v>14</v>
      </c>
      <c r="S35" s="706">
        <f t="shared" si="12"/>
        <v>100</v>
      </c>
      <c r="T35" s="705" t="s">
        <v>14</v>
      </c>
      <c r="U35" s="706">
        <f t="shared" si="13"/>
        <v>100</v>
      </c>
      <c r="V35" s="705" t="s">
        <v>14</v>
      </c>
      <c r="W35" s="706">
        <f t="shared" si="14"/>
        <v>100</v>
      </c>
      <c r="X35" s="1355"/>
      <c r="Y35" s="398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988"/>
      <c r="Q36" s="1352" t="str">
        <f t="shared" si="11"/>
        <v>内部装修</v>
      </c>
      <c r="R36" s="705" t="s">
        <v>14</v>
      </c>
      <c r="S36" s="706">
        <f t="shared" si="12"/>
        <v>100</v>
      </c>
      <c r="T36" s="705" t="s">
        <v>14</v>
      </c>
      <c r="U36" s="706">
        <f t="shared" si="13"/>
        <v>100</v>
      </c>
      <c r="V36" s="705" t="s">
        <v>14</v>
      </c>
      <c r="W36" s="706">
        <f t="shared" si="14"/>
        <v>100</v>
      </c>
      <c r="X36" s="1355"/>
      <c r="Y36" s="398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988"/>
      <c r="Q37" s="1352" t="str">
        <f t="shared" si="11"/>
        <v>内部装修状况</v>
      </c>
      <c r="R37" s="705" t="s">
        <v>14</v>
      </c>
      <c r="S37" s="706">
        <f t="shared" si="12"/>
        <v>100</v>
      </c>
      <c r="T37" s="705" t="s">
        <v>14</v>
      </c>
      <c r="U37" s="706">
        <f t="shared" si="13"/>
        <v>100</v>
      </c>
      <c r="V37" s="705" t="s">
        <v>14</v>
      </c>
      <c r="W37" s="706">
        <f t="shared" si="14"/>
        <v>100</v>
      </c>
      <c r="X37" s="1355"/>
      <c r="Y37" s="398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988"/>
      <c r="Q38" s="707">
        <f t="shared" si="11"/>
        <v>111</v>
      </c>
      <c r="R38" s="708" t="s">
        <v>14</v>
      </c>
      <c r="S38" s="709">
        <f t="shared" si="12"/>
        <v>100</v>
      </c>
      <c r="T38" s="708" t="s">
        <v>14</v>
      </c>
      <c r="U38" s="709">
        <f t="shared" si="13"/>
        <v>100</v>
      </c>
      <c r="V38" s="708" t="s">
        <v>14</v>
      </c>
      <c r="W38" s="709">
        <f t="shared" si="14"/>
        <v>100</v>
      </c>
      <c r="X38" s="710"/>
      <c r="Y38" s="398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988"/>
      <c r="Q39" s="1352">
        <f t="shared" si="11"/>
        <v>111</v>
      </c>
      <c r="R39" s="705" t="s">
        <v>14</v>
      </c>
      <c r="S39" s="706">
        <f t="shared" si="12"/>
        <v>100</v>
      </c>
      <c r="T39" s="705" t="s">
        <v>14</v>
      </c>
      <c r="U39" s="706">
        <f t="shared" si="13"/>
        <v>100</v>
      </c>
      <c r="V39" s="705" t="s">
        <v>14</v>
      </c>
      <c r="W39" s="706">
        <f t="shared" si="14"/>
        <v>100</v>
      </c>
      <c r="X39" s="1355"/>
      <c r="Y39" s="398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989"/>
      <c r="Q40" s="1352">
        <f t="shared" si="11"/>
        <v>111</v>
      </c>
      <c r="R40" s="705" t="s">
        <v>14</v>
      </c>
      <c r="S40" s="706">
        <f t="shared" si="12"/>
        <v>100</v>
      </c>
      <c r="T40" s="705" t="s">
        <v>14</v>
      </c>
      <c r="U40" s="706">
        <f t="shared" si="13"/>
        <v>100</v>
      </c>
      <c r="V40" s="705" t="s">
        <v>14</v>
      </c>
      <c r="W40" s="706">
        <f t="shared" si="14"/>
        <v>100</v>
      </c>
      <c r="X40" s="1355"/>
      <c r="Y40" s="398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976" t="str">
        <f>A41</f>
        <v>成交单价（元/平方米）</v>
      </c>
      <c r="Q41" s="3976"/>
      <c r="R41" s="3977">
        <f>E41</f>
        <v>0</v>
      </c>
      <c r="S41" s="3977"/>
      <c r="T41" s="3977">
        <f>G41</f>
        <v>0</v>
      </c>
      <c r="U41" s="3977"/>
      <c r="V41" s="3977">
        <f>I41</f>
        <v>0</v>
      </c>
      <c r="W41" s="397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976" t="str">
        <f>A42</f>
        <v>比较价值（元/平方米）</v>
      </c>
      <c r="Q42" s="3976"/>
      <c r="R42" s="3977" t="e">
        <f>IF(F1="售价",ROUND(PRODUCT(R41,AA7:AA40),0),ROUND(PRODUCT(R41,AA7:AA40),1))</f>
        <v>#DIV/0!</v>
      </c>
      <c r="S42" s="3977"/>
      <c r="T42" s="3977" t="e">
        <f>IF(F1="售价",ROUND(PRODUCT(T41,AB7:AB40),0),ROUND(PRODUCT(T41,AB7:AB40),1))</f>
        <v>#DIV/0!</v>
      </c>
      <c r="U42" s="3977"/>
      <c r="V42" s="3977" t="e">
        <f>IF(F1="售价",ROUND(PRODUCT(V41,AC7:AC40),0),ROUND(PRODUCT(V41,AC7:AC40),1))</f>
        <v>#DIV/0!</v>
      </c>
      <c r="W42" s="397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4122" t="str">
        <f>A43</f>
        <v>估价对象XX用房的比较价值（楼面单价，元/平方米）</v>
      </c>
      <c r="Q43" s="4123"/>
      <c r="R43" s="4124" t="e">
        <f>IF(F1="售价",ROUND(IF(D42="简单平均",AVERAGE(R42:V42),R42*F42+T42*H42+V42*J42),0),ROUND(IF(D42="简单平均",AVERAGE(R42:V42),R42*F42+T42*H42+V42*J42),1))</f>
        <v>#DIV/0!</v>
      </c>
      <c r="S43" s="4124"/>
      <c r="T43" s="4124"/>
      <c r="U43" s="4124"/>
      <c r="V43" s="4124"/>
      <c r="W43" s="412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993" t="s">
        <v>1770</v>
      </c>
      <c r="D4" s="3994"/>
      <c r="E4" s="3995" t="s">
        <v>1771</v>
      </c>
      <c r="F4" s="3996"/>
      <c r="G4" s="3993" t="s">
        <v>1772</v>
      </c>
      <c r="H4" s="3994"/>
      <c r="I4" s="3993" t="s">
        <v>1773</v>
      </c>
      <c r="J4" s="3994"/>
      <c r="K4" s="559" t="s">
        <v>1774</v>
      </c>
      <c r="L4" s="2715"/>
      <c r="M4" s="2716"/>
      <c r="N4" s="2716"/>
      <c r="O4" s="2716"/>
      <c r="P4" s="4126" t="s">
        <v>1775</v>
      </c>
      <c r="Q4" s="4127"/>
      <c r="R4" s="4130" t="s">
        <v>1771</v>
      </c>
      <c r="S4" s="4131"/>
      <c r="T4" s="4130" t="s">
        <v>1772</v>
      </c>
      <c r="U4" s="4131"/>
      <c r="V4" s="4010" t="s">
        <v>1773</v>
      </c>
      <c r="W4" s="4010"/>
      <c r="X4" s="1355"/>
      <c r="Y4" s="4130" t="s">
        <v>1775</v>
      </c>
      <c r="Z4" s="4131"/>
      <c r="AA4" s="4125" t="s">
        <v>1771</v>
      </c>
      <c r="AB4" s="4022" t="s">
        <v>1772</v>
      </c>
      <c r="AC4" s="4125" t="s">
        <v>1773</v>
      </c>
    </row>
    <row r="5" spans="1:29" ht="15">
      <c r="A5" s="358"/>
      <c r="B5" s="359"/>
      <c r="C5" s="4013" t="s">
        <v>1673</v>
      </c>
      <c r="D5" s="4014"/>
      <c r="E5" s="4024" t="s">
        <v>1674</v>
      </c>
      <c r="F5" s="4025"/>
      <c r="G5" s="4013" t="s">
        <v>1675</v>
      </c>
      <c r="H5" s="4014"/>
      <c r="I5" s="4013" t="s">
        <v>1676</v>
      </c>
      <c r="J5" s="4014"/>
      <c r="K5" s="559"/>
      <c r="L5" s="2715"/>
      <c r="M5" s="2716"/>
      <c r="N5" s="2716"/>
      <c r="O5" s="2716"/>
      <c r="P5" s="4128"/>
      <c r="Q5" s="4000"/>
      <c r="R5" s="4005"/>
      <c r="S5" s="4006"/>
      <c r="T5" s="4005"/>
      <c r="U5" s="4006"/>
      <c r="V5" s="4010"/>
      <c r="W5" s="4010"/>
      <c r="X5" s="1355"/>
      <c r="Y5" s="4005"/>
      <c r="Z5" s="4006"/>
      <c r="AA5" s="4022"/>
      <c r="AB5" s="4022"/>
      <c r="AC5" s="4022"/>
    </row>
    <row r="6" spans="1:29" ht="15.75" thickBot="1">
      <c r="A6" s="360"/>
      <c r="B6" s="361"/>
      <c r="C6" s="4011" t="s">
        <v>1677</v>
      </c>
      <c r="D6" s="4012"/>
      <c r="E6" s="4019" t="s">
        <v>1677</v>
      </c>
      <c r="F6" s="4020"/>
      <c r="G6" s="4011" t="s">
        <v>1677</v>
      </c>
      <c r="H6" s="4012"/>
      <c r="I6" s="4011" t="s">
        <v>1677</v>
      </c>
      <c r="J6" s="4012"/>
      <c r="K6" s="559" t="s">
        <v>1678</v>
      </c>
      <c r="L6" s="2715"/>
      <c r="M6" s="2716"/>
      <c r="N6" s="2716"/>
      <c r="O6" s="2716"/>
      <c r="P6" s="4129"/>
      <c r="Q6" s="4002"/>
      <c r="R6" s="4005"/>
      <c r="S6" s="4006"/>
      <c r="T6" s="4007"/>
      <c r="U6" s="4008"/>
      <c r="V6" s="4010"/>
      <c r="W6" s="4010"/>
      <c r="X6" s="1355"/>
      <c r="Y6" s="4007"/>
      <c r="Z6" s="4008"/>
      <c r="AA6" s="4023"/>
      <c r="AB6" s="4023"/>
      <c r="AC6" s="4023"/>
    </row>
    <row r="7" spans="1:29" s="108" customFormat="1" ht="15.75" thickBot="1">
      <c r="A7" s="362" t="s">
        <v>1679</v>
      </c>
      <c r="B7" s="363"/>
      <c r="C7" s="364">
        <f>'数据-取费表'!B2</f>
        <v>45530</v>
      </c>
      <c r="D7" s="365">
        <v>100</v>
      </c>
      <c r="E7" s="366"/>
      <c r="F7" s="367">
        <f>SUMIF(48:48,YEAR(E7)&amp;"-"&amp;MONTH(E7),49:49)</f>
        <v>0</v>
      </c>
      <c r="G7" s="366"/>
      <c r="H7" s="365">
        <f>SUMIF(48:48,YEAR(G7)&amp;"-"&amp;MONTH(G7),49:49)</f>
        <v>0</v>
      </c>
      <c r="I7" s="366"/>
      <c r="J7" s="365">
        <f>SUMIF(48:48,YEAR(I7)&amp;"-"&amp;MONTH(I7),49:49)</f>
        <v>0</v>
      </c>
      <c r="K7" s="560"/>
      <c r="L7" s="2717"/>
      <c r="M7" s="2718"/>
      <c r="N7" s="2718"/>
      <c r="O7" s="2718"/>
      <c r="P7" s="4017" t="s">
        <v>1680</v>
      </c>
      <c r="Q7" s="4018"/>
      <c r="R7" s="701" t="s">
        <v>14</v>
      </c>
      <c r="S7" s="702">
        <f t="shared" ref="S7:S14" si="0">F7</f>
        <v>0</v>
      </c>
      <c r="T7" s="701" t="s">
        <v>14</v>
      </c>
      <c r="U7" s="702">
        <f t="shared" ref="U7:U14" si="1">H7</f>
        <v>0</v>
      </c>
      <c r="V7" s="701" t="s">
        <v>14</v>
      </c>
      <c r="W7" s="702">
        <f t="shared" ref="W7:W14" si="2">J7</f>
        <v>0</v>
      </c>
      <c r="X7" s="703"/>
      <c r="Y7" s="4017" t="s">
        <v>1680</v>
      </c>
      <c r="Z7" s="401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4017" t="s">
        <v>1683</v>
      </c>
      <c r="Q8" s="4016"/>
      <c r="R8" s="701" t="s">
        <v>14</v>
      </c>
      <c r="S8" s="702">
        <f t="shared" si="0"/>
        <v>100</v>
      </c>
      <c r="T8" s="701" t="s">
        <v>14</v>
      </c>
      <c r="U8" s="702">
        <f t="shared" si="1"/>
        <v>100</v>
      </c>
      <c r="V8" s="701" t="s">
        <v>14</v>
      </c>
      <c r="W8" s="702">
        <f t="shared" si="2"/>
        <v>100</v>
      </c>
      <c r="X8" s="703"/>
      <c r="Y8" s="4017" t="s">
        <v>1683</v>
      </c>
      <c r="Z8" s="401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976" t="s">
        <v>1686</v>
      </c>
      <c r="Q9" s="1343" t="str">
        <f t="shared" ref="Q9:Q14" si="6">B9</f>
        <v>用途</v>
      </c>
      <c r="R9" s="701" t="s">
        <v>14</v>
      </c>
      <c r="S9" s="702">
        <f t="shared" si="0"/>
        <v>100</v>
      </c>
      <c r="T9" s="701" t="s">
        <v>14</v>
      </c>
      <c r="U9" s="702">
        <f t="shared" si="1"/>
        <v>100</v>
      </c>
      <c r="V9" s="701" t="s">
        <v>14</v>
      </c>
      <c r="W9" s="702">
        <f t="shared" si="2"/>
        <v>100</v>
      </c>
      <c r="X9" s="703"/>
      <c r="Y9" s="388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976"/>
      <c r="Q10" s="1343" t="str">
        <f t="shared" si="6"/>
        <v>土地使用年限（年）</v>
      </c>
      <c r="R10" s="701" t="s">
        <v>14</v>
      </c>
      <c r="S10" s="702">
        <f t="shared" si="0"/>
        <v>100</v>
      </c>
      <c r="T10" s="701" t="s">
        <v>14</v>
      </c>
      <c r="U10" s="702">
        <f t="shared" si="1"/>
        <v>100</v>
      </c>
      <c r="V10" s="701" t="s">
        <v>14</v>
      </c>
      <c r="W10" s="702">
        <f t="shared" si="2"/>
        <v>100</v>
      </c>
      <c r="X10" s="703"/>
      <c r="Y10" s="388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976"/>
      <c r="Q11" s="1343">
        <f t="shared" si="6"/>
        <v>111</v>
      </c>
      <c r="R11" s="701" t="s">
        <v>14</v>
      </c>
      <c r="S11" s="702">
        <f t="shared" si="0"/>
        <v>100</v>
      </c>
      <c r="T11" s="701" t="s">
        <v>14</v>
      </c>
      <c r="U11" s="702">
        <f t="shared" si="1"/>
        <v>100</v>
      </c>
      <c r="V11" s="701" t="s">
        <v>14</v>
      </c>
      <c r="W11" s="702">
        <f t="shared" si="2"/>
        <v>100</v>
      </c>
      <c r="X11" s="703"/>
      <c r="Y11" s="388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976"/>
      <c r="Q12" s="1343">
        <f t="shared" si="6"/>
        <v>111</v>
      </c>
      <c r="R12" s="701" t="s">
        <v>14</v>
      </c>
      <c r="S12" s="702">
        <f t="shared" si="0"/>
        <v>100</v>
      </c>
      <c r="T12" s="701" t="s">
        <v>14</v>
      </c>
      <c r="U12" s="702">
        <f t="shared" si="1"/>
        <v>100</v>
      </c>
      <c r="V12" s="701" t="s">
        <v>14</v>
      </c>
      <c r="W12" s="702">
        <f t="shared" si="2"/>
        <v>100</v>
      </c>
      <c r="X12" s="703"/>
      <c r="Y12" s="388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976"/>
      <c r="Q13" s="1343">
        <f t="shared" si="6"/>
        <v>111</v>
      </c>
      <c r="R13" s="701" t="s">
        <v>14</v>
      </c>
      <c r="S13" s="702">
        <f t="shared" si="0"/>
        <v>100</v>
      </c>
      <c r="T13" s="701" t="s">
        <v>14</v>
      </c>
      <c r="U13" s="702">
        <f t="shared" si="1"/>
        <v>100</v>
      </c>
      <c r="V13" s="701" t="s">
        <v>14</v>
      </c>
      <c r="W13" s="702">
        <f t="shared" si="2"/>
        <v>100</v>
      </c>
      <c r="X13" s="703"/>
      <c r="Y13" s="388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983" t="s">
        <v>1691</v>
      </c>
      <c r="Q14" s="1352" t="str">
        <f t="shared" si="6"/>
        <v>交通便捷度</v>
      </c>
      <c r="R14" s="705" t="s">
        <v>14</v>
      </c>
      <c r="S14" s="706">
        <f t="shared" si="0"/>
        <v>100</v>
      </c>
      <c r="T14" s="705" t="s">
        <v>14</v>
      </c>
      <c r="U14" s="706">
        <f t="shared" si="1"/>
        <v>100</v>
      </c>
      <c r="V14" s="705" t="s">
        <v>14</v>
      </c>
      <c r="W14" s="706">
        <f t="shared" si="2"/>
        <v>100</v>
      </c>
      <c r="X14" s="1355"/>
      <c r="Y14" s="398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984"/>
      <c r="Q15" s="1352"/>
      <c r="R15" s="705"/>
      <c r="S15" s="706"/>
      <c r="T15" s="705"/>
      <c r="U15" s="706"/>
      <c r="V15" s="705"/>
      <c r="W15" s="706"/>
      <c r="X15" s="1355"/>
      <c r="Y15" s="398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984"/>
      <c r="Q16" s="1352" t="str">
        <f>B16</f>
        <v>公共配套设施</v>
      </c>
      <c r="R16" s="705" t="s">
        <v>14</v>
      </c>
      <c r="S16" s="706">
        <f>F16</f>
        <v>100</v>
      </c>
      <c r="T16" s="705" t="s">
        <v>14</v>
      </c>
      <c r="U16" s="706">
        <f>H16</f>
        <v>100</v>
      </c>
      <c r="V16" s="705" t="s">
        <v>14</v>
      </c>
      <c r="W16" s="706">
        <f>J16</f>
        <v>100</v>
      </c>
      <c r="X16" s="1355"/>
      <c r="Y16" s="398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984"/>
      <c r="Q17" s="1352"/>
      <c r="R17" s="705"/>
      <c r="S17" s="706"/>
      <c r="T17" s="705"/>
      <c r="U17" s="706"/>
      <c r="V17" s="705"/>
      <c r="W17" s="706"/>
      <c r="X17" s="1355"/>
      <c r="Y17" s="398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984"/>
      <c r="Q18" s="1352" t="str">
        <f>B18</f>
        <v>基础设施水平</v>
      </c>
      <c r="R18" s="705" t="s">
        <v>14</v>
      </c>
      <c r="S18" s="706">
        <f>F18</f>
        <v>100</v>
      </c>
      <c r="T18" s="705" t="s">
        <v>14</v>
      </c>
      <c r="U18" s="706">
        <f>H18</f>
        <v>100</v>
      </c>
      <c r="V18" s="705" t="s">
        <v>14</v>
      </c>
      <c r="W18" s="706">
        <f>J18</f>
        <v>100</v>
      </c>
      <c r="X18" s="1355"/>
      <c r="Y18" s="398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984"/>
      <c r="Q19" s="1352"/>
      <c r="R19" s="705"/>
      <c r="S19" s="706"/>
      <c r="T19" s="705"/>
      <c r="U19" s="706"/>
      <c r="V19" s="705"/>
      <c r="W19" s="706"/>
      <c r="X19" s="1355"/>
      <c r="Y19" s="398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984"/>
      <c r="Q20" s="1352" t="str">
        <f>B20</f>
        <v>自然及人文环境</v>
      </c>
      <c r="R20" s="705" t="s">
        <v>14</v>
      </c>
      <c r="S20" s="706">
        <f>F20</f>
        <v>100</v>
      </c>
      <c r="T20" s="705" t="s">
        <v>14</v>
      </c>
      <c r="U20" s="706">
        <f>H20</f>
        <v>100</v>
      </c>
      <c r="V20" s="705" t="s">
        <v>14</v>
      </c>
      <c r="W20" s="706">
        <f>J20</f>
        <v>100</v>
      </c>
      <c r="X20" s="1355"/>
      <c r="Y20" s="398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984"/>
      <c r="Q21" s="1352"/>
      <c r="R21" s="705"/>
      <c r="S21" s="706"/>
      <c r="T21" s="705"/>
      <c r="U21" s="706"/>
      <c r="V21" s="705"/>
      <c r="W21" s="706"/>
      <c r="X21" s="1355"/>
      <c r="Y21" s="398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984"/>
      <c r="Q22" s="1352" t="str">
        <f>B22</f>
        <v>楼层</v>
      </c>
      <c r="R22" s="705" t="s">
        <v>14</v>
      </c>
      <c r="S22" s="706">
        <f>F22</f>
        <v>100</v>
      </c>
      <c r="T22" s="705" t="s">
        <v>14</v>
      </c>
      <c r="U22" s="706">
        <f>H22</f>
        <v>100</v>
      </c>
      <c r="V22" s="705" t="s">
        <v>14</v>
      </c>
      <c r="W22" s="706">
        <f>J22</f>
        <v>100</v>
      </c>
      <c r="X22" s="1355"/>
      <c r="Y22" s="398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984"/>
      <c r="Q23" s="1352">
        <f>B23</f>
        <v>111</v>
      </c>
      <c r="R23" s="705" t="s">
        <v>14</v>
      </c>
      <c r="S23" s="706">
        <f>F23</f>
        <v>100</v>
      </c>
      <c r="T23" s="705" t="s">
        <v>14</v>
      </c>
      <c r="U23" s="706">
        <f>H23</f>
        <v>100</v>
      </c>
      <c r="V23" s="705" t="s">
        <v>14</v>
      </c>
      <c r="W23" s="706">
        <f>J23</f>
        <v>100</v>
      </c>
      <c r="X23" s="1355"/>
      <c r="Y23" s="398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984"/>
      <c r="Q24" s="1352">
        <f t="shared" ref="Q24:Q36" si="11">B24</f>
        <v>111</v>
      </c>
      <c r="R24" s="705" t="s">
        <v>14</v>
      </c>
      <c r="S24" s="706">
        <f>F24</f>
        <v>100</v>
      </c>
      <c r="T24" s="705" t="s">
        <v>14</v>
      </c>
      <c r="U24" s="706">
        <f>H24</f>
        <v>100</v>
      </c>
      <c r="V24" s="705" t="s">
        <v>14</v>
      </c>
      <c r="W24" s="706">
        <f>J24</f>
        <v>100</v>
      </c>
      <c r="X24" s="1355"/>
      <c r="Y24" s="398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984"/>
      <c r="Q25" s="1343">
        <f t="shared" si="11"/>
        <v>111</v>
      </c>
      <c r="R25" s="701" t="s">
        <v>14</v>
      </c>
      <c r="S25" s="702">
        <f>F25</f>
        <v>100</v>
      </c>
      <c r="T25" s="701" t="s">
        <v>14</v>
      </c>
      <c r="U25" s="702">
        <f>H25</f>
        <v>100</v>
      </c>
      <c r="V25" s="701" t="s">
        <v>14</v>
      </c>
      <c r="W25" s="702">
        <f>J25</f>
        <v>100</v>
      </c>
      <c r="X25" s="703"/>
      <c r="Y25" s="398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413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98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988"/>
      <c r="Q27" s="707" t="str">
        <f t="shared" si="11"/>
        <v>项目停车位配比</v>
      </c>
      <c r="R27" s="708" t="s">
        <v>14</v>
      </c>
      <c r="S27" s="709">
        <f t="shared" si="12"/>
        <v>100</v>
      </c>
      <c r="T27" s="708" t="s">
        <v>14</v>
      </c>
      <c r="U27" s="709">
        <f t="shared" si="13"/>
        <v>100</v>
      </c>
      <c r="V27" s="708" t="s">
        <v>14</v>
      </c>
      <c r="W27" s="709">
        <f t="shared" si="14"/>
        <v>100</v>
      </c>
      <c r="X27" s="710"/>
      <c r="Y27" s="398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988"/>
      <c r="Q28" s="1352" t="str">
        <f t="shared" si="11"/>
        <v>公共部分装修</v>
      </c>
      <c r="R28" s="705" t="s">
        <v>14</v>
      </c>
      <c r="S28" s="706">
        <f t="shared" si="12"/>
        <v>100</v>
      </c>
      <c r="T28" s="705" t="s">
        <v>14</v>
      </c>
      <c r="U28" s="706">
        <f t="shared" si="13"/>
        <v>100</v>
      </c>
      <c r="V28" s="705" t="s">
        <v>14</v>
      </c>
      <c r="W28" s="706">
        <f t="shared" si="14"/>
        <v>100</v>
      </c>
      <c r="X28" s="1355"/>
      <c r="Y28" s="398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988"/>
      <c r="Q29" s="1352" t="str">
        <f t="shared" si="11"/>
        <v>成新率</v>
      </c>
      <c r="R29" s="705" t="s">
        <v>14</v>
      </c>
      <c r="S29" s="706" t="e">
        <f t="shared" si="12"/>
        <v>#N/A</v>
      </c>
      <c r="T29" s="705" t="s">
        <v>14</v>
      </c>
      <c r="U29" s="706" t="e">
        <f t="shared" si="13"/>
        <v>#N/A</v>
      </c>
      <c r="V29" s="705" t="s">
        <v>14</v>
      </c>
      <c r="W29" s="706" t="e">
        <f t="shared" si="14"/>
        <v>#N/A</v>
      </c>
      <c r="X29" s="1355"/>
      <c r="Y29" s="398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988"/>
      <c r="Q30" s="1352" t="str">
        <f t="shared" si="11"/>
        <v>物业等级</v>
      </c>
      <c r="R30" s="705" t="s">
        <v>14</v>
      </c>
      <c r="S30" s="706">
        <f t="shared" si="12"/>
        <v>100</v>
      </c>
      <c r="T30" s="705" t="s">
        <v>14</v>
      </c>
      <c r="U30" s="706">
        <f t="shared" si="13"/>
        <v>100</v>
      </c>
      <c r="V30" s="705" t="s">
        <v>14</v>
      </c>
      <c r="W30" s="706">
        <f t="shared" si="14"/>
        <v>100</v>
      </c>
      <c r="X30" s="1355"/>
      <c r="Y30" s="398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988"/>
      <c r="Q31" s="1343" t="str">
        <f t="shared" si="11"/>
        <v>停车位面积</v>
      </c>
      <c r="R31" s="701" t="s">
        <v>14</v>
      </c>
      <c r="S31" s="702" t="e">
        <f t="shared" si="12"/>
        <v>#N/A</v>
      </c>
      <c r="T31" s="701" t="s">
        <v>14</v>
      </c>
      <c r="U31" s="702" t="e">
        <f t="shared" si="13"/>
        <v>#N/A</v>
      </c>
      <c r="V31" s="701" t="s">
        <v>14</v>
      </c>
      <c r="W31" s="702" t="e">
        <f t="shared" si="14"/>
        <v>#N/A</v>
      </c>
      <c r="X31" s="703"/>
      <c r="Y31" s="398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988" t="s">
        <v>1696</v>
      </c>
      <c r="Q32" s="1352" t="str">
        <f t="shared" si="11"/>
        <v>车位类型</v>
      </c>
      <c r="R32" s="705" t="s">
        <v>14</v>
      </c>
      <c r="S32" s="706">
        <f t="shared" si="12"/>
        <v>100</v>
      </c>
      <c r="T32" s="705" t="s">
        <v>14</v>
      </c>
      <c r="U32" s="706">
        <f t="shared" si="13"/>
        <v>100</v>
      </c>
      <c r="V32" s="705" t="s">
        <v>14</v>
      </c>
      <c r="W32" s="706">
        <f t="shared" si="14"/>
        <v>100</v>
      </c>
      <c r="X32" s="1355"/>
      <c r="Y32" s="398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988"/>
      <c r="Q33" s="1352" t="str">
        <f t="shared" si="11"/>
        <v>是否直接入户</v>
      </c>
      <c r="R33" s="705" t="s">
        <v>14</v>
      </c>
      <c r="S33" s="706">
        <f t="shared" si="12"/>
        <v>100</v>
      </c>
      <c r="T33" s="705" t="s">
        <v>14</v>
      </c>
      <c r="U33" s="706">
        <f t="shared" si="13"/>
        <v>100</v>
      </c>
      <c r="V33" s="705" t="s">
        <v>14</v>
      </c>
      <c r="W33" s="706">
        <f t="shared" si="14"/>
        <v>100</v>
      </c>
      <c r="X33" s="1355"/>
      <c r="Y33" s="398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988"/>
      <c r="Q34" s="1352">
        <f t="shared" si="11"/>
        <v>111</v>
      </c>
      <c r="R34" s="705" t="s">
        <v>14</v>
      </c>
      <c r="S34" s="706">
        <f t="shared" si="12"/>
        <v>100</v>
      </c>
      <c r="T34" s="705" t="s">
        <v>14</v>
      </c>
      <c r="U34" s="706">
        <f t="shared" si="13"/>
        <v>100</v>
      </c>
      <c r="V34" s="705" t="s">
        <v>14</v>
      </c>
      <c r="W34" s="706">
        <f t="shared" si="14"/>
        <v>100</v>
      </c>
      <c r="X34" s="1355"/>
      <c r="Y34" s="398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988"/>
      <c r="Q35" s="707">
        <f t="shared" si="11"/>
        <v>111</v>
      </c>
      <c r="R35" s="708" t="s">
        <v>14</v>
      </c>
      <c r="S35" s="709">
        <f t="shared" si="12"/>
        <v>100</v>
      </c>
      <c r="T35" s="708" t="s">
        <v>14</v>
      </c>
      <c r="U35" s="709">
        <f t="shared" si="13"/>
        <v>100</v>
      </c>
      <c r="V35" s="708" t="s">
        <v>14</v>
      </c>
      <c r="W35" s="709">
        <f t="shared" si="14"/>
        <v>100</v>
      </c>
      <c r="X35" s="710"/>
      <c r="Y35" s="398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988"/>
      <c r="Q36" s="1352">
        <f t="shared" si="11"/>
        <v>111</v>
      </c>
      <c r="R36" s="705" t="s">
        <v>14</v>
      </c>
      <c r="S36" s="706">
        <f t="shared" si="12"/>
        <v>100</v>
      </c>
      <c r="T36" s="705" t="s">
        <v>14</v>
      </c>
      <c r="U36" s="706">
        <f t="shared" si="13"/>
        <v>100</v>
      </c>
      <c r="V36" s="705" t="s">
        <v>14</v>
      </c>
      <c r="W36" s="706">
        <f t="shared" si="14"/>
        <v>100</v>
      </c>
      <c r="X36" s="1355"/>
      <c r="Y36" s="3988"/>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976" t="str">
        <f>A37</f>
        <v>成交单价</v>
      </c>
      <c r="Q37" s="3976"/>
      <c r="R37" s="3977">
        <f>E37</f>
        <v>0</v>
      </c>
      <c r="S37" s="3977"/>
      <c r="T37" s="3977">
        <f>G37</f>
        <v>0</v>
      </c>
      <c r="U37" s="3977"/>
      <c r="V37" s="3977">
        <f>I37</f>
        <v>0</v>
      </c>
      <c r="W37" s="397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976" t="str">
        <f>A38</f>
        <v>比较价值（元/平方米）</v>
      </c>
      <c r="Q38" s="3976"/>
      <c r="R38" s="3977" t="e">
        <f>IF(F1="售价",ROUND(PRODUCT(R37,AA7:AA36),0),ROUND(PRODUCT(R37,AA7:AA36),1))</f>
        <v>#DIV/0!</v>
      </c>
      <c r="S38" s="3977"/>
      <c r="T38" s="3977" t="e">
        <f>IF(F1="售价",ROUND(PRODUCT(T37,AB7:AB36),0),ROUND(PRODUCT(T37,AB7:AB36),1))</f>
        <v>#DIV/0!</v>
      </c>
      <c r="U38" s="3977"/>
      <c r="V38" s="3977" t="e">
        <f>IF(F1="售价",ROUND(PRODUCT(V37,AC7:AC36),0),ROUND(PRODUCT(V37,AC7:AC36),1))</f>
        <v>#DIV/0!</v>
      </c>
      <c r="W38" s="397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4122" t="str">
        <f>A39</f>
        <v>估价对象XX用房的比较价值（楼面单价，元/平方米）</v>
      </c>
      <c r="Q39" s="4123"/>
      <c r="R39" s="4133" t="e">
        <f>IF(F1="售价",ROUND(IF(D38="简单平均",AVERAGE(R38:W38),R38*F38+T38*H38+V38*J38),0),ROUND(IF(D38="简单平均",AVERAGE(R38:V38),R38*F38+T38*H38+V38*J38),1))</f>
        <v>#DIV/0!</v>
      </c>
      <c r="S39" s="4133"/>
      <c r="T39" s="4133"/>
      <c r="U39" s="4133"/>
      <c r="V39" s="4133"/>
      <c r="W39" s="413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993" t="s">
        <v>1770</v>
      </c>
      <c r="D4" s="3994"/>
      <c r="E4" s="3995" t="s">
        <v>1771</v>
      </c>
      <c r="F4" s="3996"/>
      <c r="G4" s="3993" t="s">
        <v>1772</v>
      </c>
      <c r="H4" s="3994"/>
      <c r="I4" s="3993" t="s">
        <v>1773</v>
      </c>
      <c r="J4" s="3994"/>
      <c r="K4" s="559" t="s">
        <v>1774</v>
      </c>
      <c r="L4" s="2715"/>
      <c r="M4" s="2716"/>
      <c r="N4" s="2716"/>
      <c r="O4" s="2716"/>
      <c r="P4" s="4126" t="s">
        <v>1775</v>
      </c>
      <c r="Q4" s="4127"/>
      <c r="R4" s="4130" t="s">
        <v>1771</v>
      </c>
      <c r="S4" s="4131"/>
      <c r="T4" s="4130" t="s">
        <v>1772</v>
      </c>
      <c r="U4" s="4131"/>
      <c r="V4" s="4010" t="s">
        <v>1773</v>
      </c>
      <c r="W4" s="4010"/>
      <c r="X4" s="1355"/>
      <c r="Y4" s="4130" t="s">
        <v>1775</v>
      </c>
      <c r="Z4" s="4131"/>
      <c r="AA4" s="4125" t="s">
        <v>1771</v>
      </c>
      <c r="AB4" s="4022" t="s">
        <v>1772</v>
      </c>
      <c r="AC4" s="4125" t="s">
        <v>1773</v>
      </c>
    </row>
    <row r="5" spans="1:29" ht="15">
      <c r="A5" s="358"/>
      <c r="B5" s="359"/>
      <c r="C5" s="4013" t="s">
        <v>1673</v>
      </c>
      <c r="D5" s="4014"/>
      <c r="E5" s="4024" t="s">
        <v>1674</v>
      </c>
      <c r="F5" s="4025"/>
      <c r="G5" s="4013" t="s">
        <v>1675</v>
      </c>
      <c r="H5" s="4014"/>
      <c r="I5" s="4013" t="s">
        <v>1676</v>
      </c>
      <c r="J5" s="4014"/>
      <c r="K5" s="559"/>
      <c r="L5" s="2715"/>
      <c r="M5" s="2716"/>
      <c r="N5" s="2716"/>
      <c r="O5" s="2716"/>
      <c r="P5" s="4128"/>
      <c r="Q5" s="4000"/>
      <c r="R5" s="4005"/>
      <c r="S5" s="4006"/>
      <c r="T5" s="4005"/>
      <c r="U5" s="4006"/>
      <c r="V5" s="4010"/>
      <c r="W5" s="4010"/>
      <c r="X5" s="1355"/>
      <c r="Y5" s="4005"/>
      <c r="Z5" s="4006"/>
      <c r="AA5" s="4022"/>
      <c r="AB5" s="4022"/>
      <c r="AC5" s="4022"/>
    </row>
    <row r="6" spans="1:29" ht="15.75" thickBot="1">
      <c r="A6" s="360"/>
      <c r="B6" s="361"/>
      <c r="C6" s="4011" t="s">
        <v>1677</v>
      </c>
      <c r="D6" s="4012"/>
      <c r="E6" s="4019" t="s">
        <v>1677</v>
      </c>
      <c r="F6" s="4020"/>
      <c r="G6" s="4011" t="s">
        <v>1677</v>
      </c>
      <c r="H6" s="4012"/>
      <c r="I6" s="4011" t="s">
        <v>1677</v>
      </c>
      <c r="J6" s="4012"/>
      <c r="K6" s="559" t="s">
        <v>1678</v>
      </c>
      <c r="L6" s="2715"/>
      <c r="M6" s="2716"/>
      <c r="N6" s="2716"/>
      <c r="O6" s="2716"/>
      <c r="P6" s="4129"/>
      <c r="Q6" s="4002"/>
      <c r="R6" s="4005"/>
      <c r="S6" s="4006"/>
      <c r="T6" s="4007"/>
      <c r="U6" s="4008"/>
      <c r="V6" s="4010"/>
      <c r="W6" s="4010"/>
      <c r="X6" s="1355"/>
      <c r="Y6" s="4007"/>
      <c r="Z6" s="4008"/>
      <c r="AA6" s="4023"/>
      <c r="AB6" s="4023"/>
      <c r="AC6" s="4023"/>
    </row>
    <row r="7" spans="1:29" s="108" customFormat="1" ht="15.75" thickBot="1">
      <c r="A7" s="362" t="s">
        <v>1679</v>
      </c>
      <c r="B7" s="363"/>
      <c r="C7" s="364">
        <f>'数据-取费表'!B2</f>
        <v>45530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4017" t="s">
        <v>1680</v>
      </c>
      <c r="Q7" s="4018"/>
      <c r="R7" s="701" t="s">
        <v>14</v>
      </c>
      <c r="S7" s="702">
        <f t="shared" ref="S7:S14" si="0">F7</f>
        <v>0</v>
      </c>
      <c r="T7" s="701" t="s">
        <v>14</v>
      </c>
      <c r="U7" s="702">
        <f t="shared" ref="U7:U14" si="1">H7</f>
        <v>0</v>
      </c>
      <c r="V7" s="701" t="s">
        <v>14</v>
      </c>
      <c r="W7" s="702">
        <f t="shared" ref="W7:W14" si="2">J7</f>
        <v>0</v>
      </c>
      <c r="X7" s="703"/>
      <c r="Y7" s="4017" t="s">
        <v>1680</v>
      </c>
      <c r="Z7" s="401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4017" t="s">
        <v>1683</v>
      </c>
      <c r="Q8" s="4016"/>
      <c r="R8" s="701" t="s">
        <v>14</v>
      </c>
      <c r="S8" s="702">
        <f t="shared" si="0"/>
        <v>100</v>
      </c>
      <c r="T8" s="701" t="s">
        <v>14</v>
      </c>
      <c r="U8" s="702">
        <f t="shared" si="1"/>
        <v>100</v>
      </c>
      <c r="V8" s="701" t="s">
        <v>14</v>
      </c>
      <c r="W8" s="702">
        <f t="shared" si="2"/>
        <v>100</v>
      </c>
      <c r="X8" s="703"/>
      <c r="Y8" s="4017" t="s">
        <v>1683</v>
      </c>
      <c r="Z8" s="401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976" t="s">
        <v>1686</v>
      </c>
      <c r="Q9" s="1343" t="str">
        <f t="shared" ref="Q9:Q14" si="6">B9</f>
        <v>用途</v>
      </c>
      <c r="R9" s="701" t="s">
        <v>14</v>
      </c>
      <c r="S9" s="702">
        <f t="shared" si="0"/>
        <v>100</v>
      </c>
      <c r="T9" s="701" t="s">
        <v>14</v>
      </c>
      <c r="U9" s="702">
        <f t="shared" si="1"/>
        <v>100</v>
      </c>
      <c r="V9" s="701" t="s">
        <v>14</v>
      </c>
      <c r="W9" s="702">
        <f t="shared" si="2"/>
        <v>100</v>
      </c>
      <c r="X9" s="703"/>
      <c r="Y9" s="388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976"/>
      <c r="Q10" s="1343" t="str">
        <f t="shared" si="6"/>
        <v>土地使用年限（年）</v>
      </c>
      <c r="R10" s="701" t="s">
        <v>14</v>
      </c>
      <c r="S10" s="702">
        <f t="shared" si="0"/>
        <v>100</v>
      </c>
      <c r="T10" s="701" t="s">
        <v>14</v>
      </c>
      <c r="U10" s="702">
        <f t="shared" si="1"/>
        <v>100</v>
      </c>
      <c r="V10" s="701" t="s">
        <v>14</v>
      </c>
      <c r="W10" s="702">
        <f t="shared" si="2"/>
        <v>100</v>
      </c>
      <c r="X10" s="703"/>
      <c r="Y10" s="388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976"/>
      <c r="Q11" s="1343">
        <f t="shared" si="6"/>
        <v>111</v>
      </c>
      <c r="R11" s="701" t="s">
        <v>14</v>
      </c>
      <c r="S11" s="702">
        <f t="shared" si="0"/>
        <v>100</v>
      </c>
      <c r="T11" s="701" t="s">
        <v>14</v>
      </c>
      <c r="U11" s="702">
        <f t="shared" si="1"/>
        <v>100</v>
      </c>
      <c r="V11" s="701" t="s">
        <v>14</v>
      </c>
      <c r="W11" s="702">
        <f t="shared" si="2"/>
        <v>100</v>
      </c>
      <c r="X11" s="703"/>
      <c r="Y11" s="388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976"/>
      <c r="Q12" s="1343">
        <f t="shared" si="6"/>
        <v>111</v>
      </c>
      <c r="R12" s="701" t="s">
        <v>14</v>
      </c>
      <c r="S12" s="702">
        <f t="shared" si="0"/>
        <v>100</v>
      </c>
      <c r="T12" s="701" t="s">
        <v>14</v>
      </c>
      <c r="U12" s="702">
        <f t="shared" si="1"/>
        <v>100</v>
      </c>
      <c r="V12" s="701" t="s">
        <v>14</v>
      </c>
      <c r="W12" s="702">
        <f t="shared" si="2"/>
        <v>100</v>
      </c>
      <c r="X12" s="703"/>
      <c r="Y12" s="388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976"/>
      <c r="Q13" s="1343">
        <f t="shared" si="6"/>
        <v>111</v>
      </c>
      <c r="R13" s="701" t="s">
        <v>14</v>
      </c>
      <c r="S13" s="702">
        <f t="shared" si="0"/>
        <v>100</v>
      </c>
      <c r="T13" s="701" t="s">
        <v>14</v>
      </c>
      <c r="U13" s="702">
        <f t="shared" si="1"/>
        <v>100</v>
      </c>
      <c r="V13" s="701" t="s">
        <v>14</v>
      </c>
      <c r="W13" s="702">
        <f t="shared" si="2"/>
        <v>100</v>
      </c>
      <c r="X13" s="703"/>
      <c r="Y13" s="388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983" t="s">
        <v>1691</v>
      </c>
      <c r="Q14" s="1352" t="str">
        <f t="shared" si="6"/>
        <v>交通便捷度</v>
      </c>
      <c r="R14" s="705" t="s">
        <v>14</v>
      </c>
      <c r="S14" s="706">
        <f t="shared" si="0"/>
        <v>100</v>
      </c>
      <c r="T14" s="705" t="s">
        <v>14</v>
      </c>
      <c r="U14" s="706">
        <f t="shared" si="1"/>
        <v>100</v>
      </c>
      <c r="V14" s="705" t="s">
        <v>14</v>
      </c>
      <c r="W14" s="706">
        <f t="shared" si="2"/>
        <v>100</v>
      </c>
      <c r="X14" s="1355"/>
      <c r="Y14" s="398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984"/>
      <c r="Q15" s="1352"/>
      <c r="R15" s="705"/>
      <c r="S15" s="706"/>
      <c r="T15" s="705"/>
      <c r="U15" s="706"/>
      <c r="V15" s="705"/>
      <c r="W15" s="706"/>
      <c r="X15" s="1355"/>
      <c r="Y15" s="398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984"/>
      <c r="Q16" s="1352" t="str">
        <f>B16</f>
        <v>公共配套设施</v>
      </c>
      <c r="R16" s="705" t="s">
        <v>14</v>
      </c>
      <c r="S16" s="706">
        <f>F16</f>
        <v>100</v>
      </c>
      <c r="T16" s="705" t="s">
        <v>14</v>
      </c>
      <c r="U16" s="706">
        <f>H16</f>
        <v>100</v>
      </c>
      <c r="V16" s="705" t="s">
        <v>14</v>
      </c>
      <c r="W16" s="706">
        <f>J16</f>
        <v>100</v>
      </c>
      <c r="X16" s="1355"/>
      <c r="Y16" s="398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984"/>
      <c r="Q17" s="1352"/>
      <c r="R17" s="705"/>
      <c r="S17" s="706"/>
      <c r="T17" s="705"/>
      <c r="U17" s="706"/>
      <c r="V17" s="705"/>
      <c r="W17" s="706"/>
      <c r="X17" s="1355"/>
      <c r="Y17" s="398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984"/>
      <c r="Q18" s="1352" t="str">
        <f>B18</f>
        <v>基础设施水平</v>
      </c>
      <c r="R18" s="705" t="s">
        <v>14</v>
      </c>
      <c r="S18" s="706">
        <f>F18</f>
        <v>100</v>
      </c>
      <c r="T18" s="705" t="s">
        <v>14</v>
      </c>
      <c r="U18" s="706">
        <f>H18</f>
        <v>100</v>
      </c>
      <c r="V18" s="705" t="s">
        <v>14</v>
      </c>
      <c r="W18" s="706">
        <f>J18</f>
        <v>100</v>
      </c>
      <c r="X18" s="1355"/>
      <c r="Y18" s="398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984"/>
      <c r="Q19" s="1352"/>
      <c r="R19" s="705"/>
      <c r="S19" s="706"/>
      <c r="T19" s="705"/>
      <c r="U19" s="706"/>
      <c r="V19" s="705"/>
      <c r="W19" s="706"/>
      <c r="X19" s="1355"/>
      <c r="Y19" s="398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984"/>
      <c r="Q20" s="1352" t="str">
        <f>B20</f>
        <v>自然及人文环境</v>
      </c>
      <c r="R20" s="705" t="s">
        <v>14</v>
      </c>
      <c r="S20" s="706">
        <f>F20</f>
        <v>100</v>
      </c>
      <c r="T20" s="705" t="s">
        <v>14</v>
      </c>
      <c r="U20" s="706">
        <f>H20</f>
        <v>100</v>
      </c>
      <c r="V20" s="705" t="s">
        <v>14</v>
      </c>
      <c r="W20" s="706">
        <f>J20</f>
        <v>100</v>
      </c>
      <c r="X20" s="1355"/>
      <c r="Y20" s="398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984"/>
      <c r="Q21" s="1352"/>
      <c r="R21" s="705"/>
      <c r="S21" s="706"/>
      <c r="T21" s="705"/>
      <c r="U21" s="706"/>
      <c r="V21" s="705"/>
      <c r="W21" s="706"/>
      <c r="X21" s="1355"/>
      <c r="Y21" s="398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984"/>
      <c r="Q22" s="1352" t="str">
        <f>B22</f>
        <v>楼层</v>
      </c>
      <c r="R22" s="705" t="s">
        <v>14</v>
      </c>
      <c r="S22" s="706">
        <f>F22</f>
        <v>100</v>
      </c>
      <c r="T22" s="705" t="s">
        <v>14</v>
      </c>
      <c r="U22" s="706">
        <f>H22</f>
        <v>100</v>
      </c>
      <c r="V22" s="705" t="s">
        <v>14</v>
      </c>
      <c r="W22" s="706">
        <f>J22</f>
        <v>100</v>
      </c>
      <c r="X22" s="1355"/>
      <c r="Y22" s="398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984"/>
      <c r="Q23" s="1352">
        <f>B23</f>
        <v>111</v>
      </c>
      <c r="R23" s="705" t="s">
        <v>14</v>
      </c>
      <c r="S23" s="706">
        <f>F23</f>
        <v>100</v>
      </c>
      <c r="T23" s="705" t="s">
        <v>14</v>
      </c>
      <c r="U23" s="706">
        <f>H23</f>
        <v>100</v>
      </c>
      <c r="V23" s="705" t="s">
        <v>14</v>
      </c>
      <c r="W23" s="706">
        <f>J23</f>
        <v>100</v>
      </c>
      <c r="X23" s="1355"/>
      <c r="Y23" s="398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984"/>
      <c r="Q24" s="1352">
        <f t="shared" ref="Q24:Q34" si="11">B24</f>
        <v>111</v>
      </c>
      <c r="R24" s="705" t="s">
        <v>14</v>
      </c>
      <c r="S24" s="706">
        <f>F24</f>
        <v>100</v>
      </c>
      <c r="T24" s="705" t="s">
        <v>14</v>
      </c>
      <c r="U24" s="706">
        <f>H24</f>
        <v>100</v>
      </c>
      <c r="V24" s="705" t="s">
        <v>14</v>
      </c>
      <c r="W24" s="706">
        <f>J24</f>
        <v>100</v>
      </c>
      <c r="X24" s="1355"/>
      <c r="Y24" s="398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984"/>
      <c r="Q25" s="1343">
        <f t="shared" si="11"/>
        <v>111</v>
      </c>
      <c r="R25" s="701" t="s">
        <v>14</v>
      </c>
      <c r="S25" s="702">
        <f>F25</f>
        <v>100</v>
      </c>
      <c r="T25" s="701" t="s">
        <v>14</v>
      </c>
      <c r="U25" s="702">
        <f>H25</f>
        <v>100</v>
      </c>
      <c r="V25" s="701" t="s">
        <v>14</v>
      </c>
      <c r="W25" s="702">
        <f>J25</f>
        <v>100</v>
      </c>
      <c r="X25" s="703"/>
      <c r="Y25" s="398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413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98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988"/>
      <c r="Q27" s="707" t="str">
        <f t="shared" si="11"/>
        <v>成新率</v>
      </c>
      <c r="R27" s="708" t="s">
        <v>14</v>
      </c>
      <c r="S27" s="709" t="e">
        <f t="shared" si="12"/>
        <v>#N/A</v>
      </c>
      <c r="T27" s="708" t="s">
        <v>14</v>
      </c>
      <c r="U27" s="709" t="e">
        <f t="shared" si="13"/>
        <v>#N/A</v>
      </c>
      <c r="V27" s="708" t="s">
        <v>14</v>
      </c>
      <c r="W27" s="709" t="e">
        <f t="shared" si="14"/>
        <v>#N/A</v>
      </c>
      <c r="X27" s="710"/>
      <c r="Y27" s="398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988"/>
      <c r="Q28" s="1352" t="str">
        <f t="shared" si="11"/>
        <v>物业等级</v>
      </c>
      <c r="R28" s="705" t="s">
        <v>14</v>
      </c>
      <c r="S28" s="706">
        <f t="shared" si="12"/>
        <v>100</v>
      </c>
      <c r="T28" s="705" t="s">
        <v>14</v>
      </c>
      <c r="U28" s="706">
        <f t="shared" si="13"/>
        <v>100</v>
      </c>
      <c r="V28" s="705" t="s">
        <v>14</v>
      </c>
      <c r="W28" s="706">
        <f t="shared" si="14"/>
        <v>100</v>
      </c>
      <c r="X28" s="1355"/>
      <c r="Y28" s="398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988"/>
      <c r="Q29" s="1352" t="str">
        <f t="shared" si="11"/>
        <v>有无电梯</v>
      </c>
      <c r="R29" s="705" t="s">
        <v>14</v>
      </c>
      <c r="S29" s="706">
        <f t="shared" si="12"/>
        <v>100</v>
      </c>
      <c r="T29" s="705" t="s">
        <v>14</v>
      </c>
      <c r="U29" s="706">
        <f t="shared" si="13"/>
        <v>100</v>
      </c>
      <c r="V29" s="705" t="s">
        <v>14</v>
      </c>
      <c r="W29" s="706">
        <f t="shared" si="14"/>
        <v>100</v>
      </c>
      <c r="X29" s="1355"/>
      <c r="Y29" s="398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988"/>
      <c r="Q30" s="1352" t="str">
        <f t="shared" si="11"/>
        <v>建筑面积</v>
      </c>
      <c r="R30" s="705" t="s">
        <v>14</v>
      </c>
      <c r="S30" s="706" t="e">
        <f t="shared" si="12"/>
        <v>#N/A</v>
      </c>
      <c r="T30" s="705" t="s">
        <v>14</v>
      </c>
      <c r="U30" s="706" t="e">
        <f t="shared" si="13"/>
        <v>#N/A</v>
      </c>
      <c r="V30" s="705" t="s">
        <v>14</v>
      </c>
      <c r="W30" s="706" t="e">
        <f t="shared" si="14"/>
        <v>#N/A</v>
      </c>
      <c r="X30" s="1355"/>
      <c r="Y30" s="398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988"/>
      <c r="Q31" s="1343" t="str">
        <f t="shared" si="11"/>
        <v>是否封闭</v>
      </c>
      <c r="R31" s="701" t="s">
        <v>14</v>
      </c>
      <c r="S31" s="702">
        <f t="shared" si="12"/>
        <v>100</v>
      </c>
      <c r="T31" s="701" t="s">
        <v>14</v>
      </c>
      <c r="U31" s="702">
        <f t="shared" si="13"/>
        <v>100</v>
      </c>
      <c r="V31" s="701" t="s">
        <v>14</v>
      </c>
      <c r="W31" s="702">
        <f t="shared" si="14"/>
        <v>100</v>
      </c>
      <c r="X31" s="703"/>
      <c r="Y31" s="398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988" t="s">
        <v>1696</v>
      </c>
      <c r="Q32" s="1352">
        <f t="shared" si="11"/>
        <v>111</v>
      </c>
      <c r="R32" s="705" t="s">
        <v>14</v>
      </c>
      <c r="S32" s="706">
        <f t="shared" si="12"/>
        <v>100</v>
      </c>
      <c r="T32" s="705" t="s">
        <v>14</v>
      </c>
      <c r="U32" s="706">
        <f t="shared" si="13"/>
        <v>100</v>
      </c>
      <c r="V32" s="705" t="s">
        <v>14</v>
      </c>
      <c r="W32" s="706">
        <f t="shared" si="14"/>
        <v>100</v>
      </c>
      <c r="X32" s="1355"/>
      <c r="Y32" s="398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988"/>
      <c r="Q33" s="1352">
        <f t="shared" si="11"/>
        <v>111</v>
      </c>
      <c r="R33" s="705" t="s">
        <v>14</v>
      </c>
      <c r="S33" s="706">
        <f t="shared" si="12"/>
        <v>100</v>
      </c>
      <c r="T33" s="705" t="s">
        <v>14</v>
      </c>
      <c r="U33" s="706">
        <f t="shared" si="13"/>
        <v>100</v>
      </c>
      <c r="V33" s="705" t="s">
        <v>14</v>
      </c>
      <c r="W33" s="706">
        <f t="shared" si="14"/>
        <v>100</v>
      </c>
      <c r="X33" s="1355"/>
      <c r="Y33" s="398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988"/>
      <c r="Q34" s="1352">
        <f t="shared" si="11"/>
        <v>111</v>
      </c>
      <c r="R34" s="705" t="s">
        <v>14</v>
      </c>
      <c r="S34" s="706">
        <f t="shared" si="12"/>
        <v>100</v>
      </c>
      <c r="T34" s="705" t="s">
        <v>14</v>
      </c>
      <c r="U34" s="706">
        <f t="shared" si="13"/>
        <v>100</v>
      </c>
      <c r="V34" s="705" t="s">
        <v>14</v>
      </c>
      <c r="W34" s="706">
        <f t="shared" si="14"/>
        <v>100</v>
      </c>
      <c r="X34" s="1355"/>
      <c r="Y34" s="398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976" t="str">
        <f>A35</f>
        <v>成交单价（元/平方米）</v>
      </c>
      <c r="Q35" s="3976"/>
      <c r="R35" s="3977">
        <f>E35</f>
        <v>0</v>
      </c>
      <c r="S35" s="3977"/>
      <c r="T35" s="3977">
        <f>G35</f>
        <v>0</v>
      </c>
      <c r="U35" s="3977"/>
      <c r="V35" s="3977">
        <f>I35</f>
        <v>0</v>
      </c>
      <c r="W35" s="397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976" t="str">
        <f>A36</f>
        <v>比较价值（元/平方米）</v>
      </c>
      <c r="Q36" s="3976"/>
      <c r="R36" s="3977" t="e">
        <f>IF(F1="售价",ROUND(PRODUCT(R35,AA7:AA34),0),ROUND(PRODUCT(R35,AA7:AA34),1))</f>
        <v>#DIV/0!</v>
      </c>
      <c r="S36" s="3977"/>
      <c r="T36" s="3977" t="e">
        <f>IF(F1="售价",ROUND(PRODUCT(T35,AB7:AB34),0),ROUND(PRODUCT(T35,AB7:AB34),1))</f>
        <v>#DIV/0!</v>
      </c>
      <c r="U36" s="3977"/>
      <c r="V36" s="3977" t="e">
        <f>IF(F1="售价",ROUND(PRODUCT(V35,AC7:AC34),0),ROUND(PRODUCT(V35,AC7:AC34),1))</f>
        <v>#DIV/0!</v>
      </c>
      <c r="W36" s="397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4122" t="str">
        <f>A37</f>
        <v>估价对象XX用房的比较价值（楼面单价，元/平方米）</v>
      </c>
      <c r="Q37" s="4123"/>
      <c r="R37" s="4133" t="e">
        <f>IF(F1="售价",ROUND(IF(D36="简单平均",AVERAGE(R36:W36),R36*F36+T36*H36+V36*J36),0),ROUND(IF(D36="简单平均",AVERAGE(R36:V36),R36*F36+T36*H36+V36*J36),1))</f>
        <v>#DIV/0!</v>
      </c>
      <c r="S37" s="4133"/>
      <c r="T37" s="4133"/>
      <c r="U37" s="4133"/>
      <c r="V37" s="4133"/>
      <c r="W37" s="413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44" sqref="H4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993" t="s">
        <v>1770</v>
      </c>
      <c r="D4" s="3994"/>
      <c r="E4" s="3995" t="s">
        <v>1771</v>
      </c>
      <c r="F4" s="3996"/>
      <c r="G4" s="3993" t="s">
        <v>1772</v>
      </c>
      <c r="H4" s="3994"/>
      <c r="I4" s="3993" t="s">
        <v>1773</v>
      </c>
      <c r="J4" s="3994"/>
      <c r="K4" s="559" t="s">
        <v>1774</v>
      </c>
      <c r="L4" s="2715"/>
      <c r="M4" s="2716"/>
      <c r="N4" s="2716"/>
      <c r="O4" s="2716"/>
      <c r="P4" s="4126" t="s">
        <v>1775</v>
      </c>
      <c r="Q4" s="4127"/>
      <c r="R4" s="4130" t="s">
        <v>1771</v>
      </c>
      <c r="S4" s="4131"/>
      <c r="T4" s="4130" t="s">
        <v>1772</v>
      </c>
      <c r="U4" s="4131"/>
      <c r="V4" s="4010" t="s">
        <v>1773</v>
      </c>
      <c r="W4" s="4010"/>
      <c r="X4" s="1355"/>
      <c r="Y4" s="4130" t="s">
        <v>1775</v>
      </c>
      <c r="Z4" s="4131"/>
      <c r="AA4" s="4125" t="s">
        <v>1771</v>
      </c>
      <c r="AB4" s="4022" t="s">
        <v>1772</v>
      </c>
      <c r="AC4" s="4125" t="s">
        <v>1773</v>
      </c>
    </row>
    <row r="5" spans="1:30" ht="15">
      <c r="A5" s="358"/>
      <c r="B5" s="359"/>
      <c r="C5" s="4013" t="s">
        <v>1673</v>
      </c>
      <c r="D5" s="4014"/>
      <c r="E5" s="4024" t="s">
        <v>1674</v>
      </c>
      <c r="F5" s="4025"/>
      <c r="G5" s="4013" t="s">
        <v>1675</v>
      </c>
      <c r="H5" s="4014"/>
      <c r="I5" s="4013" t="s">
        <v>1676</v>
      </c>
      <c r="J5" s="4014"/>
      <c r="K5" s="559"/>
      <c r="L5" s="2715"/>
      <c r="M5" s="2716"/>
      <c r="N5" s="2716"/>
      <c r="O5" s="2716"/>
      <c r="P5" s="4128"/>
      <c r="Q5" s="4000"/>
      <c r="R5" s="4005"/>
      <c r="S5" s="4006"/>
      <c r="T5" s="4005"/>
      <c r="U5" s="4006"/>
      <c r="V5" s="4010"/>
      <c r="W5" s="4010"/>
      <c r="X5" s="1355"/>
      <c r="Y5" s="4005"/>
      <c r="Z5" s="4006"/>
      <c r="AA5" s="4022"/>
      <c r="AB5" s="4022"/>
      <c r="AC5" s="4022"/>
    </row>
    <row r="6" spans="1:30" ht="15.75" thickBot="1">
      <c r="A6" s="360"/>
      <c r="B6" s="361"/>
      <c r="C6" s="4011" t="s">
        <v>1677</v>
      </c>
      <c r="D6" s="4012"/>
      <c r="E6" s="4019" t="s">
        <v>1677</v>
      </c>
      <c r="F6" s="4020"/>
      <c r="G6" s="4011" t="s">
        <v>1677</v>
      </c>
      <c r="H6" s="4012"/>
      <c r="I6" s="4011" t="s">
        <v>1677</v>
      </c>
      <c r="J6" s="4012"/>
      <c r="K6" s="559" t="s">
        <v>1678</v>
      </c>
      <c r="L6" s="2715"/>
      <c r="M6" s="2716"/>
      <c r="N6" s="2716"/>
      <c r="O6" s="2716"/>
      <c r="P6" s="4129"/>
      <c r="Q6" s="4002"/>
      <c r="R6" s="4005"/>
      <c r="S6" s="4006"/>
      <c r="T6" s="4007"/>
      <c r="U6" s="4008"/>
      <c r="V6" s="4010"/>
      <c r="W6" s="4010"/>
      <c r="X6" s="1355"/>
      <c r="Y6" s="4007"/>
      <c r="Z6" s="4008"/>
      <c r="AA6" s="4023"/>
      <c r="AB6" s="4023"/>
      <c r="AC6" s="4023"/>
    </row>
    <row r="7" spans="1:30" s="108" customFormat="1" ht="15.75" thickBot="1">
      <c r="A7" s="362" t="s">
        <v>1679</v>
      </c>
      <c r="B7" s="363"/>
      <c r="C7" s="364">
        <f>'数据-取费表'!B2</f>
        <v>45530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4017" t="s">
        <v>1680</v>
      </c>
      <c r="Q7" s="4018"/>
      <c r="R7" s="701" t="s">
        <v>14</v>
      </c>
      <c r="S7" s="702">
        <f t="shared" ref="S7:S15" si="0">F7</f>
        <v>0</v>
      </c>
      <c r="T7" s="701" t="s">
        <v>14</v>
      </c>
      <c r="U7" s="702">
        <f t="shared" ref="U7:U15" si="1">H7</f>
        <v>0</v>
      </c>
      <c r="V7" s="701" t="s">
        <v>14</v>
      </c>
      <c r="W7" s="702">
        <f t="shared" ref="W7:W15" si="2">J7</f>
        <v>0</v>
      </c>
      <c r="X7" s="703"/>
      <c r="Y7" s="4017" t="s">
        <v>1680</v>
      </c>
      <c r="Z7" s="401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4017" t="s">
        <v>1683</v>
      </c>
      <c r="Q8" s="4016"/>
      <c r="R8" s="701" t="s">
        <v>14</v>
      </c>
      <c r="S8" s="702">
        <f t="shared" si="0"/>
        <v>0</v>
      </c>
      <c r="T8" s="701" t="s">
        <v>14</v>
      </c>
      <c r="U8" s="702">
        <f t="shared" si="1"/>
        <v>0</v>
      </c>
      <c r="V8" s="701" t="s">
        <v>14</v>
      </c>
      <c r="W8" s="702">
        <f t="shared" si="2"/>
        <v>0</v>
      </c>
      <c r="X8" s="703"/>
      <c r="Y8" s="4017" t="s">
        <v>1683</v>
      </c>
      <c r="Z8" s="401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976" t="s">
        <v>1686</v>
      </c>
      <c r="Q9" s="1343" t="str">
        <f t="shared" ref="Q9:Q15" si="6">B9</f>
        <v>用途</v>
      </c>
      <c r="R9" s="701" t="s">
        <v>14</v>
      </c>
      <c r="S9" s="702">
        <f t="shared" si="0"/>
        <v>100</v>
      </c>
      <c r="T9" s="701" t="s">
        <v>14</v>
      </c>
      <c r="U9" s="702">
        <f t="shared" si="1"/>
        <v>100</v>
      </c>
      <c r="V9" s="701" t="s">
        <v>14</v>
      </c>
      <c r="W9" s="702">
        <f t="shared" si="2"/>
        <v>100</v>
      </c>
      <c r="X9" s="703"/>
      <c r="Y9" s="388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9"/>
      <c r="M10" s="2720"/>
      <c r="N10" s="2720"/>
      <c r="O10" s="2773"/>
      <c r="P10" s="3976"/>
      <c r="Q10" s="1343" t="str">
        <f t="shared" si="6"/>
        <v>土地使用年限（年）</v>
      </c>
      <c r="R10" s="701" t="s">
        <v>14</v>
      </c>
      <c r="S10" s="702">
        <f t="shared" si="0"/>
        <v>117</v>
      </c>
      <c r="T10" s="701" t="s">
        <v>14</v>
      </c>
      <c r="U10" s="702">
        <f t="shared" si="1"/>
        <v>117</v>
      </c>
      <c r="V10" s="701" t="s">
        <v>14</v>
      </c>
      <c r="W10" s="702">
        <f t="shared" si="2"/>
        <v>117</v>
      </c>
      <c r="X10" s="703"/>
      <c r="Y10" s="3882"/>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976"/>
      <c r="Q11" s="1343" t="str">
        <f t="shared" si="6"/>
        <v>容积率</v>
      </c>
      <c r="R11" s="701" t="s">
        <v>14</v>
      </c>
      <c r="S11" s="702" t="e">
        <f t="shared" si="0"/>
        <v>#N/A</v>
      </c>
      <c r="T11" s="701" t="s">
        <v>14</v>
      </c>
      <c r="U11" s="702" t="e">
        <f t="shared" si="1"/>
        <v>#N/A</v>
      </c>
      <c r="V11" s="701" t="s">
        <v>14</v>
      </c>
      <c r="W11" s="702" t="e">
        <f t="shared" si="2"/>
        <v>#N/A</v>
      </c>
      <c r="X11" s="703"/>
      <c r="Y11" s="388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976"/>
      <c r="Q12" s="1343" t="str">
        <f t="shared" si="6"/>
        <v>配建</v>
      </c>
      <c r="R12" s="701" t="s">
        <v>14</v>
      </c>
      <c r="S12" s="702">
        <f t="shared" si="0"/>
        <v>100</v>
      </c>
      <c r="T12" s="701" t="s">
        <v>14</v>
      </c>
      <c r="U12" s="702">
        <f t="shared" si="1"/>
        <v>100</v>
      </c>
      <c r="V12" s="701" t="s">
        <v>14</v>
      </c>
      <c r="W12" s="702">
        <f t="shared" si="2"/>
        <v>100</v>
      </c>
      <c r="X12" s="703"/>
      <c r="Y12" s="388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976"/>
      <c r="Q13" s="1343">
        <f t="shared" si="6"/>
        <v>111</v>
      </c>
      <c r="R13" s="701" t="s">
        <v>14</v>
      </c>
      <c r="S13" s="702">
        <f t="shared" si="0"/>
        <v>100</v>
      </c>
      <c r="T13" s="701" t="s">
        <v>14</v>
      </c>
      <c r="U13" s="702">
        <f t="shared" si="1"/>
        <v>100</v>
      </c>
      <c r="V13" s="701" t="s">
        <v>14</v>
      </c>
      <c r="W13" s="702">
        <f t="shared" si="2"/>
        <v>100</v>
      </c>
      <c r="X13" s="703"/>
      <c r="Y13" s="388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976"/>
      <c r="Q14" s="1343">
        <f t="shared" si="6"/>
        <v>111</v>
      </c>
      <c r="R14" s="701" t="s">
        <v>14</v>
      </c>
      <c r="S14" s="702">
        <f t="shared" si="0"/>
        <v>100</v>
      </c>
      <c r="T14" s="701" t="s">
        <v>14</v>
      </c>
      <c r="U14" s="702">
        <f t="shared" si="1"/>
        <v>100</v>
      </c>
      <c r="V14" s="701" t="s">
        <v>14</v>
      </c>
      <c r="W14" s="702">
        <f t="shared" si="2"/>
        <v>100</v>
      </c>
      <c r="X14" s="703"/>
      <c r="Y14" s="388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983" t="s">
        <v>1691</v>
      </c>
      <c r="Q15" s="1352" t="str">
        <f t="shared" si="6"/>
        <v>居住社区成熟度</v>
      </c>
      <c r="R15" s="705" t="s">
        <v>14</v>
      </c>
      <c r="S15" s="706">
        <f t="shared" si="0"/>
        <v>100</v>
      </c>
      <c r="T15" s="705" t="s">
        <v>14</v>
      </c>
      <c r="U15" s="706">
        <f t="shared" si="1"/>
        <v>100</v>
      </c>
      <c r="V15" s="705" t="s">
        <v>14</v>
      </c>
      <c r="W15" s="706">
        <f t="shared" si="2"/>
        <v>100</v>
      </c>
      <c r="X15" s="1355"/>
      <c r="Y15" s="398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984"/>
      <c r="Q16" s="1352"/>
      <c r="R16" s="705"/>
      <c r="S16" s="706"/>
      <c r="T16" s="705"/>
      <c r="U16" s="706"/>
      <c r="V16" s="705"/>
      <c r="W16" s="706"/>
      <c r="X16" s="1355"/>
      <c r="Y16" s="398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984"/>
      <c r="Q17" s="1352" t="str">
        <f>B17</f>
        <v>商业繁华度</v>
      </c>
      <c r="R17" s="705" t="s">
        <v>14</v>
      </c>
      <c r="S17" s="706">
        <f>F17</f>
        <v>100</v>
      </c>
      <c r="T17" s="705" t="s">
        <v>14</v>
      </c>
      <c r="U17" s="706">
        <f>H17</f>
        <v>100</v>
      </c>
      <c r="V17" s="705" t="s">
        <v>14</v>
      </c>
      <c r="W17" s="706">
        <f>J17</f>
        <v>100</v>
      </c>
      <c r="X17" s="1355"/>
      <c r="Y17" s="398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984"/>
      <c r="Q18" s="1352"/>
      <c r="R18" s="705"/>
      <c r="S18" s="706"/>
      <c r="T18" s="705"/>
      <c r="U18" s="706"/>
      <c r="V18" s="705"/>
      <c r="W18" s="706"/>
      <c r="X18" s="1355"/>
      <c r="Y18" s="398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984"/>
      <c r="Q19" s="1352" t="str">
        <f>B19</f>
        <v>办公集聚程度</v>
      </c>
      <c r="R19" s="705" t="s">
        <v>14</v>
      </c>
      <c r="S19" s="706">
        <f>F19</f>
        <v>100</v>
      </c>
      <c r="T19" s="705" t="s">
        <v>14</v>
      </c>
      <c r="U19" s="706">
        <f>H19</f>
        <v>100</v>
      </c>
      <c r="V19" s="705" t="s">
        <v>14</v>
      </c>
      <c r="W19" s="706">
        <f>J19</f>
        <v>100</v>
      </c>
      <c r="X19" s="1355"/>
      <c r="Y19" s="398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984"/>
      <c r="Q20" s="1352"/>
      <c r="R20" s="705"/>
      <c r="S20" s="706"/>
      <c r="T20" s="705"/>
      <c r="U20" s="706"/>
      <c r="V20" s="705"/>
      <c r="W20" s="706"/>
      <c r="X20" s="1355"/>
      <c r="Y20" s="398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984"/>
      <c r="Q21" s="1352" t="str">
        <f>B21</f>
        <v>交通便捷度</v>
      </c>
      <c r="R21" s="705" t="s">
        <v>14</v>
      </c>
      <c r="S21" s="706">
        <f>F21</f>
        <v>100</v>
      </c>
      <c r="T21" s="705" t="s">
        <v>14</v>
      </c>
      <c r="U21" s="706">
        <f>H21</f>
        <v>100</v>
      </c>
      <c r="V21" s="705" t="s">
        <v>14</v>
      </c>
      <c r="W21" s="706">
        <f>J21</f>
        <v>100</v>
      </c>
      <c r="X21" s="1355"/>
      <c r="Y21" s="398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984"/>
      <c r="Q22" s="1352"/>
      <c r="R22" s="705"/>
      <c r="S22" s="706"/>
      <c r="T22" s="705"/>
      <c r="U22" s="706"/>
      <c r="V22" s="705"/>
      <c r="W22" s="706"/>
      <c r="X22" s="1355"/>
      <c r="Y22" s="398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984"/>
      <c r="Q23" s="1352" t="str">
        <f t="shared" ref="Q23:Q37" si="8">B23</f>
        <v>区域土地利用方向</v>
      </c>
      <c r="R23" s="705" t="s">
        <v>14</v>
      </c>
      <c r="S23" s="706">
        <f>F23</f>
        <v>100</v>
      </c>
      <c r="T23" s="705" t="s">
        <v>14</v>
      </c>
      <c r="U23" s="706">
        <f>H23</f>
        <v>100</v>
      </c>
      <c r="V23" s="705" t="s">
        <v>14</v>
      </c>
      <c r="W23" s="706">
        <f>J23</f>
        <v>100</v>
      </c>
      <c r="X23" s="1355"/>
      <c r="Y23" s="398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984"/>
      <c r="Q24" s="1352"/>
      <c r="R24" s="705"/>
      <c r="S24" s="706"/>
      <c r="T24" s="705"/>
      <c r="U24" s="706"/>
      <c r="V24" s="705"/>
      <c r="W24" s="706"/>
      <c r="X24" s="1355"/>
      <c r="Y24" s="398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984"/>
      <c r="Q25" s="1352" t="str">
        <f t="shared" si="8"/>
        <v>自然及人文环境状况</v>
      </c>
      <c r="R25" s="705" t="s">
        <v>14</v>
      </c>
      <c r="S25" s="706">
        <f>F25</f>
        <v>100</v>
      </c>
      <c r="T25" s="705" t="s">
        <v>14</v>
      </c>
      <c r="U25" s="706">
        <f>H25</f>
        <v>100</v>
      </c>
      <c r="V25" s="705" t="s">
        <v>14</v>
      </c>
      <c r="W25" s="706">
        <f>J25</f>
        <v>100</v>
      </c>
      <c r="X25" s="1355"/>
      <c r="Y25" s="398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984"/>
      <c r="Q26" s="1352"/>
      <c r="R26" s="705"/>
      <c r="S26" s="706"/>
      <c r="T26" s="705"/>
      <c r="U26" s="706"/>
      <c r="V26" s="705"/>
      <c r="W26" s="706"/>
      <c r="X26" s="1355"/>
      <c r="Y26" s="398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984"/>
      <c r="Q27" s="1343" t="str">
        <f t="shared" si="8"/>
        <v>公共配套设施</v>
      </c>
      <c r="R27" s="701" t="s">
        <v>14</v>
      </c>
      <c r="S27" s="702">
        <f>F27</f>
        <v>100</v>
      </c>
      <c r="T27" s="701" t="s">
        <v>14</v>
      </c>
      <c r="U27" s="702">
        <f>H27</f>
        <v>100</v>
      </c>
      <c r="V27" s="701" t="s">
        <v>14</v>
      </c>
      <c r="W27" s="702">
        <f>J27</f>
        <v>100</v>
      </c>
      <c r="X27" s="703"/>
      <c r="Y27" s="398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984"/>
      <c r="Q28" s="1343"/>
      <c r="R28" s="701"/>
      <c r="S28" s="702"/>
      <c r="T28" s="701"/>
      <c r="U28" s="702"/>
      <c r="V28" s="701"/>
      <c r="W28" s="702"/>
      <c r="X28" s="703"/>
      <c r="Y28" s="398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984"/>
      <c r="Q29" s="1343" t="str">
        <f t="shared" ref="Q29" si="9">B29</f>
        <v>基础设施水平</v>
      </c>
      <c r="R29" s="701" t="s">
        <v>14</v>
      </c>
      <c r="S29" s="702">
        <f>F29</f>
        <v>100</v>
      </c>
      <c r="T29" s="701" t="s">
        <v>14</v>
      </c>
      <c r="U29" s="702">
        <f>H29</f>
        <v>100</v>
      </c>
      <c r="V29" s="701" t="s">
        <v>14</v>
      </c>
      <c r="W29" s="702">
        <f>J29</f>
        <v>100</v>
      </c>
      <c r="X29" s="703"/>
      <c r="Y29" s="398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984"/>
      <c r="Q30" s="1343"/>
      <c r="R30" s="701"/>
      <c r="S30" s="702"/>
      <c r="T30" s="701"/>
      <c r="U30" s="702"/>
      <c r="V30" s="701"/>
      <c r="W30" s="702"/>
      <c r="X30" s="703"/>
      <c r="Y30" s="398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98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98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984"/>
      <c r="Q32" s="1352" t="str">
        <f t="shared" si="8"/>
        <v>毗邻道路的类型与等级</v>
      </c>
      <c r="R32" s="705" t="s">
        <v>14</v>
      </c>
      <c r="S32" s="706">
        <f t="shared" si="10"/>
        <v>100</v>
      </c>
      <c r="T32" s="705" t="s">
        <v>14</v>
      </c>
      <c r="U32" s="706">
        <f t="shared" si="11"/>
        <v>100</v>
      </c>
      <c r="V32" s="705" t="s">
        <v>14</v>
      </c>
      <c r="W32" s="706">
        <f t="shared" si="12"/>
        <v>100</v>
      </c>
      <c r="X32" s="1355"/>
      <c r="Y32" s="398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984"/>
      <c r="Q33" s="1352"/>
      <c r="R33" s="705"/>
      <c r="S33" s="706"/>
      <c r="T33" s="705"/>
      <c r="U33" s="706"/>
      <c r="V33" s="705"/>
      <c r="W33" s="706"/>
      <c r="X33" s="1355"/>
      <c r="Y33" s="398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984"/>
      <c r="Q34" s="1352" t="str">
        <f t="shared" si="8"/>
        <v>土地级别</v>
      </c>
      <c r="R34" s="705" t="s">
        <v>14</v>
      </c>
      <c r="S34" s="706">
        <f t="shared" si="10"/>
        <v>100</v>
      </c>
      <c r="T34" s="705" t="s">
        <v>14</v>
      </c>
      <c r="U34" s="706">
        <f t="shared" si="11"/>
        <v>100</v>
      </c>
      <c r="V34" s="705" t="s">
        <v>14</v>
      </c>
      <c r="W34" s="706">
        <f t="shared" si="12"/>
        <v>100</v>
      </c>
      <c r="X34" s="1355"/>
      <c r="Y34" s="398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984"/>
      <c r="Q35" s="1352">
        <f t="shared" si="8"/>
        <v>111</v>
      </c>
      <c r="R35" s="705" t="s">
        <v>14</v>
      </c>
      <c r="S35" s="706">
        <f t="shared" si="10"/>
        <v>100</v>
      </c>
      <c r="T35" s="705" t="s">
        <v>14</v>
      </c>
      <c r="U35" s="706">
        <f t="shared" si="11"/>
        <v>100</v>
      </c>
      <c r="V35" s="705" t="s">
        <v>14</v>
      </c>
      <c r="W35" s="706">
        <f t="shared" si="12"/>
        <v>100</v>
      </c>
      <c r="X35" s="1355"/>
      <c r="Y35" s="398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4132" t="s">
        <v>1696</v>
      </c>
      <c r="Q36" s="1352">
        <f t="shared" si="8"/>
        <v>111</v>
      </c>
      <c r="R36" s="705" t="s">
        <v>14</v>
      </c>
      <c r="S36" s="706">
        <f t="shared" si="10"/>
        <v>100</v>
      </c>
      <c r="T36" s="705" t="s">
        <v>14</v>
      </c>
      <c r="U36" s="706">
        <f t="shared" si="11"/>
        <v>100</v>
      </c>
      <c r="V36" s="705" t="s">
        <v>14</v>
      </c>
      <c r="W36" s="706">
        <f t="shared" si="12"/>
        <v>100</v>
      </c>
      <c r="X36" s="1355"/>
      <c r="Y36" s="398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988"/>
      <c r="Q37" s="1352">
        <f t="shared" si="8"/>
        <v>111</v>
      </c>
      <c r="R37" s="708" t="s">
        <v>14</v>
      </c>
      <c r="S37" s="709">
        <f t="shared" si="10"/>
        <v>100</v>
      </c>
      <c r="T37" s="708" t="s">
        <v>14</v>
      </c>
      <c r="U37" s="709">
        <f t="shared" si="11"/>
        <v>100</v>
      </c>
      <c r="V37" s="708" t="s">
        <v>14</v>
      </c>
      <c r="W37" s="709">
        <f t="shared" si="12"/>
        <v>100</v>
      </c>
      <c r="X37" s="710"/>
      <c r="Y37" s="398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988"/>
      <c r="Q38" s="1352" t="str">
        <f>B38</f>
        <v>宗地面积</v>
      </c>
      <c r="R38" s="705" t="s">
        <v>14</v>
      </c>
      <c r="S38" s="706" t="e">
        <f t="shared" si="10"/>
        <v>#N/A</v>
      </c>
      <c r="T38" s="705" t="s">
        <v>14</v>
      </c>
      <c r="U38" s="706" t="e">
        <f t="shared" si="11"/>
        <v>#N/A</v>
      </c>
      <c r="V38" s="705" t="s">
        <v>14</v>
      </c>
      <c r="W38" s="706" t="e">
        <f t="shared" si="12"/>
        <v>#N/A</v>
      </c>
      <c r="X38" s="1355"/>
      <c r="Y38" s="398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988"/>
      <c r="Q39" s="1352" t="str">
        <f t="shared" ref="Q39:Q45" si="14">B39</f>
        <v>宗地形状</v>
      </c>
      <c r="R39" s="705" t="s">
        <v>14</v>
      </c>
      <c r="S39" s="706">
        <f t="shared" si="10"/>
        <v>100</v>
      </c>
      <c r="T39" s="705" t="s">
        <v>14</v>
      </c>
      <c r="U39" s="706">
        <f t="shared" si="11"/>
        <v>100</v>
      </c>
      <c r="V39" s="705" t="s">
        <v>14</v>
      </c>
      <c r="W39" s="706">
        <f t="shared" si="12"/>
        <v>100</v>
      </c>
      <c r="X39" s="1355"/>
      <c r="Y39" s="398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988"/>
      <c r="Q40" s="1352" t="str">
        <f t="shared" si="14"/>
        <v>临街宽度及深度</v>
      </c>
      <c r="R40" s="705" t="s">
        <v>14</v>
      </c>
      <c r="S40" s="706">
        <f t="shared" si="10"/>
        <v>100</v>
      </c>
      <c r="T40" s="705" t="s">
        <v>14</v>
      </c>
      <c r="U40" s="706">
        <f t="shared" si="11"/>
        <v>100</v>
      </c>
      <c r="V40" s="705" t="s">
        <v>14</v>
      </c>
      <c r="W40" s="706">
        <f t="shared" si="12"/>
        <v>100</v>
      </c>
      <c r="X40" s="1355"/>
      <c r="Y40" s="398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988"/>
      <c r="Q41" s="1352" t="str">
        <f t="shared" si="14"/>
        <v>宗地开发程度</v>
      </c>
      <c r="R41" s="701" t="s">
        <v>14</v>
      </c>
      <c r="S41" s="702">
        <f t="shared" si="10"/>
        <v>100</v>
      </c>
      <c r="T41" s="701" t="s">
        <v>14</v>
      </c>
      <c r="U41" s="702">
        <f t="shared" si="11"/>
        <v>100</v>
      </c>
      <c r="V41" s="701" t="s">
        <v>14</v>
      </c>
      <c r="W41" s="702">
        <f t="shared" si="12"/>
        <v>100</v>
      </c>
      <c r="X41" s="703"/>
      <c r="Y41" s="398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988" t="s">
        <v>1696</v>
      </c>
      <c r="Q42" s="1352" t="str">
        <f t="shared" si="14"/>
        <v>工程地质条件</v>
      </c>
      <c r="R42" s="705" t="s">
        <v>14</v>
      </c>
      <c r="S42" s="706">
        <f t="shared" si="10"/>
        <v>100</v>
      </c>
      <c r="T42" s="705" t="s">
        <v>14</v>
      </c>
      <c r="U42" s="706">
        <f t="shared" si="11"/>
        <v>100</v>
      </c>
      <c r="V42" s="705" t="s">
        <v>14</v>
      </c>
      <c r="W42" s="706">
        <f t="shared" si="12"/>
        <v>100</v>
      </c>
      <c r="X42" s="1355"/>
      <c r="Y42" s="398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988"/>
      <c r="Q43" s="1352">
        <f t="shared" si="14"/>
        <v>111</v>
      </c>
      <c r="R43" s="705" t="s">
        <v>14</v>
      </c>
      <c r="S43" s="706">
        <f t="shared" si="10"/>
        <v>100</v>
      </c>
      <c r="T43" s="705" t="s">
        <v>14</v>
      </c>
      <c r="U43" s="706">
        <f t="shared" si="11"/>
        <v>100</v>
      </c>
      <c r="V43" s="705" t="s">
        <v>14</v>
      </c>
      <c r="W43" s="706">
        <f t="shared" si="12"/>
        <v>100</v>
      </c>
      <c r="X43" s="1355"/>
      <c r="Y43" s="398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988"/>
      <c r="Q44" s="1352">
        <f t="shared" si="14"/>
        <v>111</v>
      </c>
      <c r="R44" s="705" t="s">
        <v>14</v>
      </c>
      <c r="S44" s="706">
        <f t="shared" si="10"/>
        <v>100</v>
      </c>
      <c r="T44" s="705" t="s">
        <v>14</v>
      </c>
      <c r="U44" s="706">
        <f t="shared" si="11"/>
        <v>100</v>
      </c>
      <c r="V44" s="705" t="s">
        <v>14</v>
      </c>
      <c r="W44" s="706">
        <f t="shared" si="12"/>
        <v>100</v>
      </c>
      <c r="X44" s="1355"/>
      <c r="Y44" s="398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988"/>
      <c r="Q45" s="1352">
        <f t="shared" si="14"/>
        <v>111</v>
      </c>
      <c r="R45" s="708" t="s">
        <v>14</v>
      </c>
      <c r="S45" s="709">
        <f t="shared" si="10"/>
        <v>100</v>
      </c>
      <c r="T45" s="708" t="s">
        <v>14</v>
      </c>
      <c r="U45" s="709">
        <f t="shared" si="11"/>
        <v>100</v>
      </c>
      <c r="V45" s="708" t="s">
        <v>14</v>
      </c>
      <c r="W45" s="709">
        <f t="shared" si="12"/>
        <v>100</v>
      </c>
      <c r="X45" s="710"/>
      <c r="Y45" s="398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976" t="str">
        <f>A46</f>
        <v>成交单价</v>
      </c>
      <c r="Q46" s="3976"/>
      <c r="R46" s="4010">
        <f>E46</f>
        <v>0</v>
      </c>
      <c r="S46" s="4010"/>
      <c r="T46" s="4010">
        <f>G46</f>
        <v>0</v>
      </c>
      <c r="U46" s="4010"/>
      <c r="V46" s="4010">
        <f>I46</f>
        <v>0</v>
      </c>
      <c r="W46" s="401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976" t="str">
        <f>A47</f>
        <v>比较价值（元/平方米）</v>
      </c>
      <c r="Q47" s="3976"/>
      <c r="R47" s="4134" t="e">
        <f>ROUND(PRODUCT(R46,AA7:AA45),0)</f>
        <v>#DIV/0!</v>
      </c>
      <c r="S47" s="4134"/>
      <c r="T47" s="4134" t="e">
        <f>ROUND(PRODUCT(T46,AB7:AB45),0)</f>
        <v>#DIV/0!</v>
      </c>
      <c r="U47" s="4134"/>
      <c r="V47" s="4134" t="e">
        <f>ROUND(PRODUCT(V46,AC7:AC45),0)</f>
        <v>#DIV/0!</v>
      </c>
      <c r="W47" s="41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4122" t="str">
        <f>A48</f>
        <v>估价对象XX用房的比较价值（楼面单价，元/平方米）</v>
      </c>
      <c r="Q48" s="4123"/>
      <c r="R48" s="4135" t="e">
        <f>ROUND(IF(D47="简单平均",AVERAGE(R47:W47),R47*F47+T47*H47+V47*J47),0)</f>
        <v>#DIV/0!</v>
      </c>
      <c r="S48" s="4135"/>
      <c r="T48" s="4135"/>
      <c r="U48" s="4135"/>
      <c r="V48" s="4135"/>
      <c r="W48" s="413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993" t="s">
        <v>1887</v>
      </c>
      <c r="H55" s="413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30590.480000000003</v>
      </c>
      <c r="F56" s="886" t="e">
        <f t="shared" ref="F56:F64" si="15">ROUND(B56*E56/10000,0)</f>
        <v>#DIV/0!</v>
      </c>
      <c r="G56" s="3975"/>
      <c r="H56" s="397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4785.4799999999996</v>
      </c>
      <c r="F60" s="886" t="e">
        <f t="shared" si="15"/>
        <v>#DIV/0!</v>
      </c>
      <c r="G60" s="1987" t="s">
        <v>1896</v>
      </c>
      <c r="H60" s="887" t="str">
        <f>项目基本情况!C37</f>
        <v>四级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四级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四级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35375.960000000006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993" t="s">
        <v>1770</v>
      </c>
      <c r="D4" s="3994"/>
      <c r="E4" s="3995" t="s">
        <v>1771</v>
      </c>
      <c r="F4" s="3996"/>
      <c r="G4" s="3993" t="s">
        <v>1772</v>
      </c>
      <c r="H4" s="3994"/>
      <c r="I4" s="3993" t="s">
        <v>1773</v>
      </c>
      <c r="J4" s="3994"/>
      <c r="K4" s="559" t="s">
        <v>1774</v>
      </c>
      <c r="L4" s="2715"/>
      <c r="M4" s="2716"/>
      <c r="N4" s="2716"/>
      <c r="O4" s="2716"/>
      <c r="P4" s="4126" t="s">
        <v>1775</v>
      </c>
      <c r="Q4" s="4127"/>
      <c r="R4" s="4130" t="s">
        <v>1771</v>
      </c>
      <c r="S4" s="4131"/>
      <c r="T4" s="4130" t="s">
        <v>1772</v>
      </c>
      <c r="U4" s="4131"/>
      <c r="V4" s="4010" t="s">
        <v>1773</v>
      </c>
      <c r="W4" s="4010"/>
      <c r="X4" s="1355"/>
      <c r="Y4" s="4130" t="s">
        <v>1775</v>
      </c>
      <c r="Z4" s="4131"/>
      <c r="AA4" s="4125" t="s">
        <v>1771</v>
      </c>
      <c r="AB4" s="4022" t="s">
        <v>1772</v>
      </c>
      <c r="AC4" s="4125" t="s">
        <v>1773</v>
      </c>
    </row>
    <row r="5" spans="1:29" ht="15">
      <c r="A5" s="358"/>
      <c r="B5" s="359"/>
      <c r="C5" s="4013" t="s">
        <v>1673</v>
      </c>
      <c r="D5" s="4014"/>
      <c r="E5" s="4024" t="s">
        <v>1674</v>
      </c>
      <c r="F5" s="4025"/>
      <c r="G5" s="4013" t="s">
        <v>1675</v>
      </c>
      <c r="H5" s="4014"/>
      <c r="I5" s="4013" t="s">
        <v>1676</v>
      </c>
      <c r="J5" s="4014"/>
      <c r="K5" s="559"/>
      <c r="L5" s="2715"/>
      <c r="M5" s="2716"/>
      <c r="N5" s="2716"/>
      <c r="O5" s="2716"/>
      <c r="P5" s="4128"/>
      <c r="Q5" s="4000"/>
      <c r="R5" s="4005"/>
      <c r="S5" s="4006"/>
      <c r="T5" s="4005"/>
      <c r="U5" s="4006"/>
      <c r="V5" s="4010"/>
      <c r="W5" s="4010"/>
      <c r="X5" s="1355"/>
      <c r="Y5" s="4005"/>
      <c r="Z5" s="4006"/>
      <c r="AA5" s="4022"/>
      <c r="AB5" s="4022"/>
      <c r="AC5" s="4022"/>
    </row>
    <row r="6" spans="1:29" ht="15.75" thickBot="1">
      <c r="A6" s="360"/>
      <c r="B6" s="361"/>
      <c r="C6" s="4137" t="s">
        <v>1919</v>
      </c>
      <c r="D6" s="4138"/>
      <c r="E6" s="4139" t="s">
        <v>1919</v>
      </c>
      <c r="F6" s="4140"/>
      <c r="G6" s="4137" t="s">
        <v>1919</v>
      </c>
      <c r="H6" s="4138"/>
      <c r="I6" s="4137" t="s">
        <v>1919</v>
      </c>
      <c r="J6" s="4138"/>
      <c r="K6" s="559" t="s">
        <v>1678</v>
      </c>
      <c r="L6" s="2715"/>
      <c r="M6" s="2716"/>
      <c r="N6" s="2716"/>
      <c r="O6" s="2716"/>
      <c r="P6" s="4129"/>
      <c r="Q6" s="4002"/>
      <c r="R6" s="4005"/>
      <c r="S6" s="4006"/>
      <c r="T6" s="4007"/>
      <c r="U6" s="4008"/>
      <c r="V6" s="4010"/>
      <c r="W6" s="4010"/>
      <c r="X6" s="1355"/>
      <c r="Y6" s="4007"/>
      <c r="Z6" s="4008"/>
      <c r="AA6" s="4023"/>
      <c r="AB6" s="4023"/>
      <c r="AC6" s="4023"/>
    </row>
    <row r="7" spans="1:29" s="108" customFormat="1" ht="15.75" thickBot="1">
      <c r="A7" s="362" t="s">
        <v>1679</v>
      </c>
      <c r="B7" s="363"/>
      <c r="C7" s="364">
        <f>'数据-取费表'!B2</f>
        <v>45530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4017" t="s">
        <v>1680</v>
      </c>
      <c r="Q7" s="4018"/>
      <c r="R7" s="701" t="s">
        <v>14</v>
      </c>
      <c r="S7" s="702">
        <f t="shared" ref="S7:S15" si="0">F7</f>
        <v>0</v>
      </c>
      <c r="T7" s="701" t="s">
        <v>14</v>
      </c>
      <c r="U7" s="702">
        <f t="shared" ref="U7:U15" si="1">H7</f>
        <v>0</v>
      </c>
      <c r="V7" s="701" t="s">
        <v>14</v>
      </c>
      <c r="W7" s="702">
        <f t="shared" ref="W7:W15" si="2">J7</f>
        <v>0</v>
      </c>
      <c r="X7" s="703"/>
      <c r="Y7" s="4017" t="s">
        <v>1680</v>
      </c>
      <c r="Z7" s="401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4017" t="s">
        <v>1683</v>
      </c>
      <c r="Q8" s="4016"/>
      <c r="R8" s="701" t="s">
        <v>14</v>
      </c>
      <c r="S8" s="702">
        <f t="shared" si="0"/>
        <v>0</v>
      </c>
      <c r="T8" s="701" t="s">
        <v>14</v>
      </c>
      <c r="U8" s="702">
        <f t="shared" si="1"/>
        <v>0</v>
      </c>
      <c r="V8" s="701" t="s">
        <v>14</v>
      </c>
      <c r="W8" s="702">
        <f t="shared" si="2"/>
        <v>0</v>
      </c>
      <c r="X8" s="703"/>
      <c r="Y8" s="4017" t="s">
        <v>1683</v>
      </c>
      <c r="Z8" s="401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976" t="s">
        <v>1686</v>
      </c>
      <c r="Q9" s="1343" t="str">
        <f t="shared" ref="Q9:Q15" si="6">B9</f>
        <v>用途</v>
      </c>
      <c r="R9" s="701" t="s">
        <v>14</v>
      </c>
      <c r="S9" s="702">
        <f t="shared" si="0"/>
        <v>100</v>
      </c>
      <c r="T9" s="701" t="s">
        <v>14</v>
      </c>
      <c r="U9" s="702">
        <f t="shared" si="1"/>
        <v>100</v>
      </c>
      <c r="V9" s="701" t="s">
        <v>14</v>
      </c>
      <c r="W9" s="702">
        <f t="shared" si="2"/>
        <v>100</v>
      </c>
      <c r="X9" s="703"/>
      <c r="Y9" s="388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9"/>
      <c r="M10" s="2720"/>
      <c r="N10" s="2720"/>
      <c r="O10" s="2773"/>
      <c r="P10" s="3976"/>
      <c r="Q10" s="1343" t="str">
        <f t="shared" si="6"/>
        <v>土地使用年限（年）</v>
      </c>
      <c r="R10" s="701" t="s">
        <v>14</v>
      </c>
      <c r="S10" s="702">
        <f t="shared" si="0"/>
        <v>117</v>
      </c>
      <c r="T10" s="701" t="s">
        <v>14</v>
      </c>
      <c r="U10" s="702">
        <f t="shared" si="1"/>
        <v>117</v>
      </c>
      <c r="V10" s="701" t="s">
        <v>14</v>
      </c>
      <c r="W10" s="702">
        <f t="shared" si="2"/>
        <v>117</v>
      </c>
      <c r="X10" s="703"/>
      <c r="Y10" s="3882"/>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976"/>
      <c r="Q11" s="1343" t="str">
        <f t="shared" si="6"/>
        <v>容积率</v>
      </c>
      <c r="R11" s="701" t="s">
        <v>14</v>
      </c>
      <c r="S11" s="702" t="e">
        <f t="shared" si="0"/>
        <v>#N/A</v>
      </c>
      <c r="T11" s="701" t="s">
        <v>14</v>
      </c>
      <c r="U11" s="702" t="e">
        <f t="shared" si="1"/>
        <v>#N/A</v>
      </c>
      <c r="V11" s="701" t="s">
        <v>14</v>
      </c>
      <c r="W11" s="702" t="e">
        <f t="shared" si="2"/>
        <v>#N/A</v>
      </c>
      <c r="X11" s="703"/>
      <c r="Y11" s="388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976"/>
      <c r="Q12" s="1343">
        <f t="shared" si="6"/>
        <v>111</v>
      </c>
      <c r="R12" s="701" t="s">
        <v>14</v>
      </c>
      <c r="S12" s="702">
        <f t="shared" si="0"/>
        <v>100</v>
      </c>
      <c r="T12" s="701" t="s">
        <v>14</v>
      </c>
      <c r="U12" s="702">
        <f t="shared" si="1"/>
        <v>100</v>
      </c>
      <c r="V12" s="701" t="s">
        <v>14</v>
      </c>
      <c r="W12" s="702">
        <f t="shared" si="2"/>
        <v>100</v>
      </c>
      <c r="X12" s="703"/>
      <c r="Y12" s="388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976"/>
      <c r="Q13" s="1343">
        <f t="shared" si="6"/>
        <v>111</v>
      </c>
      <c r="R13" s="701" t="s">
        <v>14</v>
      </c>
      <c r="S13" s="702">
        <f t="shared" si="0"/>
        <v>100</v>
      </c>
      <c r="T13" s="701" t="s">
        <v>14</v>
      </c>
      <c r="U13" s="702">
        <f t="shared" si="1"/>
        <v>100</v>
      </c>
      <c r="V13" s="701" t="s">
        <v>14</v>
      </c>
      <c r="W13" s="702">
        <f t="shared" si="2"/>
        <v>100</v>
      </c>
      <c r="X13" s="703"/>
      <c r="Y13" s="388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976"/>
      <c r="Q14" s="1343">
        <f t="shared" si="6"/>
        <v>111</v>
      </c>
      <c r="R14" s="701" t="s">
        <v>14</v>
      </c>
      <c r="S14" s="702">
        <f t="shared" si="0"/>
        <v>100</v>
      </c>
      <c r="T14" s="701" t="s">
        <v>14</v>
      </c>
      <c r="U14" s="702">
        <f t="shared" si="1"/>
        <v>100</v>
      </c>
      <c r="V14" s="701" t="s">
        <v>14</v>
      </c>
      <c r="W14" s="702">
        <f t="shared" si="2"/>
        <v>100</v>
      </c>
      <c r="X14" s="703"/>
      <c r="Y14" s="388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983" t="s">
        <v>1691</v>
      </c>
      <c r="Q15" s="1352" t="str">
        <f t="shared" si="6"/>
        <v>产业集聚程度</v>
      </c>
      <c r="R15" s="705" t="s">
        <v>14</v>
      </c>
      <c r="S15" s="706">
        <f t="shared" si="0"/>
        <v>100</v>
      </c>
      <c r="T15" s="705" t="s">
        <v>14</v>
      </c>
      <c r="U15" s="706">
        <f t="shared" si="1"/>
        <v>100</v>
      </c>
      <c r="V15" s="705" t="s">
        <v>14</v>
      </c>
      <c r="W15" s="706">
        <f t="shared" si="2"/>
        <v>100</v>
      </c>
      <c r="X15" s="1355"/>
      <c r="Y15" s="398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984"/>
      <c r="Q16" s="1352"/>
      <c r="R16" s="705"/>
      <c r="S16" s="706"/>
      <c r="T16" s="705"/>
      <c r="U16" s="706"/>
      <c r="V16" s="705"/>
      <c r="W16" s="706"/>
      <c r="X16" s="1355"/>
      <c r="Y16" s="398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984"/>
      <c r="Q17" s="1352" t="str">
        <f>B17</f>
        <v>交通便捷度</v>
      </c>
      <c r="R17" s="705" t="s">
        <v>14</v>
      </c>
      <c r="S17" s="706">
        <f>F17</f>
        <v>100</v>
      </c>
      <c r="T17" s="705" t="s">
        <v>14</v>
      </c>
      <c r="U17" s="706">
        <f>H17</f>
        <v>100</v>
      </c>
      <c r="V17" s="705" t="s">
        <v>14</v>
      </c>
      <c r="W17" s="706">
        <f>J17</f>
        <v>100</v>
      </c>
      <c r="X17" s="1355"/>
      <c r="Y17" s="398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984"/>
      <c r="Q18" s="1352"/>
      <c r="R18" s="705"/>
      <c r="S18" s="706"/>
      <c r="T18" s="705"/>
      <c r="U18" s="706"/>
      <c r="V18" s="705"/>
      <c r="W18" s="706"/>
      <c r="X18" s="1355"/>
      <c r="Y18" s="398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984"/>
      <c r="Q19" s="1352" t="str">
        <f t="shared" ref="Q19:Q33" si="8">B19</f>
        <v>区域土地利用方向</v>
      </c>
      <c r="R19" s="705" t="s">
        <v>14</v>
      </c>
      <c r="S19" s="706">
        <f>F19</f>
        <v>100</v>
      </c>
      <c r="T19" s="705" t="s">
        <v>14</v>
      </c>
      <c r="U19" s="706">
        <f>H19</f>
        <v>100</v>
      </c>
      <c r="V19" s="705" t="s">
        <v>14</v>
      </c>
      <c r="W19" s="706">
        <f>J19</f>
        <v>100</v>
      </c>
      <c r="X19" s="1355"/>
      <c r="Y19" s="398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984"/>
      <c r="Q20" s="1352"/>
      <c r="R20" s="705"/>
      <c r="S20" s="706"/>
      <c r="T20" s="705"/>
      <c r="U20" s="706"/>
      <c r="V20" s="705"/>
      <c r="W20" s="706"/>
      <c r="X20" s="1355"/>
      <c r="Y20" s="398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984"/>
      <c r="Q21" s="1352" t="str">
        <f t="shared" si="8"/>
        <v>环境状况</v>
      </c>
      <c r="R21" s="705" t="s">
        <v>14</v>
      </c>
      <c r="S21" s="706">
        <f>F21</f>
        <v>100</v>
      </c>
      <c r="T21" s="705" t="s">
        <v>14</v>
      </c>
      <c r="U21" s="706">
        <f>H21</f>
        <v>100</v>
      </c>
      <c r="V21" s="705" t="s">
        <v>14</v>
      </c>
      <c r="W21" s="706">
        <f>J21</f>
        <v>100</v>
      </c>
      <c r="X21" s="1355"/>
      <c r="Y21" s="398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984"/>
      <c r="Q22" s="1352"/>
      <c r="R22" s="705"/>
      <c r="S22" s="706"/>
      <c r="T22" s="705"/>
      <c r="U22" s="706"/>
      <c r="V22" s="705"/>
      <c r="W22" s="706"/>
      <c r="X22" s="1355"/>
      <c r="Y22" s="398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984"/>
      <c r="Q23" s="1343" t="str">
        <f t="shared" si="8"/>
        <v>公共配套设施</v>
      </c>
      <c r="R23" s="701" t="s">
        <v>14</v>
      </c>
      <c r="S23" s="702">
        <f>F23</f>
        <v>100</v>
      </c>
      <c r="T23" s="701" t="s">
        <v>14</v>
      </c>
      <c r="U23" s="702">
        <f>H23</f>
        <v>100</v>
      </c>
      <c r="V23" s="701" t="s">
        <v>14</v>
      </c>
      <c r="W23" s="702">
        <f>J23</f>
        <v>100</v>
      </c>
      <c r="X23" s="703"/>
      <c r="Y23" s="398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984"/>
      <c r="Q24" s="1343"/>
      <c r="R24" s="701"/>
      <c r="S24" s="702"/>
      <c r="T24" s="701"/>
      <c r="U24" s="702"/>
      <c r="V24" s="701"/>
      <c r="W24" s="702"/>
      <c r="X24" s="703"/>
      <c r="Y24" s="398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984"/>
      <c r="Q25" s="1343" t="str">
        <f t="shared" ref="Q25" si="9">B25</f>
        <v>基础设施水平</v>
      </c>
      <c r="R25" s="701" t="s">
        <v>14</v>
      </c>
      <c r="S25" s="702">
        <f>F25</f>
        <v>100</v>
      </c>
      <c r="T25" s="701" t="s">
        <v>14</v>
      </c>
      <c r="U25" s="702">
        <f>H25</f>
        <v>100</v>
      </c>
      <c r="V25" s="701" t="s">
        <v>14</v>
      </c>
      <c r="W25" s="702">
        <f>J25</f>
        <v>100</v>
      </c>
      <c r="X25" s="703"/>
      <c r="Y25" s="398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984"/>
      <c r="Q26" s="1343"/>
      <c r="R26" s="701"/>
      <c r="S26" s="702"/>
      <c r="T26" s="701"/>
      <c r="U26" s="702"/>
      <c r="V26" s="701"/>
      <c r="W26" s="702"/>
      <c r="X26" s="703"/>
      <c r="Y26" s="398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98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98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984"/>
      <c r="Q28" s="1352" t="str">
        <f t="shared" si="8"/>
        <v>毗邻道路的类型与等级</v>
      </c>
      <c r="R28" s="705" t="s">
        <v>14</v>
      </c>
      <c r="S28" s="706">
        <f t="shared" si="10"/>
        <v>100</v>
      </c>
      <c r="T28" s="705" t="s">
        <v>14</v>
      </c>
      <c r="U28" s="706">
        <f t="shared" si="11"/>
        <v>100</v>
      </c>
      <c r="V28" s="705" t="s">
        <v>14</v>
      </c>
      <c r="W28" s="706">
        <f t="shared" si="12"/>
        <v>100</v>
      </c>
      <c r="X28" s="1355"/>
      <c r="Y28" s="398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984"/>
      <c r="Q29" s="1352"/>
      <c r="R29" s="705"/>
      <c r="S29" s="706"/>
      <c r="T29" s="705"/>
      <c r="U29" s="706"/>
      <c r="V29" s="705"/>
      <c r="W29" s="706"/>
      <c r="X29" s="1355"/>
      <c r="Y29" s="398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984"/>
      <c r="Q30" s="1352" t="str">
        <f t="shared" si="8"/>
        <v>土地级别</v>
      </c>
      <c r="R30" s="705" t="s">
        <v>14</v>
      </c>
      <c r="S30" s="706">
        <f t="shared" si="10"/>
        <v>100</v>
      </c>
      <c r="T30" s="705" t="s">
        <v>14</v>
      </c>
      <c r="U30" s="706">
        <f t="shared" si="11"/>
        <v>100</v>
      </c>
      <c r="V30" s="705" t="s">
        <v>14</v>
      </c>
      <c r="W30" s="706">
        <f t="shared" si="12"/>
        <v>100</v>
      </c>
      <c r="X30" s="1355"/>
      <c r="Y30" s="398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984"/>
      <c r="Q31" s="1352">
        <f t="shared" si="8"/>
        <v>111</v>
      </c>
      <c r="R31" s="705" t="s">
        <v>14</v>
      </c>
      <c r="S31" s="706">
        <f t="shared" si="10"/>
        <v>100</v>
      </c>
      <c r="T31" s="705" t="s">
        <v>14</v>
      </c>
      <c r="U31" s="706">
        <f t="shared" si="11"/>
        <v>100</v>
      </c>
      <c r="V31" s="705" t="s">
        <v>14</v>
      </c>
      <c r="W31" s="706">
        <f t="shared" si="12"/>
        <v>100</v>
      </c>
      <c r="X31" s="1355"/>
      <c r="Y31" s="398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4132" t="s">
        <v>1696</v>
      </c>
      <c r="Q32" s="1352">
        <f t="shared" si="8"/>
        <v>111</v>
      </c>
      <c r="R32" s="705" t="s">
        <v>14</v>
      </c>
      <c r="S32" s="706">
        <f t="shared" si="10"/>
        <v>100</v>
      </c>
      <c r="T32" s="705" t="s">
        <v>14</v>
      </c>
      <c r="U32" s="706">
        <f t="shared" si="11"/>
        <v>100</v>
      </c>
      <c r="V32" s="705" t="s">
        <v>14</v>
      </c>
      <c r="W32" s="706">
        <f t="shared" si="12"/>
        <v>100</v>
      </c>
      <c r="X32" s="1355"/>
      <c r="Y32" s="398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988"/>
      <c r="Q33" s="1352">
        <f t="shared" si="8"/>
        <v>111</v>
      </c>
      <c r="R33" s="708" t="s">
        <v>14</v>
      </c>
      <c r="S33" s="709">
        <f t="shared" si="10"/>
        <v>100</v>
      </c>
      <c r="T33" s="708" t="s">
        <v>14</v>
      </c>
      <c r="U33" s="709">
        <f t="shared" si="11"/>
        <v>100</v>
      </c>
      <c r="V33" s="708" t="s">
        <v>14</v>
      </c>
      <c r="W33" s="709">
        <f t="shared" si="12"/>
        <v>100</v>
      </c>
      <c r="X33" s="710"/>
      <c r="Y33" s="398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988"/>
      <c r="Q34" s="1352" t="str">
        <f>B34</f>
        <v>宗地面积</v>
      </c>
      <c r="R34" s="705" t="s">
        <v>14</v>
      </c>
      <c r="S34" s="706" t="e">
        <f t="shared" si="10"/>
        <v>#N/A</v>
      </c>
      <c r="T34" s="705" t="s">
        <v>14</v>
      </c>
      <c r="U34" s="706" t="e">
        <f t="shared" si="11"/>
        <v>#N/A</v>
      </c>
      <c r="V34" s="705" t="s">
        <v>14</v>
      </c>
      <c r="W34" s="706" t="e">
        <f t="shared" si="12"/>
        <v>#N/A</v>
      </c>
      <c r="X34" s="1355"/>
      <c r="Y34" s="398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988"/>
      <c r="Q35" s="1352" t="str">
        <f t="shared" ref="Q35:Q40" si="14">B35</f>
        <v>宗地形状</v>
      </c>
      <c r="R35" s="705" t="s">
        <v>14</v>
      </c>
      <c r="S35" s="706">
        <f t="shared" si="10"/>
        <v>100</v>
      </c>
      <c r="T35" s="705" t="s">
        <v>14</v>
      </c>
      <c r="U35" s="706">
        <f t="shared" si="11"/>
        <v>100</v>
      </c>
      <c r="V35" s="705" t="s">
        <v>14</v>
      </c>
      <c r="W35" s="706">
        <f t="shared" si="12"/>
        <v>100</v>
      </c>
      <c r="X35" s="1355"/>
      <c r="Y35" s="398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988"/>
      <c r="Q36" s="1352" t="str">
        <f t="shared" si="14"/>
        <v>宗地开发程度</v>
      </c>
      <c r="R36" s="701" t="s">
        <v>14</v>
      </c>
      <c r="S36" s="702">
        <f t="shared" si="10"/>
        <v>100</v>
      </c>
      <c r="T36" s="701" t="s">
        <v>14</v>
      </c>
      <c r="U36" s="702">
        <f t="shared" si="11"/>
        <v>100</v>
      </c>
      <c r="V36" s="701" t="s">
        <v>14</v>
      </c>
      <c r="W36" s="702">
        <f t="shared" si="12"/>
        <v>100</v>
      </c>
      <c r="X36" s="703"/>
      <c r="Y36" s="398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988" t="s">
        <v>1696</v>
      </c>
      <c r="Q37" s="1352" t="str">
        <f t="shared" si="14"/>
        <v>工程地质条件</v>
      </c>
      <c r="R37" s="705" t="s">
        <v>14</v>
      </c>
      <c r="S37" s="706">
        <f t="shared" si="10"/>
        <v>100</v>
      </c>
      <c r="T37" s="705" t="s">
        <v>14</v>
      </c>
      <c r="U37" s="706">
        <f t="shared" si="11"/>
        <v>100</v>
      </c>
      <c r="V37" s="705" t="s">
        <v>14</v>
      </c>
      <c r="W37" s="706">
        <f t="shared" si="12"/>
        <v>100</v>
      </c>
      <c r="X37" s="1355"/>
      <c r="Y37" s="398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988"/>
      <c r="Q38" s="1352">
        <f t="shared" si="14"/>
        <v>111</v>
      </c>
      <c r="R38" s="705" t="s">
        <v>14</v>
      </c>
      <c r="S38" s="706">
        <f t="shared" si="10"/>
        <v>100</v>
      </c>
      <c r="T38" s="705" t="s">
        <v>14</v>
      </c>
      <c r="U38" s="706">
        <f t="shared" si="11"/>
        <v>100</v>
      </c>
      <c r="V38" s="705" t="s">
        <v>14</v>
      </c>
      <c r="W38" s="706">
        <f t="shared" si="12"/>
        <v>100</v>
      </c>
      <c r="X38" s="1355"/>
      <c r="Y38" s="398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988"/>
      <c r="Q39" s="1352">
        <f t="shared" si="14"/>
        <v>111</v>
      </c>
      <c r="R39" s="705" t="s">
        <v>14</v>
      </c>
      <c r="S39" s="706">
        <f t="shared" si="10"/>
        <v>100</v>
      </c>
      <c r="T39" s="705" t="s">
        <v>14</v>
      </c>
      <c r="U39" s="706">
        <f t="shared" si="11"/>
        <v>100</v>
      </c>
      <c r="V39" s="705" t="s">
        <v>14</v>
      </c>
      <c r="W39" s="706">
        <f t="shared" si="12"/>
        <v>100</v>
      </c>
      <c r="X39" s="1355"/>
      <c r="Y39" s="398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988"/>
      <c r="Q40" s="1352">
        <f t="shared" si="14"/>
        <v>111</v>
      </c>
      <c r="R40" s="708" t="s">
        <v>14</v>
      </c>
      <c r="S40" s="709">
        <f t="shared" si="10"/>
        <v>100</v>
      </c>
      <c r="T40" s="708" t="s">
        <v>14</v>
      </c>
      <c r="U40" s="709">
        <f t="shared" si="11"/>
        <v>100</v>
      </c>
      <c r="V40" s="708" t="s">
        <v>14</v>
      </c>
      <c r="W40" s="709">
        <f t="shared" si="12"/>
        <v>100</v>
      </c>
      <c r="X40" s="710"/>
      <c r="Y40" s="398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976" t="str">
        <f>A41</f>
        <v>成交单价</v>
      </c>
      <c r="Q41" s="3976"/>
      <c r="R41" s="4010">
        <f>E41</f>
        <v>0</v>
      </c>
      <c r="S41" s="4010"/>
      <c r="T41" s="4010">
        <f>G41</f>
        <v>0</v>
      </c>
      <c r="U41" s="4010"/>
      <c r="V41" s="4010">
        <f>I41</f>
        <v>0</v>
      </c>
      <c r="W41" s="401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976" t="str">
        <f>A42</f>
        <v>比较价值（元/平方米）</v>
      </c>
      <c r="Q42" s="3976"/>
      <c r="R42" s="4134" t="e">
        <f>ROUND(PRODUCT(R41,AA7:AA40),0)</f>
        <v>#DIV/0!</v>
      </c>
      <c r="S42" s="4134"/>
      <c r="T42" s="4134" t="e">
        <f>ROUND(PRODUCT(T41,AB7:AB40),0)</f>
        <v>#DIV/0!</v>
      </c>
      <c r="U42" s="4134"/>
      <c r="V42" s="4134" t="e">
        <f>ROUND(PRODUCT(V41,AC7:AC40),0)</f>
        <v>#DIV/0!</v>
      </c>
      <c r="W42" s="41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4122" t="str">
        <f>A43</f>
        <v>估价对象XX用房的比较价值（楼面单价，元/平方米）</v>
      </c>
      <c r="Q43" s="4123"/>
      <c r="R43" s="4135" t="e">
        <f>ROUND(IF(D42="简单平均",AVERAGE(R42:W42),R42*F42+T42*H42+V42*J42),0)</f>
        <v>#DIV/0!</v>
      </c>
      <c r="S43" s="4135"/>
      <c r="T43" s="4135"/>
      <c r="U43" s="4135"/>
      <c r="V43" s="4135"/>
      <c r="W43" s="413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993" t="s">
        <v>1887</v>
      </c>
      <c r="H50" s="413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30590.480000000003</v>
      </c>
      <c r="F51" s="639" t="e">
        <f t="shared" ref="F51:F60" si="15">ROUND(B51*E51/10000,0)</f>
        <v>#DIV/0!</v>
      </c>
      <c r="G51" s="3975"/>
      <c r="H51" s="397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4785.4799999999996</v>
      </c>
      <c r="F56" s="639" t="e">
        <f t="shared" si="15"/>
        <v>#DIV/0!</v>
      </c>
      <c r="G56" s="1987" t="s">
        <v>1896</v>
      </c>
      <c r="H56" s="887" t="str">
        <f>项目基本情况!C37</f>
        <v>四级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四级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6534.54</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4144" t="s">
        <v>2084</v>
      </c>
      <c r="D1" s="4145"/>
      <c r="E1" s="4145"/>
      <c r="F1" s="4145"/>
      <c r="G1" s="4145"/>
      <c r="H1" s="4145"/>
      <c r="I1" s="4145"/>
      <c r="J1" s="4145"/>
      <c r="K1" s="4145"/>
      <c r="L1" s="4145"/>
      <c r="M1" s="4145"/>
      <c r="N1" s="4145"/>
      <c r="O1" s="4145"/>
      <c r="P1" s="4145"/>
      <c r="Q1" s="4145"/>
      <c r="R1" s="4145"/>
      <c r="S1" s="414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4141" t="s">
        <v>27</v>
      </c>
      <c r="D22" s="4142"/>
      <c r="E22" s="4142"/>
      <c r="F22" s="4142"/>
      <c r="G22" s="4142"/>
      <c r="H22" s="4142"/>
      <c r="I22" s="4142"/>
      <c r="J22" s="4142"/>
      <c r="K22" s="4142"/>
      <c r="L22" s="4142"/>
      <c r="M22" s="4142"/>
      <c r="N22" s="4142"/>
      <c r="O22" s="4142"/>
      <c r="P22" s="4142"/>
      <c r="Q22" s="414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43001</v>
      </c>
      <c r="C2" s="2145" t="s">
        <v>2074</v>
      </c>
      <c r="D2" s="2145" t="s">
        <v>2075</v>
      </c>
      <c r="E2" s="2612">
        <f ca="1">SUMIF(E6:E13,"&lt;&gt;#ref!",E6:E13)</f>
        <v>35375.960000000006</v>
      </c>
      <c r="F2" s="2793"/>
      <c r="G2" s="2793"/>
      <c r="H2" s="2793"/>
      <c r="I2" s="2793"/>
      <c r="J2" s="2793"/>
      <c r="K2" s="2793"/>
      <c r="L2" s="2793"/>
      <c r="M2" s="2793"/>
      <c r="N2" s="2793"/>
      <c r="O2" s="2793"/>
      <c r="P2" s="2793"/>
    </row>
    <row r="3" spans="1:16" ht="15.75">
      <c r="A3" s="2145" t="s">
        <v>2076</v>
      </c>
      <c r="B3" s="2602">
        <f ca="1">ROUND(B2*10000/E2,0)</f>
        <v>12155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43001</v>
      </c>
      <c r="C6" s="2145" t="s">
        <v>2074</v>
      </c>
      <c r="D6" s="2793"/>
      <c r="E6" s="2612">
        <f ca="1">SUMIF(INDIRECT("'"&amp;A6&amp;"'"&amp;"!C:C"),"建筑面积",INDIRECT("'"&amp;A6&amp;"'"&amp;"!D:D"))</f>
        <v>35375.960000000006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4156" t="s">
        <v>2609</v>
      </c>
      <c r="B20" s="4151" t="s">
        <v>2630</v>
      </c>
      <c r="C20" s="3103" t="s">
        <v>2441</v>
      </c>
      <c r="D20" s="3104"/>
      <c r="E20" s="3105">
        <v>1</v>
      </c>
      <c r="F20" s="3106" t="s">
        <v>2442</v>
      </c>
      <c r="G20" s="3106"/>
    </row>
    <row r="21" spans="1:13" ht="19.5" customHeight="1">
      <c r="A21" s="4157"/>
      <c r="B21" s="4150"/>
      <c r="C21" s="3107" t="s">
        <v>2443</v>
      </c>
      <c r="D21" s="3108"/>
      <c r="E21" s="3109">
        <v>1</v>
      </c>
      <c r="F21" s="3106" t="s">
        <v>2444</v>
      </c>
      <c r="G21" s="3106"/>
    </row>
    <row r="22" spans="1:13" ht="19.5" customHeight="1">
      <c r="A22" s="4157"/>
      <c r="B22" s="4150"/>
      <c r="C22" s="3107" t="s">
        <v>2445</v>
      </c>
      <c r="D22" s="3108"/>
      <c r="E22" s="3109">
        <v>0.9</v>
      </c>
      <c r="F22" s="3106" t="s">
        <v>2446</v>
      </c>
      <c r="G22" s="3106"/>
    </row>
    <row r="23" spans="1:13" ht="19.5" customHeight="1">
      <c r="A23" s="4157"/>
      <c r="B23" s="4150"/>
      <c r="C23" s="3107" t="s">
        <v>2447</v>
      </c>
      <c r="D23" s="3108"/>
      <c r="E23" s="3109">
        <v>0.9</v>
      </c>
      <c r="F23" s="3106" t="s">
        <v>2448</v>
      </c>
      <c r="G23" s="3106"/>
    </row>
    <row r="24" spans="1:13" ht="19.5" customHeight="1">
      <c r="A24" s="4157"/>
      <c r="B24" s="4150"/>
      <c r="C24" s="3107" t="s">
        <v>2449</v>
      </c>
      <c r="D24" s="3108"/>
      <c r="E24" s="3109">
        <v>0.8</v>
      </c>
      <c r="F24" s="3106" t="s">
        <v>2450</v>
      </c>
      <c r="G24" s="3106"/>
    </row>
    <row r="25" spans="1:13" ht="19.5" customHeight="1" thickBot="1">
      <c r="A25" s="4158"/>
      <c r="B25" s="4152"/>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4153" t="s">
        <v>2633</v>
      </c>
      <c r="B27" s="4151" t="s">
        <v>2614</v>
      </c>
      <c r="C27" s="3103" t="s">
        <v>2454</v>
      </c>
      <c r="D27" s="3104"/>
      <c r="E27" s="3105">
        <v>1</v>
      </c>
      <c r="F27" s="3106" t="s">
        <v>2455</v>
      </c>
      <c r="G27" s="3106"/>
    </row>
    <row r="28" spans="1:13" ht="19.5" customHeight="1">
      <c r="A28" s="4154"/>
      <c r="B28" s="4150"/>
      <c r="C28" s="3107" t="s">
        <v>2456</v>
      </c>
      <c r="D28" s="3108"/>
      <c r="E28" s="3109">
        <v>1</v>
      </c>
      <c r="F28" s="3106" t="s">
        <v>2457</v>
      </c>
      <c r="G28" s="3106"/>
    </row>
    <row r="29" spans="1:13" ht="19.5" customHeight="1">
      <c r="A29" s="4154"/>
      <c r="B29" s="4150"/>
      <c r="C29" s="3107" t="s">
        <v>2458</v>
      </c>
      <c r="D29" s="3108"/>
      <c r="E29" s="3109">
        <v>0.8</v>
      </c>
      <c r="F29" s="3106" t="s">
        <v>2459</v>
      </c>
      <c r="G29" s="3106"/>
    </row>
    <row r="30" spans="1:13" ht="19.5" customHeight="1">
      <c r="A30" s="4154"/>
      <c r="B30" s="4150"/>
      <c r="C30" s="3107" t="s">
        <v>2460</v>
      </c>
      <c r="D30" s="3108"/>
      <c r="E30" s="3109">
        <v>0.8</v>
      </c>
      <c r="F30" s="3106" t="s">
        <v>2461</v>
      </c>
      <c r="G30" s="3106"/>
    </row>
    <row r="31" spans="1:13" ht="19.5" customHeight="1">
      <c r="A31" s="4154"/>
      <c r="B31" s="4150"/>
      <c r="C31" s="3107" t="s">
        <v>2462</v>
      </c>
      <c r="D31" s="3108"/>
      <c r="E31" s="3109">
        <v>0.8</v>
      </c>
      <c r="F31" s="3106" t="s">
        <v>2463</v>
      </c>
      <c r="G31" s="3106"/>
    </row>
    <row r="32" spans="1:13" ht="19.5" customHeight="1">
      <c r="A32" s="4154"/>
      <c r="B32" s="4150"/>
      <c r="C32" s="3107" t="s">
        <v>2464</v>
      </c>
      <c r="D32" s="3108"/>
      <c r="E32" s="3109">
        <v>0.7</v>
      </c>
      <c r="F32" s="3106" t="s">
        <v>2465</v>
      </c>
      <c r="G32" s="3106"/>
    </row>
    <row r="33" spans="1:7" ht="19.5" customHeight="1">
      <c r="A33" s="4154"/>
      <c r="B33" s="4150"/>
      <c r="C33" s="3107" t="s">
        <v>2466</v>
      </c>
      <c r="D33" s="3108"/>
      <c r="E33" s="3109">
        <v>0.8</v>
      </c>
      <c r="F33" s="3106" t="s">
        <v>2467</v>
      </c>
      <c r="G33" s="3106"/>
    </row>
    <row r="34" spans="1:7" ht="19.5" customHeight="1">
      <c r="A34" s="4154"/>
      <c r="B34" s="4150"/>
      <c r="C34" s="3107" t="s">
        <v>2468</v>
      </c>
      <c r="D34" s="3108"/>
      <c r="E34" s="3109">
        <v>0.6</v>
      </c>
      <c r="F34" s="3106" t="s">
        <v>2469</v>
      </c>
      <c r="G34" s="3106"/>
    </row>
    <row r="35" spans="1:7" ht="19.5" customHeight="1">
      <c r="A35" s="4154"/>
      <c r="B35" s="4150"/>
      <c r="C35" s="3107" t="s">
        <v>2470</v>
      </c>
      <c r="D35" s="3108"/>
      <c r="E35" s="3109">
        <v>0.2</v>
      </c>
      <c r="F35" s="3106" t="s">
        <v>2471</v>
      </c>
      <c r="G35" s="3106"/>
    </row>
    <row r="36" spans="1:7" ht="19.5" customHeight="1">
      <c r="A36" s="4154"/>
      <c r="B36" s="4150"/>
      <c r="C36" s="3107" t="s">
        <v>2472</v>
      </c>
      <c r="D36" s="3108"/>
      <c r="E36" s="3109">
        <v>0.2</v>
      </c>
      <c r="F36" s="3106" t="s">
        <v>2473</v>
      </c>
      <c r="G36" s="3106"/>
    </row>
    <row r="37" spans="1:7" ht="19.5" customHeight="1">
      <c r="A37" s="4154"/>
      <c r="B37" s="4148" t="s">
        <v>2634</v>
      </c>
      <c r="C37" s="3107" t="s">
        <v>2474</v>
      </c>
      <c r="D37" s="3108"/>
      <c r="E37" s="3109">
        <v>0.6</v>
      </c>
      <c r="F37" s="3106" t="s">
        <v>2475</v>
      </c>
      <c r="G37" s="3106"/>
    </row>
    <row r="38" spans="1:7" ht="19.5" customHeight="1">
      <c r="A38" s="4154"/>
      <c r="B38" s="4150"/>
      <c r="C38" s="3107" t="s">
        <v>2476</v>
      </c>
      <c r="D38" s="3108"/>
      <c r="E38" s="3109">
        <v>0.6</v>
      </c>
      <c r="F38" s="3106" t="s">
        <v>2477</v>
      </c>
      <c r="G38" s="3106"/>
    </row>
    <row r="39" spans="1:7" ht="19.5" customHeight="1" thickBot="1">
      <c r="A39" s="4155"/>
      <c r="B39" s="4152"/>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4156" t="s">
        <v>2612</v>
      </c>
      <c r="B41" s="4151" t="s">
        <v>2636</v>
      </c>
      <c r="C41" s="3103" t="s">
        <v>2481</v>
      </c>
      <c r="D41" s="3104"/>
      <c r="E41" s="3105">
        <v>1</v>
      </c>
      <c r="F41" s="3106" t="s">
        <v>2482</v>
      </c>
      <c r="G41" s="3106"/>
    </row>
    <row r="42" spans="1:7" ht="19.5" customHeight="1">
      <c r="A42" s="4157"/>
      <c r="B42" s="4150"/>
      <c r="C42" s="3107" t="s">
        <v>2483</v>
      </c>
      <c r="D42" s="3108"/>
      <c r="E42" s="3109">
        <v>1</v>
      </c>
      <c r="F42" s="3106" t="s">
        <v>2484</v>
      </c>
      <c r="G42" s="3106"/>
    </row>
    <row r="43" spans="1:7" ht="19.5" customHeight="1">
      <c r="A43" s="4157"/>
      <c r="B43" s="4149"/>
      <c r="C43" s="3107" t="s">
        <v>2485</v>
      </c>
      <c r="D43" s="3108"/>
      <c r="E43" s="3109">
        <v>1.5</v>
      </c>
      <c r="F43" s="3106" t="s">
        <v>2486</v>
      </c>
      <c r="G43" s="3106"/>
    </row>
    <row r="44" spans="1:7" ht="19.5" customHeight="1">
      <c r="A44" s="4157"/>
      <c r="B44" s="3118" t="s">
        <v>2637</v>
      </c>
      <c r="C44" s="3107" t="s">
        <v>2638</v>
      </c>
      <c r="D44" s="3108"/>
      <c r="E44" s="3109">
        <v>2</v>
      </c>
      <c r="F44" s="3106" t="s">
        <v>2487</v>
      </c>
      <c r="G44" s="3106"/>
    </row>
    <row r="45" spans="1:7" ht="19.5" customHeight="1">
      <c r="A45" s="4157"/>
      <c r="B45" s="4148" t="s">
        <v>2639</v>
      </c>
      <c r="C45" s="3107" t="s">
        <v>2488</v>
      </c>
      <c r="D45" s="3108"/>
      <c r="E45" s="3109">
        <v>1</v>
      </c>
      <c r="F45" s="3106" t="s">
        <v>2489</v>
      </c>
      <c r="G45" s="3106"/>
    </row>
    <row r="46" spans="1:7" ht="19.5" customHeight="1">
      <c r="A46" s="4157"/>
      <c r="B46" s="4150"/>
      <c r="C46" s="3107" t="s">
        <v>2490</v>
      </c>
      <c r="D46" s="3108"/>
      <c r="E46" s="3109">
        <v>1</v>
      </c>
      <c r="F46" s="3106" t="s">
        <v>2491</v>
      </c>
      <c r="G46" s="3106"/>
    </row>
    <row r="47" spans="1:7" ht="19.5" customHeight="1">
      <c r="A47" s="4157"/>
      <c r="B47" s="4150"/>
      <c r="C47" s="3107" t="s">
        <v>2492</v>
      </c>
      <c r="D47" s="3108"/>
      <c r="E47" s="3109">
        <v>1</v>
      </c>
      <c r="F47" s="3106" t="s">
        <v>2493</v>
      </c>
      <c r="G47" s="3106"/>
    </row>
    <row r="48" spans="1:7" ht="19.5" customHeight="1">
      <c r="A48" s="4157"/>
      <c r="B48" s="4150"/>
      <c r="C48" s="3107" t="s">
        <v>2494</v>
      </c>
      <c r="D48" s="3108"/>
      <c r="E48" s="3109">
        <v>1</v>
      </c>
      <c r="F48" s="3106" t="s">
        <v>2495</v>
      </c>
      <c r="G48" s="3106"/>
    </row>
    <row r="49" spans="1:7" ht="19.5" customHeight="1">
      <c r="A49" s="4157"/>
      <c r="B49" s="4150"/>
      <c r="C49" s="3107" t="s">
        <v>2496</v>
      </c>
      <c r="D49" s="3108"/>
      <c r="E49" s="3109">
        <v>1</v>
      </c>
      <c r="F49" s="3106" t="s">
        <v>2497</v>
      </c>
      <c r="G49" s="3106"/>
    </row>
    <row r="50" spans="1:7" ht="19.5" customHeight="1">
      <c r="A50" s="4157"/>
      <c r="B50" s="4150"/>
      <c r="C50" s="3107" t="s">
        <v>2498</v>
      </c>
      <c r="D50" s="3108"/>
      <c r="E50" s="3109">
        <v>1</v>
      </c>
      <c r="F50" s="3106" t="s">
        <v>2499</v>
      </c>
      <c r="G50" s="3106"/>
    </row>
    <row r="51" spans="1:7" ht="19.5" customHeight="1" thickBot="1">
      <c r="A51" s="4158"/>
      <c r="B51" s="4152"/>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4148" t="s">
        <v>2653</v>
      </c>
      <c r="C73" s="3092" t="s">
        <v>2654</v>
      </c>
      <c r="D73" s="3092" t="s">
        <v>2655</v>
      </c>
      <c r="E73" s="3118">
        <v>0.2</v>
      </c>
      <c r="F73" s="3118">
        <v>25</v>
      </c>
    </row>
    <row r="74" spans="1:7" ht="24">
      <c r="A74" s="3118">
        <v>2</v>
      </c>
      <c r="B74" s="4150"/>
      <c r="C74" s="3092" t="s">
        <v>2656</v>
      </c>
      <c r="D74" s="3092" t="s">
        <v>2657</v>
      </c>
      <c r="E74" s="3118">
        <v>0.2</v>
      </c>
      <c r="F74" s="3118">
        <v>25</v>
      </c>
    </row>
    <row r="75" spans="1:7" ht="24">
      <c r="A75" s="3118">
        <v>3</v>
      </c>
      <c r="B75" s="4150"/>
      <c r="C75" s="3092" t="s">
        <v>2658</v>
      </c>
      <c r="D75" s="3092" t="s">
        <v>2659</v>
      </c>
      <c r="E75" s="3118">
        <v>0.2</v>
      </c>
      <c r="F75" s="3118">
        <v>25</v>
      </c>
    </row>
    <row r="76" spans="1:7" ht="13.5">
      <c r="A76" s="3118">
        <v>4</v>
      </c>
      <c r="B76" s="4150"/>
      <c r="C76" s="3092" t="s">
        <v>2660</v>
      </c>
      <c r="D76" s="3092" t="s">
        <v>2661</v>
      </c>
      <c r="E76" s="3118">
        <v>0.15</v>
      </c>
      <c r="F76" s="3118">
        <v>20</v>
      </c>
    </row>
    <row r="77" spans="1:7" ht="24">
      <c r="A77" s="3118">
        <v>5</v>
      </c>
      <c r="B77" s="4150"/>
      <c r="C77" s="3092" t="s">
        <v>2662</v>
      </c>
      <c r="D77" s="3092" t="s">
        <v>2663</v>
      </c>
      <c r="E77" s="3118">
        <v>0.15</v>
      </c>
      <c r="F77" s="3118">
        <v>20</v>
      </c>
    </row>
    <row r="78" spans="1:7" ht="24">
      <c r="A78" s="3118">
        <v>6</v>
      </c>
      <c r="B78" s="4150"/>
      <c r="C78" s="3092" t="s">
        <v>2664</v>
      </c>
      <c r="D78" s="3092" t="s">
        <v>2665</v>
      </c>
      <c r="E78" s="3118">
        <v>0.15</v>
      </c>
      <c r="F78" s="3118">
        <v>20</v>
      </c>
    </row>
    <row r="79" spans="1:7" ht="24">
      <c r="A79" s="3118">
        <v>7</v>
      </c>
      <c r="B79" s="4150"/>
      <c r="C79" s="3092" t="s">
        <v>2666</v>
      </c>
      <c r="D79" s="3092" t="s">
        <v>2667</v>
      </c>
      <c r="E79" s="3118">
        <v>0.15</v>
      </c>
      <c r="F79" s="3118">
        <v>20</v>
      </c>
    </row>
    <row r="80" spans="1:7" ht="24">
      <c r="A80" s="3118">
        <v>8</v>
      </c>
      <c r="B80" s="4150"/>
      <c r="C80" s="3092" t="s">
        <v>2668</v>
      </c>
      <c r="D80" s="3092" t="s">
        <v>2669</v>
      </c>
      <c r="E80" s="3118">
        <v>0.1</v>
      </c>
      <c r="F80" s="3118">
        <v>15</v>
      </c>
    </row>
    <row r="81" spans="1:6" ht="24">
      <c r="A81" s="3118">
        <v>9</v>
      </c>
      <c r="B81" s="4150"/>
      <c r="C81" s="3092" t="s">
        <v>2670</v>
      </c>
      <c r="D81" s="3092" t="s">
        <v>2671</v>
      </c>
      <c r="E81" s="3118">
        <v>0.1</v>
      </c>
      <c r="F81" s="3118">
        <v>15</v>
      </c>
    </row>
    <row r="82" spans="1:6" ht="24">
      <c r="A82" s="3118">
        <v>10</v>
      </c>
      <c r="B82" s="4150"/>
      <c r="C82" s="3092" t="s">
        <v>2672</v>
      </c>
      <c r="D82" s="3092" t="s">
        <v>2673</v>
      </c>
      <c r="E82" s="3118">
        <v>0.1</v>
      </c>
      <c r="F82" s="3118">
        <v>15</v>
      </c>
    </row>
    <row r="83" spans="1:6" ht="24">
      <c r="A83" s="3118">
        <v>11</v>
      </c>
      <c r="B83" s="4150"/>
      <c r="C83" s="3092" t="s">
        <v>2674</v>
      </c>
      <c r="D83" s="3092" t="s">
        <v>2675</v>
      </c>
      <c r="E83" s="3118">
        <v>0.1</v>
      </c>
      <c r="F83" s="3118">
        <v>15</v>
      </c>
    </row>
    <row r="84" spans="1:6" ht="24">
      <c r="A84" s="3118">
        <v>12</v>
      </c>
      <c r="B84" s="4150"/>
      <c r="C84" s="3092" t="s">
        <v>2676</v>
      </c>
      <c r="D84" s="3092" t="s">
        <v>2677</v>
      </c>
      <c r="E84" s="3118">
        <v>0.1</v>
      </c>
      <c r="F84" s="3118">
        <v>15</v>
      </c>
    </row>
    <row r="85" spans="1:6" ht="13.5">
      <c r="A85" s="3118">
        <v>13</v>
      </c>
      <c r="B85" s="4150"/>
      <c r="C85" s="3092" t="s">
        <v>2678</v>
      </c>
      <c r="D85" s="3092" t="s">
        <v>2679</v>
      </c>
      <c r="E85" s="3118">
        <v>0.1</v>
      </c>
      <c r="F85" s="3118">
        <v>15</v>
      </c>
    </row>
    <row r="86" spans="1:6" ht="13.5">
      <c r="A86" s="3118">
        <v>14</v>
      </c>
      <c r="B86" s="4150"/>
      <c r="C86" s="3092" t="s">
        <v>2680</v>
      </c>
      <c r="D86" s="3092" t="s">
        <v>2681</v>
      </c>
      <c r="E86" s="3118">
        <v>0.1</v>
      </c>
      <c r="F86" s="3118">
        <v>15</v>
      </c>
    </row>
    <row r="87" spans="1:6" ht="13.5">
      <c r="A87" s="3118">
        <v>15</v>
      </c>
      <c r="B87" s="4150"/>
      <c r="C87" s="3092" t="s">
        <v>2682</v>
      </c>
      <c r="D87" s="3092" t="s">
        <v>2683</v>
      </c>
      <c r="E87" s="3118">
        <v>0.1</v>
      </c>
      <c r="F87" s="3118">
        <v>15</v>
      </c>
    </row>
    <row r="88" spans="1:6" ht="24">
      <c r="A88" s="3118">
        <v>16</v>
      </c>
      <c r="B88" s="4150"/>
      <c r="C88" s="3092" t="s">
        <v>2684</v>
      </c>
      <c r="D88" s="3092" t="s">
        <v>2685</v>
      </c>
      <c r="E88" s="3118">
        <v>0.1</v>
      </c>
      <c r="F88" s="3118">
        <v>15</v>
      </c>
    </row>
    <row r="89" spans="1:6" ht="24">
      <c r="A89" s="3118">
        <v>17</v>
      </c>
      <c r="B89" s="4149"/>
      <c r="C89" s="3092" t="s">
        <v>2686</v>
      </c>
      <c r="D89" s="3092" t="s">
        <v>2687</v>
      </c>
      <c r="E89" s="3118">
        <v>0.1</v>
      </c>
      <c r="F89" s="3118">
        <v>15</v>
      </c>
    </row>
    <row r="90" spans="1:6" ht="13.5">
      <c r="A90" s="3118">
        <v>18</v>
      </c>
      <c r="B90" s="4148" t="s">
        <v>2688</v>
      </c>
      <c r="C90" s="3092" t="s">
        <v>2689</v>
      </c>
      <c r="D90" s="3092" t="s">
        <v>2690</v>
      </c>
      <c r="E90" s="3118">
        <v>0.2</v>
      </c>
      <c r="F90" s="3118">
        <v>25</v>
      </c>
    </row>
    <row r="91" spans="1:6" ht="24">
      <c r="A91" s="3118">
        <v>19</v>
      </c>
      <c r="B91" s="4150"/>
      <c r="C91" s="3092" t="s">
        <v>2691</v>
      </c>
      <c r="D91" s="3092" t="s">
        <v>2692</v>
      </c>
      <c r="E91" s="3118">
        <v>0.2</v>
      </c>
      <c r="F91" s="3118">
        <v>25</v>
      </c>
    </row>
    <row r="92" spans="1:6" ht="13.5">
      <c r="A92" s="3118">
        <v>20</v>
      </c>
      <c r="B92" s="4150"/>
      <c r="C92" s="3092" t="s">
        <v>2693</v>
      </c>
      <c r="D92" s="3092" t="s">
        <v>2694</v>
      </c>
      <c r="E92" s="3118">
        <v>0.15</v>
      </c>
      <c r="F92" s="3118">
        <v>20</v>
      </c>
    </row>
    <row r="93" spans="1:6" ht="13.5">
      <c r="A93" s="3118">
        <v>21</v>
      </c>
      <c r="B93" s="4150"/>
      <c r="C93" s="3092" t="s">
        <v>2695</v>
      </c>
      <c r="D93" s="3092" t="s">
        <v>2696</v>
      </c>
      <c r="E93" s="3118">
        <v>0.15</v>
      </c>
      <c r="F93" s="3118">
        <v>20</v>
      </c>
    </row>
    <row r="94" spans="1:6" ht="13.5">
      <c r="A94" s="3118">
        <v>22</v>
      </c>
      <c r="B94" s="4150"/>
      <c r="C94" s="3092" t="s">
        <v>2697</v>
      </c>
      <c r="D94" s="3092" t="s">
        <v>2698</v>
      </c>
      <c r="E94" s="3118">
        <v>0.15</v>
      </c>
      <c r="F94" s="3118">
        <v>20</v>
      </c>
    </row>
    <row r="95" spans="1:6" ht="36">
      <c r="A95" s="3118">
        <v>23</v>
      </c>
      <c r="B95" s="4150"/>
      <c r="C95" s="3092" t="s">
        <v>2699</v>
      </c>
      <c r="D95" s="3092" t="s">
        <v>2700</v>
      </c>
      <c r="E95" s="3118">
        <v>0.15</v>
      </c>
      <c r="F95" s="3118">
        <v>20</v>
      </c>
    </row>
    <row r="96" spans="1:6" ht="13.5">
      <c r="A96" s="3118">
        <v>24</v>
      </c>
      <c r="B96" s="4150"/>
      <c r="C96" s="3092" t="s">
        <v>2701</v>
      </c>
      <c r="D96" s="3092" t="s">
        <v>2702</v>
      </c>
      <c r="E96" s="3118">
        <v>0.1</v>
      </c>
      <c r="F96" s="3118">
        <v>15</v>
      </c>
    </row>
    <row r="97" spans="1:6" ht="13.5">
      <c r="A97" s="3118">
        <v>25</v>
      </c>
      <c r="B97" s="4150"/>
      <c r="C97" s="3092" t="s">
        <v>2703</v>
      </c>
      <c r="D97" s="3092" t="s">
        <v>2704</v>
      </c>
      <c r="E97" s="3118">
        <v>0.1</v>
      </c>
      <c r="F97" s="3118">
        <v>15</v>
      </c>
    </row>
    <row r="98" spans="1:6" ht="24">
      <c r="A98" s="3118">
        <v>26</v>
      </c>
      <c r="B98" s="4150"/>
      <c r="C98" s="3092" t="s">
        <v>2705</v>
      </c>
      <c r="D98" s="3092" t="s">
        <v>2706</v>
      </c>
      <c r="E98" s="3118">
        <v>0.1</v>
      </c>
      <c r="F98" s="3118">
        <v>15</v>
      </c>
    </row>
    <row r="99" spans="1:6" ht="24">
      <c r="A99" s="3118">
        <v>27</v>
      </c>
      <c r="B99" s="4150"/>
      <c r="C99" s="3092" t="s">
        <v>2707</v>
      </c>
      <c r="D99" s="3092" t="s">
        <v>2708</v>
      </c>
      <c r="E99" s="3118">
        <v>0.1</v>
      </c>
      <c r="F99" s="3118">
        <v>15</v>
      </c>
    </row>
    <row r="100" spans="1:6" ht="13.5">
      <c r="A100" s="3118">
        <v>28</v>
      </c>
      <c r="B100" s="4150"/>
      <c r="C100" s="3092" t="s">
        <v>2709</v>
      </c>
      <c r="D100" s="3092" t="s">
        <v>2710</v>
      </c>
      <c r="E100" s="3118">
        <v>0.1</v>
      </c>
      <c r="F100" s="3118">
        <v>15</v>
      </c>
    </row>
    <row r="101" spans="1:6" ht="13.5">
      <c r="A101" s="3118">
        <v>29</v>
      </c>
      <c r="B101" s="4150"/>
      <c r="C101" s="3092" t="s">
        <v>2711</v>
      </c>
      <c r="D101" s="3092" t="s">
        <v>2712</v>
      </c>
      <c r="E101" s="3118">
        <v>0.1</v>
      </c>
      <c r="F101" s="3118">
        <v>15</v>
      </c>
    </row>
    <row r="102" spans="1:6" ht="13.5">
      <c r="A102" s="3118">
        <v>30</v>
      </c>
      <c r="B102" s="4150"/>
      <c r="C102" s="3092" t="s">
        <v>2713</v>
      </c>
      <c r="D102" s="3092" t="s">
        <v>2714</v>
      </c>
      <c r="E102" s="3118">
        <v>0.1</v>
      </c>
      <c r="F102" s="3118">
        <v>15</v>
      </c>
    </row>
    <row r="103" spans="1:6" ht="24">
      <c r="A103" s="3118">
        <v>31</v>
      </c>
      <c r="B103" s="4150"/>
      <c r="C103" s="3092" t="s">
        <v>2715</v>
      </c>
      <c r="D103" s="3092" t="s">
        <v>2716</v>
      </c>
      <c r="E103" s="3118">
        <v>0.1</v>
      </c>
      <c r="F103" s="3118">
        <v>15</v>
      </c>
    </row>
    <row r="104" spans="1:6" ht="24">
      <c r="A104" s="3118">
        <v>32</v>
      </c>
      <c r="B104" s="4150"/>
      <c r="C104" s="3092" t="s">
        <v>2717</v>
      </c>
      <c r="D104" s="3092" t="s">
        <v>2718</v>
      </c>
      <c r="E104" s="3118">
        <v>0.1</v>
      </c>
      <c r="F104" s="3118">
        <v>15</v>
      </c>
    </row>
    <row r="105" spans="1:6" ht="24">
      <c r="A105" s="3118">
        <v>33</v>
      </c>
      <c r="B105" s="4150"/>
      <c r="C105" s="3092" t="s">
        <v>2719</v>
      </c>
      <c r="D105" s="3092" t="s">
        <v>2720</v>
      </c>
      <c r="E105" s="3118">
        <v>0.1</v>
      </c>
      <c r="F105" s="3118">
        <v>15</v>
      </c>
    </row>
    <row r="106" spans="1:6" ht="24">
      <c r="A106" s="3118">
        <v>34</v>
      </c>
      <c r="B106" s="4149"/>
      <c r="C106" s="3092" t="s">
        <v>2721</v>
      </c>
      <c r="D106" s="3092" t="s">
        <v>2722</v>
      </c>
      <c r="E106" s="3118">
        <v>0.1</v>
      </c>
      <c r="F106" s="3118">
        <v>15</v>
      </c>
    </row>
    <row r="107" spans="1:6" ht="24">
      <c r="A107" s="3118">
        <v>35</v>
      </c>
      <c r="B107" s="4148" t="s">
        <v>2723</v>
      </c>
      <c r="C107" s="3118" t="s">
        <v>2724</v>
      </c>
      <c r="D107" s="3092" t="s">
        <v>2725</v>
      </c>
      <c r="E107" s="3118">
        <v>0.15</v>
      </c>
      <c r="F107" s="3118">
        <v>20</v>
      </c>
    </row>
    <row r="108" spans="1:6" ht="13.5">
      <c r="A108" s="3118">
        <v>36</v>
      </c>
      <c r="B108" s="4150"/>
      <c r="C108" s="3118" t="s">
        <v>2726</v>
      </c>
      <c r="D108" s="3092" t="s">
        <v>2727</v>
      </c>
      <c r="E108" s="3118">
        <v>0.15</v>
      </c>
      <c r="F108" s="3118">
        <v>20</v>
      </c>
    </row>
    <row r="109" spans="1:6" ht="13.5">
      <c r="A109" s="3118">
        <v>37</v>
      </c>
      <c r="B109" s="4150"/>
      <c r="C109" s="3118" t="s">
        <v>2728</v>
      </c>
      <c r="D109" s="3092" t="s">
        <v>2729</v>
      </c>
      <c r="E109" s="3118">
        <v>0.15</v>
      </c>
      <c r="F109" s="3118">
        <v>20</v>
      </c>
    </row>
    <row r="110" spans="1:6" ht="13.5">
      <c r="A110" s="3118">
        <v>38</v>
      </c>
      <c r="B110" s="4150"/>
      <c r="C110" s="3118" t="s">
        <v>2730</v>
      </c>
      <c r="D110" s="3092" t="s">
        <v>2731</v>
      </c>
      <c r="E110" s="3118">
        <v>0.1</v>
      </c>
      <c r="F110" s="3118">
        <v>15</v>
      </c>
    </row>
    <row r="111" spans="1:6" ht="24">
      <c r="A111" s="3118">
        <v>39</v>
      </c>
      <c r="B111" s="4150"/>
      <c r="C111" s="3118" t="s">
        <v>2732</v>
      </c>
      <c r="D111" s="3092" t="s">
        <v>2733</v>
      </c>
      <c r="E111" s="3118">
        <v>0.1</v>
      </c>
      <c r="F111" s="3118">
        <v>15</v>
      </c>
    </row>
    <row r="112" spans="1:6" ht="24">
      <c r="A112" s="3118">
        <v>40</v>
      </c>
      <c r="B112" s="4149"/>
      <c r="C112" s="3118" t="s">
        <v>2734</v>
      </c>
      <c r="D112" s="3092" t="s">
        <v>2735</v>
      </c>
      <c r="E112" s="3118">
        <v>0.1</v>
      </c>
      <c r="F112" s="3118">
        <v>15</v>
      </c>
    </row>
    <row r="113" spans="1:6" ht="13.5">
      <c r="A113" s="3118">
        <v>41</v>
      </c>
      <c r="B113" s="4147" t="s">
        <v>2736</v>
      </c>
      <c r="C113" s="3118" t="s">
        <v>2737</v>
      </c>
      <c r="D113" s="3092" t="s">
        <v>2738</v>
      </c>
      <c r="E113" s="3118">
        <v>0.1</v>
      </c>
      <c r="F113" s="3118">
        <v>15</v>
      </c>
    </row>
    <row r="114" spans="1:6" ht="13.5">
      <c r="A114" s="3118">
        <v>42</v>
      </c>
      <c r="B114" s="4147"/>
      <c r="C114" s="3118" t="s">
        <v>2739</v>
      </c>
      <c r="D114" s="3092" t="s">
        <v>2740</v>
      </c>
      <c r="E114" s="3118">
        <v>0.1</v>
      </c>
      <c r="F114" s="3118">
        <v>15</v>
      </c>
    </row>
    <row r="115" spans="1:6" ht="24">
      <c r="A115" s="3118">
        <v>43</v>
      </c>
      <c r="B115" s="4147"/>
      <c r="C115" s="3118" t="s">
        <v>2741</v>
      </c>
      <c r="D115" s="3092" t="s">
        <v>2742</v>
      </c>
      <c r="E115" s="3118">
        <v>0.1</v>
      </c>
      <c r="F115" s="3118">
        <v>15</v>
      </c>
    </row>
    <row r="116" spans="1:6" ht="13.5">
      <c r="A116" s="3118">
        <v>44</v>
      </c>
      <c r="B116" s="4148" t="s">
        <v>2743</v>
      </c>
      <c r="C116" s="3118" t="s">
        <v>2744</v>
      </c>
      <c r="D116" s="3092" t="s">
        <v>2745</v>
      </c>
      <c r="E116" s="3118">
        <v>0.1</v>
      </c>
      <c r="F116" s="3118">
        <v>15</v>
      </c>
    </row>
    <row r="117" spans="1:6" ht="24">
      <c r="A117" s="3118">
        <v>45</v>
      </c>
      <c r="B117" s="4149"/>
      <c r="C117" s="3092" t="s">
        <v>2746</v>
      </c>
      <c r="D117" s="3092" t="s">
        <v>2747</v>
      </c>
      <c r="E117" s="3118">
        <v>0.1</v>
      </c>
      <c r="F117" s="3118">
        <v>15</v>
      </c>
    </row>
    <row r="118" spans="1:6" ht="24">
      <c r="A118" s="3118">
        <v>46</v>
      </c>
      <c r="B118" s="4148" t="s">
        <v>2748</v>
      </c>
      <c r="C118" s="3118" t="s">
        <v>2749</v>
      </c>
      <c r="D118" s="3092" t="s">
        <v>2750</v>
      </c>
      <c r="E118" s="3118">
        <v>0.1</v>
      </c>
      <c r="F118" s="3118">
        <v>15</v>
      </c>
    </row>
    <row r="119" spans="1:6" ht="24">
      <c r="A119" s="3118">
        <v>47</v>
      </c>
      <c r="B119" s="4149"/>
      <c r="C119" s="3118" t="s">
        <v>2751</v>
      </c>
      <c r="D119" s="3092" t="s">
        <v>2752</v>
      </c>
      <c r="E119" s="3118">
        <v>0.1</v>
      </c>
      <c r="F119" s="3118">
        <v>15</v>
      </c>
    </row>
    <row r="120" spans="1:6" ht="13.5">
      <c r="A120" s="3118">
        <v>48</v>
      </c>
      <c r="B120" s="4148" t="s">
        <v>2753</v>
      </c>
      <c r="C120" s="3118" t="s">
        <v>2754</v>
      </c>
      <c r="D120" s="3092" t="s">
        <v>2755</v>
      </c>
      <c r="E120" s="3118">
        <v>0.1</v>
      </c>
      <c r="F120" s="3118">
        <v>15</v>
      </c>
    </row>
    <row r="121" spans="1:6" ht="13.5">
      <c r="A121" s="3118">
        <v>49</v>
      </c>
      <c r="B121" s="4149"/>
      <c r="C121" s="3118" t="s">
        <v>2756</v>
      </c>
      <c r="D121" s="3092" t="s">
        <v>2757</v>
      </c>
      <c r="E121" s="3118">
        <v>0.1</v>
      </c>
      <c r="F121" s="3118">
        <v>15</v>
      </c>
    </row>
    <row r="122" spans="1:6" ht="24">
      <c r="A122" s="3118">
        <v>50</v>
      </c>
      <c r="B122" s="4147" t="s">
        <v>2758</v>
      </c>
      <c r="C122" s="3118" t="s">
        <v>2759</v>
      </c>
      <c r="D122" s="3092" t="s">
        <v>2760</v>
      </c>
      <c r="E122" s="3118">
        <v>0.1</v>
      </c>
      <c r="F122" s="3118">
        <v>15</v>
      </c>
    </row>
    <row r="123" spans="1:6" ht="24">
      <c r="A123" s="3118">
        <v>51</v>
      </c>
      <c r="B123" s="4147"/>
      <c r="C123" s="3118" t="s">
        <v>2761</v>
      </c>
      <c r="D123" s="3092" t="s">
        <v>2762</v>
      </c>
      <c r="E123" s="3118">
        <v>0.1</v>
      </c>
      <c r="F123" s="3118">
        <v>15</v>
      </c>
    </row>
    <row r="124" spans="1:6" ht="24">
      <c r="A124" s="3118">
        <v>52</v>
      </c>
      <c r="B124" s="4147" t="s">
        <v>2763</v>
      </c>
      <c r="C124" s="3118" t="s">
        <v>2764</v>
      </c>
      <c r="D124" s="3092" t="s">
        <v>2765</v>
      </c>
      <c r="E124" s="3118">
        <v>0.1</v>
      </c>
      <c r="F124" s="3118">
        <v>15</v>
      </c>
    </row>
    <row r="125" spans="1:6" ht="24">
      <c r="A125" s="3118">
        <v>53</v>
      </c>
      <c r="B125" s="4147"/>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4147" t="s">
        <v>2771</v>
      </c>
      <c r="C127" s="3118" t="s">
        <v>2772</v>
      </c>
      <c r="D127" s="3092" t="s">
        <v>2773</v>
      </c>
      <c r="E127" s="3118">
        <v>0.1</v>
      </c>
      <c r="F127" s="3118">
        <v>15</v>
      </c>
    </row>
    <row r="128" spans="1:6" ht="13.5">
      <c r="A128" s="3118">
        <v>56</v>
      </c>
      <c r="B128" s="4147"/>
      <c r="C128" s="3118" t="s">
        <v>2774</v>
      </c>
      <c r="D128" s="3092" t="s">
        <v>2775</v>
      </c>
      <c r="E128" s="3118">
        <v>0.1</v>
      </c>
      <c r="F128" s="3118">
        <v>15</v>
      </c>
    </row>
    <row r="129" spans="1:6" ht="24">
      <c r="A129" s="3118">
        <v>57</v>
      </c>
      <c r="B129" s="4147"/>
      <c r="C129" s="3118" t="s">
        <v>2776</v>
      </c>
      <c r="D129" s="3092" t="s">
        <v>2777</v>
      </c>
      <c r="E129" s="3118">
        <v>0.1</v>
      </c>
      <c r="F129" s="3118">
        <v>15</v>
      </c>
    </row>
    <row r="130" spans="1:6" ht="24">
      <c r="A130" s="3118">
        <v>58</v>
      </c>
      <c r="B130" s="4147" t="s">
        <v>2778</v>
      </c>
      <c r="C130" s="3118" t="s">
        <v>2779</v>
      </c>
      <c r="D130" s="3092" t="s">
        <v>2780</v>
      </c>
      <c r="E130" s="3118">
        <v>0.1</v>
      </c>
      <c r="F130" s="3118">
        <v>15</v>
      </c>
    </row>
    <row r="131" spans="1:6" ht="13.5">
      <c r="A131" s="3118">
        <v>59</v>
      </c>
      <c r="B131" s="4147"/>
      <c r="C131" s="3118" t="s">
        <v>2781</v>
      </c>
      <c r="D131" s="3092" t="s">
        <v>2782</v>
      </c>
      <c r="E131" s="3118">
        <v>0.1</v>
      </c>
      <c r="F131" s="3118">
        <v>15</v>
      </c>
    </row>
    <row r="132" spans="1:6" ht="13.5">
      <c r="A132" s="3118">
        <v>60</v>
      </c>
      <c r="B132" s="4148" t="s">
        <v>2783</v>
      </c>
      <c r="C132" s="3118" t="s">
        <v>2784</v>
      </c>
      <c r="D132" s="3092" t="s">
        <v>2785</v>
      </c>
      <c r="E132" s="3118">
        <v>0.1</v>
      </c>
      <c r="F132" s="3118">
        <v>15</v>
      </c>
    </row>
    <row r="133" spans="1:6" ht="13.5">
      <c r="A133" s="3118">
        <v>61</v>
      </c>
      <c r="B133" s="4149"/>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4147" t="s">
        <v>2791</v>
      </c>
      <c r="C135" s="3118" t="s">
        <v>2792</v>
      </c>
      <c r="D135" s="3092" t="s">
        <v>2793</v>
      </c>
      <c r="E135" s="3118">
        <v>0.1</v>
      </c>
      <c r="F135" s="3118">
        <v>15</v>
      </c>
    </row>
    <row r="136" spans="1:6" ht="13.5">
      <c r="A136" s="3118">
        <v>64</v>
      </c>
      <c r="B136" s="4147"/>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7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97"/>
      <c r="C2" s="3797"/>
      <c r="D2" s="3797"/>
      <c r="E2" s="3797"/>
    </row>
    <row r="3" spans="1:5" ht="18">
      <c r="A3" s="3798" t="str">
        <f>IF(项目基本情况!B9="房地产市场价值","估价结果一览表（市场价值不需“结果表-1”）","估价结果一览表")</f>
        <v>估价结果一览表</v>
      </c>
      <c r="B3" s="3798"/>
      <c r="C3" s="3798"/>
      <c r="D3" s="3798"/>
      <c r="E3" s="3798"/>
    </row>
    <row r="4" spans="1:5" ht="19.5" thickBot="1">
      <c r="A4" s="1493"/>
      <c r="B4" s="3796" t="s">
        <v>917</v>
      </c>
      <c r="C4" s="3796"/>
      <c r="D4" s="3796"/>
      <c r="E4" s="1493"/>
    </row>
    <row r="5" spans="1:5" ht="16.5" thickTop="1">
      <c r="A5" s="1491"/>
      <c r="B5" s="3794" t="s">
        <v>909</v>
      </c>
      <c r="C5" s="1494" t="s">
        <v>910</v>
      </c>
      <c r="D5" s="850">
        <f ca="1">结果表!H101</f>
        <v>120410</v>
      </c>
      <c r="E5" s="1491"/>
    </row>
    <row r="6" spans="1:5" ht="15.75">
      <c r="A6" s="1491"/>
      <c r="B6" s="3794"/>
      <c r="C6" s="1494" t="s">
        <v>911</v>
      </c>
      <c r="D6" s="850" t="str">
        <f ca="1">NUMBERSTRING(INT(D5*10000),2)&amp;"元整"</f>
        <v>壹拾贰亿零肆佰壹拾万元整</v>
      </c>
      <c r="E6" s="1491"/>
    </row>
    <row r="7" spans="1:5" ht="15.75">
      <c r="A7" s="1491"/>
      <c r="B7" s="3799"/>
      <c r="C7" s="1495" t="s">
        <v>912</v>
      </c>
      <c r="D7" s="851">
        <f ca="1">结果表!H102</f>
        <v>34037</v>
      </c>
      <c r="E7" s="1491"/>
    </row>
    <row r="8" spans="1:5" ht="15.75">
      <c r="A8" s="1491"/>
      <c r="B8" s="3800" t="str">
        <f>结果表!E103</f>
        <v>2.估价师知悉的法定优先受偿款</v>
      </c>
      <c r="C8" s="1496" t="s">
        <v>913</v>
      </c>
      <c r="D8" s="851">
        <f>结果表!H103</f>
        <v>0</v>
      </c>
      <c r="E8" s="1491"/>
    </row>
    <row r="9" spans="1:5" ht="15.75">
      <c r="A9" s="1491"/>
      <c r="B9" s="380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793" t="str">
        <f>结果表!E107</f>
        <v>3.房地产抵押价值</v>
      </c>
      <c r="C13" s="1499" t="s">
        <v>910</v>
      </c>
      <c r="D13" s="853">
        <f ca="1">结果表!H107</f>
        <v>120410</v>
      </c>
      <c r="E13" s="1491"/>
    </row>
    <row r="14" spans="1:5" ht="15.75">
      <c r="A14" s="1491"/>
      <c r="B14" s="3794"/>
      <c r="C14" s="1494" t="s">
        <v>911</v>
      </c>
      <c r="D14" s="850" t="str">
        <f ca="1">NUMBERSTRING(INT(D13*10000),2)&amp;"元整"</f>
        <v>壹拾贰亿零肆佰壹拾万元整</v>
      </c>
      <c r="E14" s="1491"/>
    </row>
    <row r="15" spans="1:5" ht="15">
      <c r="A15" s="1491"/>
      <c r="B15" s="3799"/>
      <c r="C15" s="1495" t="s">
        <v>921</v>
      </c>
      <c r="D15" s="859">
        <f ca="1">结果表!H108</f>
        <v>34037</v>
      </c>
      <c r="E15" s="1491"/>
    </row>
    <row r="16" spans="1:5" ht="15">
      <c r="A16" s="1491"/>
      <c r="B16" s="3800" t="str">
        <f>结果表!E109</f>
        <v>——</v>
      </c>
      <c r="C16" s="1499" t="s">
        <v>922</v>
      </c>
      <c r="D16" s="1500" t="str">
        <f>结果表!H109</f>
        <v>——</v>
      </c>
      <c r="E16" s="1491"/>
    </row>
    <row r="17" spans="1:5" ht="15.75">
      <c r="A17" s="1491"/>
      <c r="B17" s="3801"/>
      <c r="C17" s="1494" t="s">
        <v>923</v>
      </c>
      <c r="D17" s="850" t="e">
        <f>NUMBERSTRING(INT(D16*10000),2)&amp;"元整"</f>
        <v>#VALUE!</v>
      </c>
      <c r="E17" s="1491"/>
    </row>
    <row r="18" spans="1:5" ht="15">
      <c r="A18" s="1491"/>
      <c r="B18" s="3802"/>
      <c r="C18" s="1495" t="s">
        <v>912</v>
      </c>
      <c r="D18" s="859" t="str">
        <f>结果表!H110</f>
        <v>——</v>
      </c>
      <c r="E18" s="1491"/>
    </row>
    <row r="19" spans="1:5" ht="15.75">
      <c r="A19" s="1491"/>
      <c r="B19" s="3793" t="str">
        <f>结果表!E111</f>
        <v>4.抵押净值</v>
      </c>
      <c r="C19" s="1499" t="s">
        <v>910</v>
      </c>
      <c r="D19" s="851">
        <f ca="1">结果表!H111</f>
        <v>82372</v>
      </c>
      <c r="E19" s="1491"/>
    </row>
    <row r="20" spans="1:5" ht="15.75">
      <c r="A20" s="1491"/>
      <c r="B20" s="3794"/>
      <c r="C20" s="1494" t="s">
        <v>923</v>
      </c>
      <c r="D20" s="850" t="str">
        <f ca="1">NUMBERSTRING(INT(D19*10000),2)&amp;"元整"</f>
        <v>捌亿贰仟叁佰柒拾贰万元整</v>
      </c>
      <c r="E20" s="1491"/>
    </row>
    <row r="21" spans="1:5" ht="15.75" thickBot="1">
      <c r="A21" s="1491"/>
      <c r="B21" s="3795"/>
      <c r="C21" s="1501" t="s">
        <v>921</v>
      </c>
      <c r="D21" s="860">
        <f ca="1">结果表!H112</f>
        <v>23285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0.8901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0.84670000000000001</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63766</v>
      </c>
      <c r="C2" s="2" t="s">
        <v>106</v>
      </c>
      <c r="D2" s="199"/>
      <c r="E2" s="199"/>
      <c r="F2" s="199"/>
      <c r="G2" s="199"/>
    </row>
    <row r="3" spans="1:7" s="200" customFormat="1" ht="18" customHeight="1" thickBot="1">
      <c r="A3" s="203" t="s">
        <v>58</v>
      </c>
      <c r="B3" s="204">
        <f ca="1">ROUND(B2*10000/'数据-汇总表'!E3,0)</f>
        <v>18025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708</v>
      </c>
      <c r="D10" s="845">
        <f>'数据-汇总表'!E6</f>
        <v>35375.960000000006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708</v>
      </c>
      <c r="D19" s="849">
        <f>'数据-汇总表'!E3</f>
        <v>35375.960000000006</v>
      </c>
      <c r="E19" s="211">
        <f>'数据-取费表'!B31</f>
        <v>200</v>
      </c>
      <c r="F19" s="231"/>
      <c r="G19" s="1" t="s">
        <v>436</v>
      </c>
    </row>
    <row r="20" spans="1:7" s="214" customFormat="1" ht="13.5" customHeight="1">
      <c r="A20" s="777" t="s">
        <v>419</v>
      </c>
      <c r="B20" s="210" t="s">
        <v>77</v>
      </c>
      <c r="C20" s="232">
        <f>ROUND((C5+C19)*F20,0)</f>
        <v>426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2237</v>
      </c>
      <c r="D22" s="235">
        <f ca="1">C26</f>
        <v>1E-3</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2141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74</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4349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4349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30738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30990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28301</v>
      </c>
      <c r="D34" s="217"/>
      <c r="E34" s="220"/>
      <c r="F34" s="257">
        <f>IF('数据-取费表'!B24=0,1,'数据-取费表'!N16)</f>
        <v>1</v>
      </c>
      <c r="G34" s="219" t="s">
        <v>89</v>
      </c>
    </row>
    <row r="35" spans="1:7" ht="13.5" customHeight="1">
      <c r="A35" s="780" t="s">
        <v>351</v>
      </c>
      <c r="B35" s="215" t="s">
        <v>33</v>
      </c>
      <c r="C35" s="220">
        <f>ROUND(C34*F35,0)</f>
        <v>1415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708</v>
      </c>
      <c r="D37" s="217">
        <f>'数据-汇总表'!E3</f>
        <v>35375.960000000006</v>
      </c>
      <c r="E37" s="249">
        <f>'数据-取费表'!B35</f>
        <v>200</v>
      </c>
      <c r="F37" s="259"/>
      <c r="G37" s="261" t="s">
        <v>92</v>
      </c>
    </row>
    <row r="38" spans="1:7" ht="13.5" customHeight="1">
      <c r="A38" s="780" t="s">
        <v>354</v>
      </c>
      <c r="B38" s="215" t="s">
        <v>36</v>
      </c>
      <c r="C38" s="220">
        <f>ROUND(C34*F38,0)</f>
        <v>566</v>
      </c>
      <c r="D38" s="220"/>
      <c r="E38" s="220"/>
      <c r="F38" s="259">
        <f>'数据-取费表'!B36</f>
        <v>0.02</v>
      </c>
      <c r="G38" s="219" t="s">
        <v>90</v>
      </c>
    </row>
    <row r="39" spans="1:7" s="214" customFormat="1" ht="13.5" customHeight="1">
      <c r="A39" s="777" t="s">
        <v>338</v>
      </c>
      <c r="B39" s="210" t="s">
        <v>77</v>
      </c>
      <c r="C39" s="232">
        <f>ROUND(C33*F20,0)</f>
        <v>620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1601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1570</v>
      </c>
      <c r="D42" s="238"/>
      <c r="E42" s="238"/>
      <c r="F42" s="239"/>
      <c r="G42" s="4093" t="s">
        <v>94</v>
      </c>
    </row>
    <row r="43" spans="1:7" ht="13.5" customHeight="1">
      <c r="A43" s="780" t="s">
        <v>347</v>
      </c>
      <c r="B43" s="215" t="s">
        <v>426</v>
      </c>
      <c r="C43" s="238">
        <f ca="1">ROUND(IF('数据-取费表'!B22&lt;=1,C39*F22*'数据-取费表'!B21/2,C39*(POWER((1+F22),'数据-取费表'!B21/2)-1)),0)</f>
        <v>31</v>
      </c>
      <c r="D43" s="238"/>
      <c r="E43" s="238"/>
      <c r="F43" s="239"/>
      <c r="G43" s="4094"/>
    </row>
    <row r="44" spans="1:7" ht="13.5" customHeight="1">
      <c r="A44" s="780" t="s">
        <v>348</v>
      </c>
      <c r="B44" s="215" t="s">
        <v>428</v>
      </c>
      <c r="C44" s="238">
        <f ca="1">ROUND(IF('数据-取费表'!B22&lt;=1,C40*F22*'数据-取费表'!B21/2,C40*(POWER((1+F22),'数据-取费表'!B21/2)-1)),4)</f>
        <v>1E-3</v>
      </c>
      <c r="D44" s="238"/>
      <c r="E44" s="238"/>
      <c r="F44" s="239"/>
      <c r="G44" s="4095"/>
    </row>
    <row r="45" spans="1:7" s="214" customFormat="1" ht="13.5" customHeight="1">
      <c r="A45" s="777" t="s">
        <v>341</v>
      </c>
      <c r="B45" s="244" t="s">
        <v>85</v>
      </c>
      <c r="C45" s="245">
        <f>C46</f>
        <v>6322</v>
      </c>
      <c r="D45" s="235">
        <f>C47</f>
        <v>4.0000000000000001E-3</v>
      </c>
      <c r="E45" s="236" t="s">
        <v>102</v>
      </c>
      <c r="F45" s="246"/>
      <c r="G45" s="247" t="s">
        <v>434</v>
      </c>
    </row>
    <row r="46" spans="1:7" s="214" customFormat="1" ht="13.5" customHeight="1">
      <c r="A46" s="780" t="s">
        <v>349</v>
      </c>
      <c r="B46" s="248" t="s">
        <v>427</v>
      </c>
      <c r="C46" s="249">
        <f>ROUND((C33+C39)*F27,0)</f>
        <v>6322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42893</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33028</v>
      </c>
      <c r="D51" s="232"/>
      <c r="E51" s="232"/>
      <c r="F51" s="264"/>
      <c r="G51" s="234" t="s">
        <v>37</v>
      </c>
    </row>
    <row r="52" spans="1:7" s="208" customFormat="1" ht="16.5" thickBot="1">
      <c r="A52" s="265" t="s">
        <v>38</v>
      </c>
      <c r="B52" s="266"/>
      <c r="C52" s="267">
        <f ca="1">C31+C51</f>
        <v>63766</v>
      </c>
      <c r="D52" s="266"/>
      <c r="E52" s="266"/>
      <c r="F52" s="266"/>
      <c r="G52" s="268"/>
    </row>
    <row r="55" spans="1:7" ht="15">
      <c r="B55" s="270" t="s">
        <v>39</v>
      </c>
      <c r="C55" s="271"/>
    </row>
    <row r="56" spans="1:7">
      <c r="B56" s="273" t="s">
        <v>40</v>
      </c>
      <c r="C56" s="274">
        <f ca="1">ROUND(C51/C52,3)</f>
        <v>0.51800000000000002</v>
      </c>
    </row>
    <row r="57" spans="1:7">
      <c r="B57" s="273" t="s">
        <v>41</v>
      </c>
      <c r="C57" s="275">
        <f ca="1">1-C56</f>
        <v>0.48199999999999998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4161" t="s">
        <v>2841</v>
      </c>
      <c r="B1" s="4161"/>
      <c r="C1" s="4161"/>
      <c r="D1" s="4161"/>
      <c r="E1" s="4161"/>
      <c r="F1" s="4161"/>
      <c r="G1" s="4162"/>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4159"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4160"/>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4163" t="s">
        <v>3183</v>
      </c>
      <c r="B1" s="4163"/>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4164" t="s">
        <v>3234</v>
      </c>
      <c r="B1" s="4164"/>
      <c r="C1" s="4164"/>
      <c r="D1" s="4164"/>
      <c r="E1" s="4164"/>
      <c r="F1" s="4165"/>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1">
        <f>基准地价修正!G23</f>
        <v>45530</v>
      </c>
      <c r="B1" s="3210" t="s">
        <v>3373</v>
      </c>
      <c r="C1" s="3211"/>
      <c r="D1" s="3211"/>
      <c r="E1" s="3211"/>
      <c r="F1" s="3211"/>
      <c r="G1" s="3211"/>
      <c r="H1" s="3211"/>
      <c r="I1" s="3211"/>
      <c r="J1" s="3165"/>
      <c r="K1" s="3211" t="s">
        <v>454</v>
      </c>
      <c r="L1" s="3211"/>
      <c r="M1" s="3211"/>
      <c r="N1" s="3211"/>
      <c r="O1" s="3211"/>
      <c r="P1" s="3211"/>
      <c r="Q1" s="3165"/>
      <c r="R1" s="4166" t="s">
        <v>456</v>
      </c>
      <c r="S1" s="4167"/>
      <c r="T1" s="4167"/>
      <c r="U1" s="4167"/>
      <c r="V1" s="4167"/>
      <c r="W1" s="4167"/>
      <c r="X1" s="3165"/>
      <c r="Y1" s="4166" t="s">
        <v>457</v>
      </c>
      <c r="Z1" s="4167"/>
      <c r="AA1" s="4167"/>
      <c r="AB1" s="4167"/>
      <c r="AC1" s="4167"/>
      <c r="AD1" s="4167"/>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3379</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3380</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2.75">
      <c r="A7" s="3176" t="s">
        <v>3382</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2.75">
      <c r="A8" s="3176" t="s">
        <v>3377</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3376</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3372</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3371</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3370</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3366</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3357</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2822</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2823</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2824</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2825</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2826</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3368</v>
      </c>
    </row>
    <row r="22" spans="1:30" s="3009" customFormat="1">
      <c r="I22" s="3208" t="s">
        <v>2827</v>
      </c>
    </row>
    <row r="23" spans="1:30" s="3009" customFormat="1"/>
    <row r="24" spans="1:30" s="3209" customFormat="1" ht="12.75">
      <c r="B24" s="3210" t="s">
        <v>3374</v>
      </c>
      <c r="C24" s="3211"/>
      <c r="D24" s="3211"/>
      <c r="E24" s="3211"/>
      <c r="F24" s="3211"/>
      <c r="G24" s="3211"/>
      <c r="H24" s="3211"/>
      <c r="I24" s="3211"/>
      <c r="J24" s="3165"/>
      <c r="K24" s="3211" t="s">
        <v>2828</v>
      </c>
      <c r="L24" s="3211"/>
      <c r="M24" s="3211"/>
      <c r="N24" s="3211"/>
      <c r="O24" s="3211"/>
      <c r="P24" s="3211"/>
      <c r="Q24" s="3165"/>
      <c r="R24" s="4166" t="s">
        <v>2829</v>
      </c>
      <c r="S24" s="4167"/>
      <c r="T24" s="4167"/>
      <c r="U24" s="4167"/>
      <c r="V24" s="4167"/>
      <c r="W24" s="4167"/>
      <c r="X24" s="3165"/>
      <c r="Y24" s="4166" t="s">
        <v>2830</v>
      </c>
      <c r="Z24" s="4167"/>
      <c r="AA24" s="4167"/>
      <c r="AB24" s="4167"/>
      <c r="AC24" s="4167"/>
      <c r="AD24" s="4167"/>
    </row>
    <row r="25" spans="1:30" s="3143" customFormat="1" ht="14.25" thickBot="1">
      <c r="B25" s="3144"/>
      <c r="C25" s="3145"/>
      <c r="D25" s="3146" t="s">
        <v>2831</v>
      </c>
      <c r="E25" s="3147" t="s">
        <v>2832</v>
      </c>
      <c r="F25" s="3147" t="s">
        <v>2833</v>
      </c>
      <c r="G25" s="3147" t="s">
        <v>2834</v>
      </c>
      <c r="H25" s="3147"/>
      <c r="I25" s="3147" t="s">
        <v>2835</v>
      </c>
      <c r="J25" s="3148"/>
      <c r="K25" s="3146" t="s">
        <v>2831</v>
      </c>
      <c r="L25" s="3147" t="s">
        <v>2832</v>
      </c>
      <c r="M25" s="3147" t="s">
        <v>2833</v>
      </c>
      <c r="N25" s="3147" t="s">
        <v>2834</v>
      </c>
      <c r="O25" s="3147"/>
      <c r="P25" s="3147" t="s">
        <v>2835</v>
      </c>
      <c r="Q25" s="3148"/>
      <c r="R25" s="3146" t="s">
        <v>2831</v>
      </c>
      <c r="S25" s="3147" t="s">
        <v>2832</v>
      </c>
      <c r="T25" s="3147" t="s">
        <v>2833</v>
      </c>
      <c r="U25" s="3147" t="s">
        <v>2834</v>
      </c>
      <c r="V25" s="3147"/>
      <c r="W25" s="3147" t="s">
        <v>2835</v>
      </c>
      <c r="X25" s="3148"/>
      <c r="Y25" s="3146" t="s">
        <v>2831</v>
      </c>
      <c r="Z25" s="3147" t="s">
        <v>2832</v>
      </c>
      <c r="AA25" s="3147" t="s">
        <v>2833</v>
      </c>
      <c r="AB25" s="3147" t="s">
        <v>2834</v>
      </c>
      <c r="AC25" s="3147"/>
      <c r="AD25" s="3147" t="s">
        <v>2835</v>
      </c>
    </row>
    <row r="26" spans="1:30" s="3161" customFormat="1" ht="12.75">
      <c r="A26" s="3149" t="s">
        <v>2836</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3379</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2.75">
      <c r="A29" s="3186" t="s">
        <v>3380</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2.75">
      <c r="A30" s="3176" t="s">
        <v>3381</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2.75">
      <c r="A31" s="3176" t="s">
        <v>3378</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3376</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3375</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3371</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3370</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3367</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3357</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2837</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2838</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2839</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2840</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2826</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4173" t="s">
        <v>452</v>
      </c>
      <c r="C1" s="4173"/>
      <c r="D1" s="4173"/>
      <c r="E1" s="4173"/>
      <c r="F1" s="4173"/>
      <c r="G1" s="4172" t="s">
        <v>453</v>
      </c>
      <c r="H1" s="4172"/>
      <c r="I1" s="4172"/>
      <c r="J1" s="4172"/>
      <c r="K1" s="4172"/>
      <c r="L1" s="4172"/>
      <c r="N1" s="4172" t="s">
        <v>454</v>
      </c>
      <c r="O1" s="4172"/>
      <c r="P1" s="4172"/>
      <c r="Q1" s="4172"/>
      <c r="S1" s="4172" t="s">
        <v>455</v>
      </c>
      <c r="T1" s="4172"/>
      <c r="U1" s="4172"/>
      <c r="V1" s="4172"/>
      <c r="X1" s="4171" t="s">
        <v>456</v>
      </c>
      <c r="Y1" s="4172"/>
      <c r="Z1" s="4172"/>
      <c r="AA1" s="4172"/>
      <c r="AB1" s="4172"/>
      <c r="AD1" s="4171" t="s">
        <v>457</v>
      </c>
      <c r="AE1" s="4172"/>
      <c r="AF1" s="4172"/>
      <c r="AG1" s="4172"/>
      <c r="AH1" s="417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416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416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416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417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417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416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416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417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417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416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416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417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416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416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416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417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416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416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416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417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417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417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417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417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416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416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416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417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416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416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416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417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416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416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416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417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416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416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416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417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416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416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416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417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416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416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416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417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416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416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416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417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416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416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416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417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416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416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416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417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416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416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416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417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416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416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416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417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45530</v>
      </c>
      <c r="D1" s="1302" t="s">
        <v>603</v>
      </c>
      <c r="E1" s="1297">
        <f>'数据-取费表'!B22</f>
        <v>3</v>
      </c>
      <c r="F1" s="1302" t="s">
        <v>604</v>
      </c>
      <c r="G1" s="1298">
        <f ca="1">INDIRECT("d"&amp;$K$1)/100</f>
        <v>3.3500000000000002E-2</v>
      </c>
      <c r="H1" s="1302" t="s">
        <v>634</v>
      </c>
      <c r="I1" s="1298">
        <f ca="1">F4/100</f>
        <v>1.4999999999999999E-2</v>
      </c>
      <c r="J1" s="1303">
        <f>IF(C1&gt;C13,0,MATCH(C1,C$13:C$113,-1))+IF(SUMIF(C13:C113,C1,D13:D113)=0,13,12)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810" t="str">
        <f>IF(项目基本情况!B9="房地产市场价值","估价结果一览表","结果表-2")</f>
        <v>结果表-2</v>
      </c>
      <c r="B1" s="3810"/>
      <c r="C1" s="3810"/>
      <c r="D1" s="3810"/>
      <c r="E1" s="3810"/>
      <c r="F1" s="3810"/>
      <c r="G1" s="3810"/>
      <c r="H1" s="3810"/>
      <c r="I1" s="3810"/>
    </row>
    <row r="2" spans="1:9" ht="30" customHeight="1" thickTop="1">
      <c r="A2" s="3811" t="s">
        <v>928</v>
      </c>
      <c r="B2" s="3811" t="s">
        <v>929</v>
      </c>
      <c r="C2" s="3811" t="s">
        <v>930</v>
      </c>
      <c r="D2" s="3811" t="str">
        <f>结果表!D116</f>
        <v>出让国有建设用地使用权价值</v>
      </c>
      <c r="E2" s="3811"/>
      <c r="F2" s="3811" t="str">
        <f>结果表!F116</f>
        <v>在建建筑物价值</v>
      </c>
      <c r="G2" s="3811"/>
      <c r="H2" s="3811" t="str">
        <f>IF(项目基本情况!B9="房地产市场价值","房地产市场价值","房地产价值")</f>
        <v>房地产价值</v>
      </c>
      <c r="I2" s="3811"/>
    </row>
    <row r="3" spans="1:9" ht="15">
      <c r="A3" s="3806"/>
      <c r="B3" s="3806"/>
      <c r="C3" s="3806"/>
      <c r="D3" s="854" t="s">
        <v>925</v>
      </c>
      <c r="E3" s="854" t="s">
        <v>931</v>
      </c>
      <c r="F3" s="854" t="s">
        <v>925</v>
      </c>
      <c r="G3" s="854" t="s">
        <v>926</v>
      </c>
      <c r="H3" s="854" t="s">
        <v>925</v>
      </c>
      <c r="I3" s="854" t="s">
        <v>926</v>
      </c>
    </row>
    <row r="4" spans="1:9" ht="15">
      <c r="A4" s="1505" t="str">
        <f>项目基本情况!S2</f>
        <v>北京市房地产</v>
      </c>
      <c r="B4" s="854">
        <f>项目基本情况!C17</f>
        <v>35375.960000000006</v>
      </c>
      <c r="C4" s="854">
        <f>项目基本情况!C18</f>
        <v>6534.54</v>
      </c>
      <c r="D4" s="854">
        <f ca="1">结果表!D118</f>
        <v>79832</v>
      </c>
      <c r="E4" s="854">
        <f ca="1">结果表!E118</f>
        <v>22566</v>
      </c>
      <c r="F4" s="854">
        <f ca="1">结果表!F118</f>
        <v>40578</v>
      </c>
      <c r="G4" s="854">
        <f ca="1">结果表!G118</f>
        <v>11471</v>
      </c>
      <c r="H4" s="854">
        <f ca="1">结果表!H118</f>
        <v>120410</v>
      </c>
      <c r="I4" s="854">
        <f ca="1">结果表!I118</f>
        <v>34037</v>
      </c>
    </row>
    <row r="5" spans="1:9" ht="30" customHeight="1">
      <c r="A5" s="3806" t="s">
        <v>927</v>
      </c>
      <c r="B5" s="3806"/>
      <c r="C5" s="3806"/>
      <c r="D5" s="3806" t="str">
        <f ca="1">结果表!D119</f>
        <v>柒亿玖仟捌佰叁拾贰万元整</v>
      </c>
      <c r="E5" s="3806"/>
      <c r="F5" s="3806" t="str">
        <f ca="1">结果表!F119</f>
        <v>肆亿零伍佰柒拾捌万元整</v>
      </c>
      <c r="G5" s="3806"/>
      <c r="H5" s="3806" t="str">
        <f ca="1">结果表!H119</f>
        <v>壹拾贰亿零肆佰壹拾万元整</v>
      </c>
      <c r="I5" s="3806"/>
    </row>
    <row r="6" spans="1:9" ht="15.75">
      <c r="A6" s="3805" t="str">
        <f>结果表!A120</f>
        <v>估价师知悉的法定优先受偿款</v>
      </c>
      <c r="B6" s="3805"/>
      <c r="C6" s="3805"/>
      <c r="D6" s="3805">
        <f>结果表!D120</f>
        <v>0</v>
      </c>
      <c r="E6" s="3805"/>
      <c r="F6" s="3805"/>
      <c r="G6" s="3805"/>
      <c r="H6" s="3805"/>
      <c r="I6" s="3805"/>
    </row>
    <row r="7" spans="1:9" ht="15">
      <c r="A7" s="3806" t="s">
        <v>927</v>
      </c>
      <c r="B7" s="3806"/>
      <c r="C7" s="3806"/>
      <c r="D7" s="3807" t="str">
        <f>结果表!D121</f>
        <v>零元整</v>
      </c>
      <c r="E7" s="3808"/>
      <c r="F7" s="3808"/>
      <c r="G7" s="3808"/>
      <c r="H7" s="3808"/>
      <c r="I7" s="3809"/>
    </row>
    <row r="8" spans="1:9" ht="15.75">
      <c r="A8" s="3805" t="str">
        <f>结果表!A122</f>
        <v>房地产抵押价值</v>
      </c>
      <c r="B8" s="3805"/>
      <c r="C8" s="3805"/>
      <c r="D8" s="3805">
        <f ca="1">结果表!D122</f>
        <v>120410</v>
      </c>
      <c r="E8" s="3805"/>
      <c r="F8" s="3805"/>
      <c r="G8" s="3805"/>
      <c r="H8" s="3805"/>
      <c r="I8" s="3805"/>
    </row>
    <row r="9" spans="1:9" ht="15">
      <c r="A9" s="3806" t="s">
        <v>927</v>
      </c>
      <c r="B9" s="3806"/>
      <c r="C9" s="3806"/>
      <c r="D9" s="3806" t="str">
        <f ca="1">结果表!D123</f>
        <v>壹拾贰亿零肆佰壹拾万元整</v>
      </c>
      <c r="E9" s="3806"/>
      <c r="F9" s="3806"/>
      <c r="G9" s="3806"/>
      <c r="H9" s="3806"/>
      <c r="I9" s="3806"/>
    </row>
    <row r="10" spans="1:9" ht="15.75">
      <c r="A10" s="3805" t="str">
        <f>结果表!A124</f>
        <v/>
      </c>
      <c r="B10" s="3805"/>
      <c r="C10" s="3805"/>
      <c r="D10" s="3805" t="str">
        <f>结果表!D124</f>
        <v>——</v>
      </c>
      <c r="E10" s="3805"/>
      <c r="F10" s="3805"/>
      <c r="G10" s="3805"/>
      <c r="H10" s="3805"/>
      <c r="I10" s="3805"/>
    </row>
    <row r="11" spans="1:9" ht="15">
      <c r="A11" s="3806" t="s">
        <v>927</v>
      </c>
      <c r="B11" s="3806"/>
      <c r="C11" s="3806"/>
      <c r="D11" s="3806" t="e">
        <f>结果表!D125</f>
        <v>#VALUE!</v>
      </c>
      <c r="E11" s="3806"/>
      <c r="F11" s="3806"/>
      <c r="G11" s="3806"/>
      <c r="H11" s="3806"/>
      <c r="I11" s="3806"/>
    </row>
    <row r="12" spans="1:9" ht="15.75">
      <c r="A12" s="3805" t="str">
        <f>结果表!A126</f>
        <v>抵押净值</v>
      </c>
      <c r="B12" s="3805"/>
      <c r="C12" s="3805"/>
      <c r="D12" s="3805">
        <f ca="1">结果表!D126</f>
        <v>82372</v>
      </c>
      <c r="E12" s="3805"/>
      <c r="F12" s="3805"/>
      <c r="G12" s="3805"/>
      <c r="H12" s="3805"/>
      <c r="I12" s="3805"/>
    </row>
    <row r="13" spans="1:9" ht="15.75" thickBot="1">
      <c r="A13" s="3803" t="s">
        <v>927</v>
      </c>
      <c r="B13" s="3803"/>
      <c r="C13" s="3803"/>
      <c r="D13" s="3803" t="str">
        <f ca="1">结果表!D127</f>
        <v>捌亿贰仟叁佰柒拾贰万元整</v>
      </c>
      <c r="E13" s="3803"/>
      <c r="F13" s="3803"/>
      <c r="G13" s="3803"/>
      <c r="H13" s="3803"/>
      <c r="I13" s="3803"/>
    </row>
    <row r="14" spans="1:9" ht="15" thickTop="1">
      <c r="A14" s="3804" t="s">
        <v>932</v>
      </c>
      <c r="B14" s="3804"/>
      <c r="C14" s="3804"/>
      <c r="D14" s="3804"/>
      <c r="E14" s="3804"/>
      <c r="F14" s="3804"/>
      <c r="G14" s="3804"/>
      <c r="H14" s="3804"/>
      <c r="I14" s="380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818" t="s">
        <v>949</v>
      </c>
      <c r="B1" s="3818"/>
      <c r="C1" s="3818"/>
      <c r="D1" s="3818"/>
    </row>
    <row r="2" spans="1:4" ht="18">
      <c r="A2" s="3819" t="s">
        <v>933</v>
      </c>
      <c r="B2" s="3819"/>
      <c r="C2" s="3819"/>
      <c r="D2" s="381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819" t="s">
        <v>939</v>
      </c>
      <c r="B6" s="3819"/>
      <c r="C6" s="3819"/>
      <c r="D6" s="381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820" t="s">
        <v>942</v>
      </c>
      <c r="B11" s="3812"/>
      <c r="C11" s="3812"/>
      <c r="D11" s="3812"/>
    </row>
    <row r="12" spans="1:4" ht="15.75">
      <c r="A12" s="38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817"/>
      <c r="C12" s="3817"/>
      <c r="D12" s="3817"/>
    </row>
    <row r="13" spans="1:4" ht="30" customHeight="1">
      <c r="A13" s="38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817"/>
      <c r="C13" s="3817"/>
      <c r="D13" s="3817"/>
    </row>
    <row r="14" spans="1:4" ht="15.75" customHeight="1">
      <c r="A14" s="3812" t="str">
        <f>IF(项目基本情况!B8="抵押","4.本次评估估价师所知悉的法定优先受偿款情况说明如下：","——")</f>
        <v>4.本次评估估价师所知悉的法定优先受偿款情况说明如下：</v>
      </c>
      <c r="B14" s="3817"/>
      <c r="C14" s="3817"/>
      <c r="D14" s="3817"/>
    </row>
    <row r="15" spans="1:4" ht="42" customHeight="1">
      <c r="A15" s="38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812"/>
      <c r="C15" s="3812"/>
      <c r="D15" s="3812"/>
    </row>
    <row r="16" spans="1:4" ht="30" customHeight="1">
      <c r="A16" s="3814" t="s">
        <v>943</v>
      </c>
      <c r="B16" s="3814"/>
      <c r="C16" s="3814"/>
      <c r="D16" s="3814"/>
    </row>
    <row r="17" spans="1:4" ht="144" customHeight="1">
      <c r="A17" s="3814" t="s">
        <v>944</v>
      </c>
      <c r="B17" s="3814"/>
      <c r="C17" s="3814"/>
      <c r="D17" s="3814"/>
    </row>
    <row r="18" spans="1:4" ht="15.75" customHeight="1">
      <c r="A18" s="3812" t="str">
        <f>IF(项目基本情况!B8="抵押",结果表!K120,"——")</f>
        <v>故，本次评估不存在估价师知悉的法定优先受偿款</v>
      </c>
      <c r="B18" s="3812"/>
      <c r="C18" s="3812"/>
      <c r="D18" s="3812"/>
    </row>
    <row r="19" spans="1:4" ht="46.5" customHeight="1">
      <c r="A19" s="38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812"/>
      <c r="C19" s="3812"/>
      <c r="D19" s="3812"/>
    </row>
    <row r="20" spans="1:4" ht="57.75" customHeight="1">
      <c r="A20" s="38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812"/>
      <c r="C20" s="3812"/>
      <c r="D20" s="3812"/>
    </row>
    <row r="21" spans="1:4" ht="57.75" customHeight="1">
      <c r="A21" s="38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815"/>
      <c r="C21" s="3815"/>
      <c r="D21" s="3815"/>
    </row>
    <row r="22" spans="1:4" ht="18.75" customHeight="1">
      <c r="A22" s="3816" t="s">
        <v>945</v>
      </c>
      <c r="B22" s="3816"/>
      <c r="C22" s="3816"/>
      <c r="D22" s="381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813">
        <v>42551</v>
      </c>
      <c r="D31" s="38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826" t="s">
        <v>956</v>
      </c>
      <c r="B15" s="3821" t="s">
        <v>109</v>
      </c>
      <c r="C15" s="3822"/>
    </row>
    <row r="16" spans="1:7" ht="13.5">
      <c r="A16" s="3827"/>
      <c r="B16" s="3821" t="s">
        <v>42</v>
      </c>
      <c r="C16" s="3822"/>
    </row>
    <row r="17" spans="1:3" ht="13.5">
      <c r="A17" s="3827"/>
      <c r="B17" s="3824" t="s">
        <v>957</v>
      </c>
      <c r="C17" s="1532" t="s">
        <v>956</v>
      </c>
    </row>
    <row r="18" spans="1:3" ht="13.5">
      <c r="A18" s="3827"/>
      <c r="B18" s="3824"/>
      <c r="C18" s="1532" t="s">
        <v>958</v>
      </c>
    </row>
    <row r="19" spans="1:3" ht="13.5">
      <c r="A19" s="3827"/>
      <c r="B19" s="3824"/>
      <c r="C19" s="1532" t="s">
        <v>959</v>
      </c>
    </row>
    <row r="20" spans="1:3" ht="13.5">
      <c r="A20" s="3828"/>
      <c r="B20" s="3823" t="s">
        <v>960</v>
      </c>
      <c r="C20" s="3822"/>
    </row>
    <row r="21" spans="1:3" ht="13.5">
      <c r="A21" s="1533" t="s">
        <v>961</v>
      </c>
      <c r="B21" s="1534"/>
      <c r="C21" s="1535"/>
    </row>
    <row r="22" spans="1:3" ht="13.5">
      <c r="A22" s="3825" t="s">
        <v>962</v>
      </c>
      <c r="B22" s="3823" t="s">
        <v>963</v>
      </c>
      <c r="C22" s="3822"/>
    </row>
    <row r="23" spans="1:3" ht="13.5">
      <c r="A23" s="3825"/>
      <c r="B23" s="3823" t="s">
        <v>964</v>
      </c>
      <c r="C23" s="3822"/>
    </row>
    <row r="24" spans="1:3" ht="13.5">
      <c r="A24" s="3825"/>
      <c r="B24" s="3823" t="s">
        <v>965</v>
      </c>
      <c r="C24" s="3822"/>
    </row>
    <row r="25" spans="1:3" ht="13.5">
      <c r="A25" s="3825"/>
      <c r="B25" s="3824" t="s">
        <v>966</v>
      </c>
      <c r="C25" s="1532" t="s">
        <v>967</v>
      </c>
    </row>
    <row r="26" spans="1:3" ht="13.5">
      <c r="A26" s="3825"/>
      <c r="B26" s="3824"/>
      <c r="C26" s="1532" t="s">
        <v>968</v>
      </c>
    </row>
    <row r="27" spans="1:3" ht="13.5">
      <c r="A27" s="3825"/>
      <c r="B27" s="3824"/>
      <c r="C27" s="1532" t="s">
        <v>969</v>
      </c>
    </row>
    <row r="28" spans="1:3" ht="13.5">
      <c r="A28" s="3825"/>
      <c r="B28" s="3824"/>
      <c r="C28" s="1532" t="s">
        <v>970</v>
      </c>
    </row>
    <row r="29" spans="1:3" ht="13.5">
      <c r="A29" s="3825"/>
      <c r="B29" s="3824"/>
      <c r="C29" s="1532" t="s">
        <v>971</v>
      </c>
    </row>
    <row r="30" spans="1:3" ht="13.5">
      <c r="A30" s="3825"/>
      <c r="B30" s="3824"/>
      <c r="C30" s="1532" t="s">
        <v>972</v>
      </c>
    </row>
    <row r="31" spans="1:3" ht="13.5">
      <c r="A31" s="3825"/>
      <c r="B31" s="3824"/>
      <c r="C31" s="1532" t="s">
        <v>973</v>
      </c>
    </row>
    <row r="32" spans="1:3" ht="13.5">
      <c r="A32" s="3825"/>
      <c r="B32" s="3824"/>
      <c r="C32" s="1532" t="s">
        <v>974</v>
      </c>
    </row>
    <row r="33" spans="1:3" ht="13.5">
      <c r="A33" s="3825"/>
      <c r="B33" s="382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45530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829" t="s">
        <v>2160</v>
      </c>
      <c r="B17" s="3829"/>
      <c r="C17" s="3829"/>
      <c r="D17" s="3829"/>
      <c r="E17" s="3829"/>
      <c r="F17" s="3829"/>
      <c r="G17" s="3829"/>
      <c r="H17" s="3829"/>
    </row>
    <row r="18" spans="1:8" ht="24" customHeight="1">
      <c r="A18" s="3830" t="s">
        <v>2161</v>
      </c>
      <c r="B18" s="3830"/>
      <c r="C18" s="3830"/>
      <c r="D18" s="2343"/>
      <c r="E18" s="3831" t="s">
        <v>2162</v>
      </c>
      <c r="F18" s="3830"/>
      <c r="G18" s="383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面积取值</vt:lpstr>
      <vt:lpstr>数据-汇总表</vt:lpstr>
      <vt:lpstr>数据-取费表</vt:lpstr>
      <vt:lpstr>估价对象房地状况</vt:lpstr>
      <vt:lpstr>系统读取表</vt:lpstr>
      <vt:lpstr>结果表</vt:lpstr>
      <vt:lpstr>比较法-办公</vt:lpstr>
      <vt:lpstr>比较法-商业 (2)</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2024-08-26T09:17:18Z</dcterms:modified>
</cp:coreProperties>
</file>