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55" windowWidth="11430" windowHeight="1086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价值拆分" sheetId="85" r:id="rId13"/>
    <sheet name="面积清单" sheetId="80" r:id="rId14"/>
    <sheet name="市调信息汇总" sheetId="84"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1"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收益法(地下1层)" sheetId="82" state="hidden" r:id="rId32"/>
    <sheet name="收益法(车库)" sheetId="83" state="hidden" r:id="rId33"/>
    <sheet name="收益法（汇总）" sheetId="70"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'数据-基础表'!$A$12:$AT$587</definedName>
    <definedName name="_xlnm._FilterDatabase" localSheetId="25" hidden="1">土地案例!$A$1:$R$51</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3">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2">'收益法(车库)'!$A$1:$F$43,'收益法(车库)'!$H$3:$M$29,'收益法(车库)'!$A$46:$F$71,'收益法(车库)'!$I$46:$N$65</definedName>
    <definedName name="_xlnm.Print_Area" localSheetId="31">'收益法(地下1层)'!$A$1:$F$43,'收益法(地下1层)'!$H$3:$M$29,'收益法(地下1层)'!$A$46:$F$71,'收益法(地下1层)'!$I$46:$N$65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7" i="85" l="1"/>
  <c r="D61" i="85"/>
  <c r="F63" i="85" l="1"/>
  <c r="F64" i="85"/>
  <c r="E63" i="85"/>
  <c r="E64" i="85"/>
  <c r="C64" i="85"/>
  <c r="D63" i="85"/>
  <c r="D62" i="85"/>
  <c r="K56" i="85"/>
  <c r="J56" i="85"/>
  <c r="F57" i="85"/>
  <c r="F56" i="85"/>
  <c r="C26" i="80"/>
  <c r="E26" i="80"/>
  <c r="E25" i="80"/>
  <c r="E24" i="80"/>
  <c r="D25" i="80"/>
  <c r="D24" i="80"/>
  <c r="C25" i="80"/>
  <c r="C24" i="80"/>
  <c r="E56" i="85"/>
  <c r="E57" i="85"/>
  <c r="I55" i="85"/>
  <c r="I54" i="85"/>
  <c r="D56" i="85"/>
  <c r="D55" i="85"/>
  <c r="D54" i="85"/>
  <c r="F49" i="85"/>
  <c r="F46" i="85"/>
  <c r="J44" i="85"/>
  <c r="D20" i="80" l="1"/>
  <c r="E20" i="80" s="1"/>
  <c r="C21" i="80"/>
  <c r="C20" i="80"/>
  <c r="C19" i="80"/>
  <c r="M13" i="3" l="1"/>
  <c r="I8" i="1"/>
  <c r="I7" i="1"/>
  <c r="V31" i="1"/>
  <c r="E70" i="39"/>
  <c r="F70" i="39"/>
  <c r="G70" i="39" s="1"/>
  <c r="H70" i="39" s="1"/>
  <c r="I70" i="39" s="1"/>
  <c r="J70" i="39" s="1"/>
  <c r="K70" i="39" s="1"/>
  <c r="L70" i="39" s="1"/>
  <c r="M70" i="39" s="1"/>
  <c r="N70" i="39" s="1"/>
  <c r="O70" i="39" s="1"/>
  <c r="D70" i="39"/>
  <c r="U27" i="1" l="1"/>
  <c r="T27" i="1"/>
  <c r="I46" i="39" l="1"/>
  <c r="I38" i="39"/>
  <c r="I7" i="39"/>
  <c r="I5" i="39"/>
  <c r="G46" i="39"/>
  <c r="G38" i="39"/>
  <c r="G7" i="39"/>
  <c r="G5" i="39"/>
  <c r="E46" i="39"/>
  <c r="E38" i="39"/>
  <c r="E7" i="39"/>
  <c r="E5" i="39"/>
  <c r="Y8" i="1"/>
  <c r="Q72" i="83"/>
  <c r="Q59" i="83"/>
  <c r="K59" i="83"/>
  <c r="P74" i="83" s="1"/>
  <c r="F59" i="83"/>
  <c r="Q58" i="83"/>
  <c r="Q51" i="83"/>
  <c r="J50" i="83"/>
  <c r="M47" i="83"/>
  <c r="D46" i="83"/>
  <c r="F33" i="83"/>
  <c r="F61" i="83" s="1"/>
  <c r="F32" i="83"/>
  <c r="F60" i="83" s="1"/>
  <c r="F31" i="83"/>
  <c r="F28" i="83"/>
  <c r="F23" i="83"/>
  <c r="D23" i="83" s="1"/>
  <c r="F21" i="83"/>
  <c r="F20" i="83"/>
  <c r="M19" i="83"/>
  <c r="M18" i="83"/>
  <c r="F18" i="83"/>
  <c r="M17" i="83"/>
  <c r="F17" i="83"/>
  <c r="F15" i="83"/>
  <c r="G1" i="83"/>
  <c r="Q72" i="82"/>
  <c r="F60" i="82"/>
  <c r="Q59" i="82"/>
  <c r="K59" i="82"/>
  <c r="P74" i="82" s="1"/>
  <c r="F59" i="82"/>
  <c r="Q58" i="82"/>
  <c r="Q51" i="82"/>
  <c r="J50" i="82"/>
  <c r="M47" i="82"/>
  <c r="D46" i="82"/>
  <c r="F33" i="82"/>
  <c r="F61" i="82" s="1"/>
  <c r="F32" i="82"/>
  <c r="F31" i="82"/>
  <c r="F28" i="82"/>
  <c r="F23" i="82"/>
  <c r="F21" i="82"/>
  <c r="F20" i="82"/>
  <c r="M19" i="82"/>
  <c r="M18" i="82"/>
  <c r="F18" i="82"/>
  <c r="M17" i="82"/>
  <c r="F17" i="82"/>
  <c r="F15" i="82"/>
  <c r="G1" i="82"/>
  <c r="Y7" i="1"/>
  <c r="N8" i="1"/>
  <c r="N7" i="1"/>
  <c r="J8" i="1"/>
  <c r="J7" i="1"/>
  <c r="G21" i="6"/>
  <c r="G20" i="6"/>
  <c r="K13" i="3"/>
  <c r="F6" i="82"/>
  <c r="F37" i="82"/>
  <c r="M9" i="83"/>
  <c r="M9" i="82"/>
  <c r="F16" i="82"/>
  <c r="M27" i="82"/>
  <c r="F26" i="82"/>
  <c r="M23" i="82"/>
  <c r="F6" i="83"/>
  <c r="D24" i="83" l="1"/>
  <c r="P61" i="83"/>
  <c r="D22" i="83"/>
  <c r="F65" i="82"/>
  <c r="C27" i="82"/>
  <c r="D23" i="82"/>
  <c r="D22" i="82"/>
  <c r="D24" i="82"/>
  <c r="P61" i="82"/>
  <c r="M56" i="81"/>
  <c r="I16" i="80"/>
  <c r="I14" i="80"/>
  <c r="I15" i="80" s="1"/>
  <c r="M6" i="83"/>
  <c r="F13" i="83"/>
  <c r="F37" i="83"/>
  <c r="F40" i="83"/>
  <c r="J15" i="83"/>
  <c r="F42" i="82"/>
  <c r="F38" i="82"/>
  <c r="M28" i="83"/>
  <c r="F13" i="82"/>
  <c r="M26" i="82"/>
  <c r="F16" i="83"/>
  <c r="F36" i="83"/>
  <c r="M22" i="83"/>
  <c r="F7" i="83"/>
  <c r="F9" i="82"/>
  <c r="M8" i="83"/>
  <c r="F26" i="83"/>
  <c r="M28" i="82"/>
  <c r="M22" i="82"/>
  <c r="M24" i="83"/>
  <c r="F38" i="83"/>
  <c r="F8" i="83"/>
  <c r="M26" i="83"/>
  <c r="M27" i="83"/>
  <c r="M24" i="82"/>
  <c r="C76" i="83"/>
  <c r="M23" i="83"/>
  <c r="F40" i="82"/>
  <c r="C76" i="82"/>
  <c r="F42" i="83"/>
  <c r="M6" i="82"/>
  <c r="F8" i="82"/>
  <c r="F9" i="83"/>
  <c r="J15" i="82"/>
  <c r="M8" i="82"/>
  <c r="F36" i="82"/>
  <c r="F64" i="83" l="1"/>
  <c r="F66" i="83"/>
  <c r="F51" i="83"/>
  <c r="C6" i="83"/>
  <c r="F68" i="83"/>
  <c r="C27" i="83"/>
  <c r="F65" i="83"/>
  <c r="F50" i="83"/>
  <c r="M7" i="83"/>
  <c r="J6" i="83" s="1"/>
  <c r="Q71" i="83"/>
  <c r="F64" i="82"/>
  <c r="F51" i="82"/>
  <c r="F66" i="82"/>
  <c r="Q71" i="82"/>
  <c r="F68" i="82"/>
  <c r="C49" i="83" l="1"/>
  <c r="V20" i="1"/>
  <c r="T21" i="1"/>
  <c r="V21" i="1" s="1"/>
  <c r="T20" i="1"/>
  <c r="Y6" i="1"/>
  <c r="B21" i="1"/>
  <c r="E14" i="80"/>
  <c r="E13" i="80"/>
  <c r="E12" i="80"/>
  <c r="D12" i="80" s="1"/>
  <c r="C12" i="80"/>
  <c r="I13" i="3" s="1"/>
  <c r="E4" i="80"/>
  <c r="E5" i="80"/>
  <c r="E6" i="80"/>
  <c r="E7" i="80"/>
  <c r="E8" i="80"/>
  <c r="E9" i="80"/>
  <c r="E10" i="80"/>
  <c r="E11" i="80"/>
  <c r="E3" i="80"/>
  <c r="A3" i="3" l="1"/>
  <c r="F19" i="6"/>
  <c r="E15" i="80"/>
  <c r="F15" i="80" s="1"/>
  <c r="T22" i="1"/>
  <c r="V22" i="1"/>
  <c r="U22" i="1" s="1"/>
  <c r="F16" i="80" l="1"/>
  <c r="G16" i="80"/>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L47" i="83"/>
  <c r="L47" i="82"/>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D21" i="80" s="1"/>
  <c r="E21" i="80"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U31" i="39"/>
  <c r="J21" i="39"/>
  <c r="W21" i="39" s="1"/>
  <c r="F21" i="39"/>
  <c r="AA21" i="39" s="1"/>
  <c r="H21" i="39"/>
  <c r="U21" i="39" s="1"/>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U43" i="39"/>
  <c r="AB43" i="39"/>
  <c r="AA27" i="39"/>
  <c r="S27" i="39"/>
  <c r="W17" i="39"/>
  <c r="W31" i="39"/>
  <c r="AC31" i="39"/>
  <c r="S23"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M29" i="67"/>
  <c r="E12" i="76"/>
  <c r="M29" i="83"/>
  <c r="F43" i="82"/>
  <c r="F36" i="67"/>
  <c r="M22" i="67"/>
  <c r="F13" i="15"/>
  <c r="M24" i="67"/>
  <c r="E11" i="76"/>
  <c r="D6" i="73"/>
  <c r="AO13" i="1"/>
  <c r="M6" i="15"/>
  <c r="F6" i="67"/>
  <c r="B10" i="76"/>
  <c r="F38" i="15"/>
  <c r="F43" i="15"/>
  <c r="M22" i="15"/>
  <c r="F38" i="67"/>
  <c r="F6" i="73"/>
  <c r="M9" i="15"/>
  <c r="M26" i="15"/>
  <c r="F37" i="15"/>
  <c r="D7" i="73"/>
  <c r="M29" i="15"/>
  <c r="E8" i="76"/>
  <c r="E2" i="69"/>
  <c r="D5" i="73"/>
  <c r="M8" i="15"/>
  <c r="L48" i="67"/>
  <c r="F37" i="67"/>
  <c r="F36" i="15"/>
  <c r="M28" i="67"/>
  <c r="C76" i="67"/>
  <c r="F26" i="67"/>
  <c r="L48" i="82"/>
  <c r="D3" i="73"/>
  <c r="J15" i="67"/>
  <c r="F13" i="67"/>
  <c r="C76" i="15"/>
  <c r="F5" i="73"/>
  <c r="F40" i="67"/>
  <c r="M9" i="67"/>
  <c r="B11" i="76"/>
  <c r="J15" i="15"/>
  <c r="F43" i="83"/>
  <c r="F7" i="82"/>
  <c r="M29" i="82"/>
  <c r="F20" i="31"/>
  <c r="M28" i="15"/>
  <c r="M6" i="67"/>
  <c r="F42" i="67"/>
  <c r="B8" i="76"/>
  <c r="L47" i="67"/>
  <c r="M23" i="15"/>
  <c r="F8" i="15"/>
  <c r="F42" i="15"/>
  <c r="F9" i="67"/>
  <c r="L48" i="15"/>
  <c r="M23" i="67"/>
  <c r="L47" i="15"/>
  <c r="M24" i="15"/>
  <c r="M26" i="67"/>
  <c r="F7" i="67"/>
  <c r="F4" i="73"/>
  <c r="B13" i="76"/>
  <c r="E9" i="76"/>
  <c r="F7" i="15"/>
  <c r="F3" i="73"/>
  <c r="F9" i="15"/>
  <c r="B12" i="76"/>
  <c r="B9" i="76"/>
  <c r="D4" i="73"/>
  <c r="E7" i="76"/>
  <c r="F16" i="15"/>
  <c r="F26" i="15"/>
  <c r="F40" i="15"/>
  <c r="F8" i="67"/>
  <c r="F7" i="73"/>
  <c r="E10" i="76"/>
  <c r="F43" i="67"/>
  <c r="F16" i="67"/>
  <c r="E2" i="68"/>
  <c r="M8" i="67"/>
  <c r="B7" i="76"/>
  <c r="C24" i="12" l="1"/>
  <c r="C28" i="82"/>
  <c r="C28" i="83"/>
  <c r="J19" i="83"/>
  <c r="C33" i="83"/>
  <c r="J18" i="83"/>
  <c r="C32" i="83"/>
  <c r="C61" i="83"/>
  <c r="J51" i="83"/>
  <c r="J51" i="82"/>
  <c r="F71" i="82"/>
  <c r="F50" i="82"/>
  <c r="C49" i="82" s="1"/>
  <c r="C61" i="82" s="1"/>
  <c r="C6" i="82"/>
  <c r="M7" i="82"/>
  <c r="J6" i="82" s="1"/>
  <c r="F71" i="83"/>
  <c r="M7" i="1"/>
  <c r="T30" i="1"/>
  <c r="V30" i="1" s="1"/>
  <c r="AP6" i="1"/>
  <c r="T29" i="1"/>
  <c r="V29" i="1" s="1"/>
  <c r="M8" i="1"/>
  <c r="M20" i="15"/>
  <c r="M20" i="83"/>
  <c r="M20" i="82"/>
  <c r="F34" i="83"/>
  <c r="F62" i="83" s="1"/>
  <c r="F34" i="82"/>
  <c r="F62" i="82" s="1"/>
  <c r="V26" i="1"/>
  <c r="C10" i="39"/>
  <c r="L56" i="82"/>
  <c r="J57" i="82"/>
  <c r="J55" i="82" s="1"/>
  <c r="J58" i="82" s="1"/>
  <c r="Q50" i="82" s="1"/>
  <c r="J53" i="82"/>
  <c r="L58" i="82"/>
  <c r="L57" i="82"/>
  <c r="L60" i="82"/>
  <c r="I54" i="82"/>
  <c r="G7" i="1"/>
  <c r="W12" i="39"/>
  <c r="AC12" i="39"/>
  <c r="U32" i="39"/>
  <c r="W40" i="39"/>
  <c r="W19" i="39"/>
  <c r="U40" i="39"/>
  <c r="AB39" i="39"/>
  <c r="W27" i="39"/>
  <c r="W23" i="39"/>
  <c r="S17" i="39"/>
  <c r="S42" i="39"/>
  <c r="AA41" i="39"/>
  <c r="U41" i="39"/>
  <c r="AB21" i="39"/>
  <c r="F92" i="39"/>
  <c r="G92" i="39" s="1"/>
  <c r="F19" i="39"/>
  <c r="U19" i="39"/>
  <c r="AB8" i="39"/>
  <c r="F34" i="68"/>
  <c r="M59" i="83"/>
  <c r="M59" i="82"/>
  <c r="O7" i="1"/>
  <c r="P7" i="1" s="1"/>
  <c r="F8" i="1"/>
  <c r="A24" i="51"/>
  <c r="B18" i="72" s="1"/>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L48" i="83"/>
  <c r="C16" i="83"/>
  <c r="G1" i="73"/>
  <c r="C16" i="82"/>
  <c r="C16" i="15"/>
  <c r="N94" i="46" l="1"/>
  <c r="J26" i="43"/>
  <c r="L59" i="82"/>
  <c r="N59" i="82"/>
  <c r="L59" i="83"/>
  <c r="N59" i="83"/>
  <c r="V32" i="1"/>
  <c r="J18" i="82"/>
  <c r="J19" i="82"/>
  <c r="C32" i="82"/>
  <c r="C33" i="82"/>
  <c r="V27" i="1"/>
  <c r="W27" i="1" s="1"/>
  <c r="W25" i="1" s="1"/>
  <c r="W26" i="1"/>
  <c r="L58" i="83"/>
  <c r="L57" i="83"/>
  <c r="J53" i="83"/>
  <c r="L56" i="83"/>
  <c r="J57" i="83"/>
  <c r="J55" i="83" s="1"/>
  <c r="J58" i="83" s="1"/>
  <c r="Q50" i="83" s="1"/>
  <c r="L60" i="83"/>
  <c r="I54" i="83"/>
  <c r="Q66" i="82"/>
  <c r="Q57" i="82"/>
  <c r="Q60" i="82"/>
  <c r="Q73" i="82"/>
  <c r="G8" i="1"/>
  <c r="G16" i="1" s="1"/>
  <c r="F10" i="39" s="1"/>
  <c r="AA10" i="39" s="1"/>
  <c r="F1" i="82"/>
  <c r="Q52" i="82"/>
  <c r="AA19" i="39"/>
  <c r="S19" i="39"/>
  <c r="F11" i="83"/>
  <c r="M11" i="83"/>
  <c r="J10" i="83" s="1"/>
  <c r="J5" i="83" s="1"/>
  <c r="F11" i="82"/>
  <c r="M11" i="82"/>
  <c r="J10" i="82" s="1"/>
  <c r="J5" i="82"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12" i="1"/>
  <c r="AE10" i="1"/>
  <c r="F27" i="68"/>
  <c r="F41" i="67"/>
  <c r="AE6" i="1"/>
  <c r="AE7" i="1"/>
  <c r="Q74" i="83" l="1"/>
  <c r="Q61" i="83"/>
  <c r="Q61" i="82"/>
  <c r="Q74" i="82"/>
  <c r="U6" i="1"/>
  <c r="S10" i="39"/>
  <c r="J10" i="39"/>
  <c r="W10" i="39" s="1"/>
  <c r="H10" i="39"/>
  <c r="U10" i="39" s="1"/>
  <c r="H10" i="40"/>
  <c r="AB10" i="40" s="1"/>
  <c r="F10" i="40"/>
  <c r="S10" i="40" s="1"/>
  <c r="J10" i="40"/>
  <c r="AC10" i="40" s="1"/>
  <c r="Q66" i="83"/>
  <c r="Q57" i="83"/>
  <c r="F1" i="83"/>
  <c r="Q52" i="83"/>
  <c r="Q60" i="83"/>
  <c r="Q73" i="83"/>
  <c r="C24" i="83"/>
  <c r="C53" i="83"/>
  <c r="C48" i="83" s="1"/>
  <c r="C10" i="83"/>
  <c r="C5" i="83" s="1"/>
  <c r="J26" i="83"/>
  <c r="J24" i="83"/>
  <c r="L36" i="43"/>
  <c r="L37" i="43" s="1"/>
  <c r="F24" i="82"/>
  <c r="C53" i="82"/>
  <c r="C48" i="82" s="1"/>
  <c r="C10" i="82"/>
  <c r="C5" i="82" s="1"/>
  <c r="J26" i="82"/>
  <c r="J24" i="82"/>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F25" i="12"/>
  <c r="F22" i="69"/>
  <c r="F41" i="69" s="1"/>
  <c r="F24" i="67"/>
  <c r="C24" i="67" s="1"/>
  <c r="F22" i="11"/>
  <c r="F22" i="68"/>
  <c r="F24" i="15"/>
  <c r="C24" i="15" s="1"/>
  <c r="F6" i="15"/>
  <c r="F41" i="82"/>
  <c r="M27" i="67"/>
  <c r="C17" i="83"/>
  <c r="F41" i="15"/>
  <c r="AE8" i="1"/>
  <c r="M27" i="15"/>
  <c r="C6" i="15" l="1"/>
  <c r="E8" i="70"/>
  <c r="F69" i="82"/>
  <c r="J29" i="82"/>
  <c r="B14" i="74"/>
  <c r="B1" i="74" s="1"/>
  <c r="Q36" i="43"/>
  <c r="M36" i="43"/>
  <c r="P36" i="43"/>
  <c r="O36" i="43"/>
  <c r="N36" i="43"/>
  <c r="C66" i="83"/>
  <c r="C60" i="83"/>
  <c r="C38" i="83"/>
  <c r="C66" i="82"/>
  <c r="C60" i="82"/>
  <c r="C38" i="82"/>
  <c r="C24" i="82"/>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4" i="83"/>
  <c r="C17" i="67"/>
  <c r="C17" i="82"/>
  <c r="C17" i="15"/>
  <c r="F41" i="83"/>
  <c r="C25" i="11" l="1"/>
  <c r="C32" i="15"/>
  <c r="C10" i="15"/>
  <c r="C5" i="15" s="1"/>
  <c r="C38" i="15" s="1"/>
  <c r="C15" i="83"/>
  <c r="C18" i="83"/>
  <c r="E7" i="70"/>
  <c r="F69" i="83"/>
  <c r="J29" i="83"/>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E6" i="76"/>
  <c r="M21" i="83"/>
  <c r="C14" i="15"/>
  <c r="B6" i="76"/>
  <c r="F35" i="83"/>
  <c r="C19" i="83" l="1"/>
  <c r="C20" i="83" s="1"/>
  <c r="C26" i="83" s="1"/>
  <c r="C15" i="82"/>
  <c r="C18" i="82"/>
  <c r="C14" i="74"/>
  <c r="B2" i="74" s="1"/>
  <c r="J20" i="83"/>
  <c r="J17" i="83" s="1"/>
  <c r="F63" i="83"/>
  <c r="C62" i="83" s="1"/>
  <c r="C59" i="83" s="1"/>
  <c r="C34" i="83"/>
  <c r="C31" i="83" s="1"/>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39" s="1"/>
  <c r="C23" i="69"/>
  <c r="E2" i="76"/>
  <c r="B2" i="76"/>
  <c r="I69" i="39"/>
  <c r="J67" i="39"/>
  <c r="D9" i="71"/>
  <c r="I63" i="40"/>
  <c r="H65" i="40"/>
  <c r="I58" i="21"/>
  <c r="J58" i="21" s="1"/>
  <c r="K58" i="21" s="1"/>
  <c r="L58" i="21" s="1"/>
  <c r="M58" i="21" s="1"/>
  <c r="N58" i="21" s="1"/>
  <c r="O58" i="21" s="1"/>
  <c r="H7" i="21" s="1"/>
  <c r="J48" i="35"/>
  <c r="F7" i="21" l="1"/>
  <c r="C19" i="82"/>
  <c r="C20" i="82" s="1"/>
  <c r="C26" i="82" s="1"/>
  <c r="C23" i="83"/>
  <c r="C29" i="83" s="1"/>
  <c r="C57" i="83" s="1"/>
  <c r="C64" i="83" s="1"/>
  <c r="H11" i="39"/>
  <c r="F11" i="39"/>
  <c r="J11" i="39"/>
  <c r="D8" i="74"/>
  <c r="D7" i="74"/>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14" i="83" l="1"/>
  <c r="J13" i="83" s="1"/>
  <c r="J23" i="83" s="1"/>
  <c r="Q49" i="83"/>
  <c r="C13" i="83"/>
  <c r="C75" i="83" s="1"/>
  <c r="J59" i="83"/>
  <c r="J60" i="83" s="1"/>
  <c r="Q48" i="83" s="1"/>
  <c r="C36" i="83"/>
  <c r="C23" i="82"/>
  <c r="C29" i="82" s="1"/>
  <c r="C57" i="82" s="1"/>
  <c r="C64" i="82" s="1"/>
  <c r="J22" i="83"/>
  <c r="L46" i="83"/>
  <c r="W11" i="39"/>
  <c r="AC11" i="39"/>
  <c r="AA11" i="39"/>
  <c r="S11" i="39"/>
  <c r="U11" i="39"/>
  <c r="AB11" i="39"/>
  <c r="C27" i="12"/>
  <c r="C25" i="12" s="1"/>
  <c r="C30" i="12"/>
  <c r="C28" i="12" s="1"/>
  <c r="J7" i="35"/>
  <c r="W7" i="35" s="1"/>
  <c r="D6" i="71"/>
  <c r="C5" i="71"/>
  <c r="Q49" i="67"/>
  <c r="J14" i="67"/>
  <c r="J13" i="67" s="1"/>
  <c r="J23" i="67" s="1"/>
  <c r="C36" i="67"/>
  <c r="C57" i="67"/>
  <c r="C64" i="67" s="1"/>
  <c r="C13" i="67"/>
  <c r="Q70" i="67" s="1"/>
  <c r="C33" i="11"/>
  <c r="C39" i="11" s="1"/>
  <c r="C61" i="67"/>
  <c r="C42" i="68"/>
  <c r="C23" i="15"/>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82"/>
  <c r="F35" i="15"/>
  <c r="F35" i="67"/>
  <c r="F35" i="82"/>
  <c r="M21" i="67"/>
  <c r="C37" i="83" l="1"/>
  <c r="C30" i="83" s="1"/>
  <c r="C39" i="83" s="1"/>
  <c r="C80" i="83" s="1"/>
  <c r="C79" i="83" s="1"/>
  <c r="Q70" i="83"/>
  <c r="C56" i="83"/>
  <c r="C65" i="83" s="1"/>
  <c r="C58" i="83" s="1"/>
  <c r="C67" i="83" s="1"/>
  <c r="C68" i="83" s="1"/>
  <c r="C71" i="83" s="1"/>
  <c r="Q49" i="82"/>
  <c r="J14" i="82"/>
  <c r="J22" i="82" s="1"/>
  <c r="C13" i="82"/>
  <c r="C75" i="82" s="1"/>
  <c r="J16" i="83"/>
  <c r="J25" i="83" s="1"/>
  <c r="J59" i="82"/>
  <c r="J60" i="82" s="1"/>
  <c r="Q48" i="82" s="1"/>
  <c r="C36" i="82"/>
  <c r="C56" i="82"/>
  <c r="C65" i="82" s="1"/>
  <c r="J20" i="82"/>
  <c r="J17" i="82" s="1"/>
  <c r="F63" i="82"/>
  <c r="C62" i="82" s="1"/>
  <c r="C59" i="82" s="1"/>
  <c r="C34" i="82"/>
  <c r="C31" i="82" s="1"/>
  <c r="C32" i="12"/>
  <c r="B2" i="12" s="1"/>
  <c r="B3" i="12" s="1"/>
  <c r="D5" i="71"/>
  <c r="M24" i="43" s="1"/>
  <c r="C56" i="67"/>
  <c r="C65" i="67" s="1"/>
  <c r="J22" i="67"/>
  <c r="C37" i="67"/>
  <c r="C75" i="67"/>
  <c r="C46" i="11"/>
  <c r="C45" i="11" s="1"/>
  <c r="C43" i="11"/>
  <c r="C42" i="11"/>
  <c r="C34" i="67"/>
  <c r="C31" i="67" s="1"/>
  <c r="F63" i="67"/>
  <c r="C62" i="67" s="1"/>
  <c r="C59" i="67" s="1"/>
  <c r="J20" i="67"/>
  <c r="J17" i="67" s="1"/>
  <c r="J19" i="15"/>
  <c r="C41" i="68"/>
  <c r="C49" i="6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70" i="82" l="1"/>
  <c r="C40" i="83"/>
  <c r="C43" i="83" s="1"/>
  <c r="C44" i="83" s="1"/>
  <c r="Q67" i="83"/>
  <c r="Q69" i="83"/>
  <c r="Q68" i="83" s="1"/>
  <c r="C37" i="82"/>
  <c r="C30" i="82" s="1"/>
  <c r="C39" i="82" s="1"/>
  <c r="Q69" i="82" s="1"/>
  <c r="C58" i="82"/>
  <c r="C67" i="82" s="1"/>
  <c r="C68" i="82" s="1"/>
  <c r="C71" i="82" s="1"/>
  <c r="L46" i="82"/>
  <c r="J13" i="82"/>
  <c r="J23" i="82" s="1"/>
  <c r="J16" i="82" s="1"/>
  <c r="J25" i="82" s="1"/>
  <c r="C51" i="68"/>
  <c r="F35" i="9" s="1"/>
  <c r="C29" i="15"/>
  <c r="C58" i="67"/>
  <c r="C67" i="67" s="1"/>
  <c r="C68" i="67" s="1"/>
  <c r="C71" i="67" s="1"/>
  <c r="J16" i="67"/>
  <c r="J25" i="67" s="1"/>
  <c r="J26" i="67" s="1"/>
  <c r="J29" i="67" s="1"/>
  <c r="C30" i="67"/>
  <c r="C39" i="67" s="1"/>
  <c r="Q69" i="67" s="1"/>
  <c r="Q68" i="67" s="1"/>
  <c r="C41" i="11"/>
  <c r="C49" i="11" s="1"/>
  <c r="C51" i="11" s="1"/>
  <c r="C52" i="11" s="1"/>
  <c r="B2" i="11" s="1"/>
  <c r="B3" i="11" s="1"/>
  <c r="C61" i="15"/>
  <c r="C59" i="15" s="1"/>
  <c r="J17" i="15"/>
  <c r="C31" i="15"/>
  <c r="C57" i="69"/>
  <c r="C56" i="69" s="1"/>
  <c r="M69" i="39"/>
  <c r="N67" i="39"/>
  <c r="R39" i="35"/>
  <c r="E38" i="35"/>
  <c r="M63" i="40"/>
  <c r="L65" i="40"/>
  <c r="D2" i="21"/>
  <c r="C46" i="83" l="1"/>
  <c r="C83" i="83"/>
  <c r="C82" i="83" s="1"/>
  <c r="Q65" i="83"/>
  <c r="Q75" i="83" s="1"/>
  <c r="B2" i="83"/>
  <c r="B3" i="83" s="1"/>
  <c r="Q68" i="82"/>
  <c r="Q47" i="83"/>
  <c r="Q53" i="83" s="1"/>
  <c r="Q56" i="83"/>
  <c r="Q62" i="83" s="1"/>
  <c r="C40" i="82"/>
  <c r="Q47" i="82" s="1"/>
  <c r="Q53" i="82" s="1"/>
  <c r="C80" i="82"/>
  <c r="C79" i="82" s="1"/>
  <c r="J59" i="15"/>
  <c r="J60" i="15" s="1"/>
  <c r="Q48" i="15" s="1"/>
  <c r="C57" i="15"/>
  <c r="C64" i="15" s="1"/>
  <c r="C13" i="15"/>
  <c r="C36" i="15"/>
  <c r="Q49" i="15"/>
  <c r="J14" i="15"/>
  <c r="C80" i="67"/>
  <c r="C79" i="67" s="1"/>
  <c r="C40" i="67"/>
  <c r="C45" i="67" s="1"/>
  <c r="C56" i="11"/>
  <c r="C57" i="11" s="1"/>
  <c r="B2" i="21"/>
  <c r="B3" i="21" s="1"/>
  <c r="O67" i="39"/>
  <c r="O69" i="39" s="1"/>
  <c r="N69" i="39"/>
  <c r="F7" i="39"/>
  <c r="C39" i="35"/>
  <c r="C38" i="35"/>
  <c r="N63" i="40"/>
  <c r="M65" i="40"/>
  <c r="E43" i="35"/>
  <c r="F43" i="35" s="1"/>
  <c r="E42" i="35"/>
  <c r="F42" i="35" s="1"/>
  <c r="I43" i="35"/>
  <c r="J43" i="35" s="1"/>
  <c r="L51" i="82"/>
  <c r="L51" i="67"/>
  <c r="D2" i="33"/>
  <c r="Q67" i="82" l="1"/>
  <c r="Q65" i="82"/>
  <c r="Q75" i="82" s="1"/>
  <c r="C83" i="82"/>
  <c r="C82" i="82" s="1"/>
  <c r="B2" i="82"/>
  <c r="B3" i="82" s="1"/>
  <c r="C46" i="82"/>
  <c r="C43" i="82"/>
  <c r="Q56" i="82"/>
  <c r="Q62" i="82" s="1"/>
  <c r="J13" i="15"/>
  <c r="J23" i="15" s="1"/>
  <c r="J22" i="15"/>
  <c r="Q70" i="15"/>
  <c r="C56" i="15"/>
  <c r="C65" i="15" s="1"/>
  <c r="C58" i="15" s="1"/>
  <c r="C67" i="15" s="1"/>
  <c r="C68" i="15" s="1"/>
  <c r="C71" i="15" s="1"/>
  <c r="C37" i="15"/>
  <c r="C30" i="15" s="1"/>
  <c r="C39" i="15" s="1"/>
  <c r="H39" i="15" s="1"/>
  <c r="C75"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7"/>
  <c r="D2" i="35"/>
  <c r="D2" i="36"/>
  <c r="C40" i="15" l="1"/>
  <c r="C46" i="15" s="1"/>
  <c r="Q69" i="15"/>
  <c r="Q68" i="15" s="1"/>
  <c r="C80" i="15"/>
  <c r="C79" i="15" s="1"/>
  <c r="J16" i="15"/>
  <c r="J25" i="15" s="1"/>
  <c r="J26" i="15" s="1"/>
  <c r="J29" i="15" s="1"/>
  <c r="Q57" i="67"/>
  <c r="Q62" i="67" s="1"/>
  <c r="Q66" i="67"/>
  <c r="Q75" i="67" s="1"/>
  <c r="B3" i="67"/>
  <c r="L57" i="15"/>
  <c r="L60" i="15" s="1"/>
  <c r="Q57" i="15" s="1"/>
  <c r="B2" i="36"/>
  <c r="B3" i="36" s="1"/>
  <c r="B2" i="35"/>
  <c r="B3" i="35" s="1"/>
  <c r="M3" i="35"/>
  <c r="B2" i="37"/>
  <c r="B3" i="37" s="1"/>
  <c r="B2" i="34"/>
  <c r="B3" i="34" s="1"/>
  <c r="L46" i="15"/>
  <c r="W7" i="39"/>
  <c r="AC7" i="39"/>
  <c r="V47" i="39" s="1"/>
  <c r="I47" i="39" s="1"/>
  <c r="E47" i="39"/>
  <c r="U7" i="39"/>
  <c r="AB7" i="39"/>
  <c r="T47" i="39" s="1"/>
  <c r="G47" i="39" s="1"/>
  <c r="J7" i="40"/>
  <c r="F7" i="40"/>
  <c r="H7" i="40"/>
  <c r="AO7" i="1"/>
  <c r="AO11" i="1"/>
  <c r="AO10" i="1"/>
  <c r="L51" i="15"/>
  <c r="AO12" i="1"/>
  <c r="AO8" i="1"/>
  <c r="AO9" i="1"/>
  <c r="Q67" i="15" l="1"/>
  <c r="C83" i="15"/>
  <c r="C82" i="15" s="1"/>
  <c r="C43" i="15"/>
  <c r="Q56" i="15"/>
  <c r="Q62" i="15" s="1"/>
  <c r="Q65" i="15"/>
  <c r="Q47" i="15"/>
  <c r="Q53" i="15" s="1"/>
  <c r="B2" i="15"/>
  <c r="R48" i="39"/>
  <c r="C48" i="39"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Q75" i="15" l="1"/>
  <c r="B6" i="70"/>
  <c r="B2" i="70" s="1"/>
  <c r="B3" i="15"/>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21" i="9"/>
  <c r="D102"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B6" i="74"/>
  <c r="D6" i="74" s="1"/>
  <c r="C28" i="68" l="1"/>
  <c r="C27" i="68" s="1"/>
  <c r="C25" i="68"/>
  <c r="C22" i="68" s="1"/>
  <c r="C31" i="68" l="1"/>
  <c r="C52" i="68" s="1"/>
  <c r="B2" i="68" l="1"/>
  <c r="C57" i="68"/>
  <c r="C56" i="68" s="1"/>
  <c r="C19" i="9"/>
  <c r="C21" i="9" l="1"/>
  <c r="C102" i="9"/>
  <c r="D22" i="9"/>
  <c r="G19" i="9"/>
  <c r="E19" i="80" s="1"/>
  <c r="F25" i="80" s="1"/>
  <c r="G25" i="80" s="1"/>
  <c r="B3" i="68"/>
  <c r="C20" i="9"/>
  <c r="D34" i="9"/>
  <c r="D35" i="9"/>
  <c r="E55" i="85" l="1"/>
  <c r="E62" i="85" s="1"/>
  <c r="F62" i="85" s="1"/>
  <c r="J55" i="85"/>
  <c r="K55" i="85" s="1"/>
  <c r="F24" i="80"/>
  <c r="G24" i="80" s="1"/>
  <c r="D19" i="80"/>
  <c r="E22" i="80"/>
  <c r="D22" i="80" s="1"/>
  <c r="C103" i="9"/>
  <c r="G20" i="9"/>
  <c r="C32" i="9" s="1"/>
  <c r="H23" i="9"/>
  <c r="G21" i="9"/>
  <c r="F34" i="9"/>
  <c r="F55" i="85" l="1"/>
  <c r="F26" i="80"/>
  <c r="E54" i="85"/>
  <c r="E61" i="85" s="1"/>
  <c r="J54" i="85"/>
  <c r="K54" i="85" s="1"/>
  <c r="K57" i="85" s="1"/>
  <c r="C35" i="9"/>
  <c r="H118" i="9"/>
  <c r="D14" i="74" s="1"/>
  <c r="F61" i="85" l="1"/>
  <c r="F65" i="85" s="1"/>
  <c r="E67" i="85"/>
  <c r="F67" i="85" s="1"/>
  <c r="F54" i="85"/>
  <c r="F58" i="85" s="1"/>
  <c r="E14" i="74"/>
  <c r="B5" i="74"/>
  <c r="D5" i="74" s="1"/>
  <c r="F14" i="74"/>
  <c r="C34" i="9"/>
  <c r="D118" i="9" s="1"/>
  <c r="F118" i="9"/>
  <c r="H4" i="52"/>
  <c r="H119" i="9"/>
  <c r="H5" i="52" s="1"/>
  <c r="I118" i="9"/>
  <c r="C104" i="9"/>
  <c r="H101" i="9"/>
  <c r="F119" i="9" l="1"/>
  <c r="F5" i="52" s="1"/>
  <c r="B53" i="72" s="1"/>
  <c r="G118" i="9"/>
  <c r="G4" i="52" s="1"/>
  <c r="B52" i="72" s="1"/>
  <c r="F4" i="52"/>
  <c r="B51" i="72" s="1"/>
  <c r="D45" i="9"/>
  <c r="H107" i="9"/>
  <c r="M48" i="9"/>
  <c r="D5" i="53"/>
  <c r="H102" i="9"/>
  <c r="C105" i="9"/>
  <c r="I4" i="52"/>
  <c r="J118" i="9"/>
  <c r="D4" i="52"/>
  <c r="B47" i="72" s="1"/>
  <c r="D119" i="9"/>
  <c r="D5" i="52" s="1"/>
  <c r="B49" i="72" s="1"/>
  <c r="E118" i="9" l="1"/>
  <c r="E4" i="52" s="1"/>
  <c r="B48" i="72" s="1"/>
  <c r="B20" i="72"/>
  <c r="D6" i="53"/>
  <c r="B22" i="72" s="1"/>
  <c r="D13" i="53"/>
  <c r="H108" i="9"/>
  <c r="D122" i="9"/>
  <c r="C5" i="74"/>
  <c r="D7" i="53"/>
  <c r="B21" i="72" s="1"/>
  <c r="D52" i="9"/>
  <c r="D53" i="9"/>
  <c r="C64" i="9"/>
  <c r="C63" i="9" s="1"/>
  <c r="C67" i="9" s="1"/>
  <c r="C72" i="9"/>
  <c r="C93" i="9"/>
  <c r="C86" i="9" s="1"/>
  <c r="C78" i="9"/>
  <c r="C73" i="9" s="1"/>
  <c r="D55" i="9"/>
  <c r="M53" i="9" s="1"/>
  <c r="C85" i="9"/>
  <c r="C95" i="9" l="1"/>
  <c r="C96" i="9" s="1"/>
  <c r="D59" i="9"/>
  <c r="M55" i="9" s="1"/>
  <c r="C68" i="9"/>
  <c r="D54" i="9" s="1"/>
  <c r="D15" i="53"/>
  <c r="B31" i="72" s="1"/>
  <c r="C6" i="74"/>
  <c r="C79" i="9"/>
  <c r="D123" i="9"/>
  <c r="D9" i="52" s="1"/>
  <c r="D8" i="52"/>
  <c r="D14" i="53"/>
  <c r="B32" i="72" s="1"/>
  <c r="B30" i="72"/>
  <c r="E96" i="9" l="1"/>
  <c r="E97" i="9" s="1"/>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<sst xmlns="http://schemas.openxmlformats.org/spreadsheetml/2006/main" count="9364" uniqueCount="3721">
  <si>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</si>
  <si>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</si>
  <si>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</si>
  <si>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</si>
  <si>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</si>
  <si>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</si>
  <si>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</si>
  <si>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</si>
  <si>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</si>
  <si>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</si>
  <si>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</si>
  <si>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</si>
  <si>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</si>
  <si>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</si>
  <si>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</si>
  <si>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</si>
  <si>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</si>
  <si>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</si>
  <si>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</si>
  <si>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</si>
  <si>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</si>
  <si>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</si>
  <si>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</si>
  <si>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</si>
  <si>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</si>
  <si>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</si>
  <si>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</si>
  <si>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</si>
  <si>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</si>
  <si>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</si>
  <si>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</si>
  <si>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</si>
  <si>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</si>
  <si>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</si>
  <si>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</si>
  <si>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</si>
  <si>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</si>
  <si>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</si>
  <si>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</si>
  <si>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</si>
  <si>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</si>
  <si>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</si>
  <si>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</si>
  <si>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</si>
  <si>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</si>
  <si>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</si>
  <si>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</si>
  <si>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</si>
  <si>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</si>
  <si>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</si>
  <si>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</si>
  <si>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</si>
  <si>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</si>
  <si>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</si>
  <si>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</si>
  <si>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</si>
  <si>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</si>
  <si>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</si>
  <si>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</si>
  <si>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</si>
  <si>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</si>
  <si>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</si>
  <si>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</si>
  <si>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</si>
  <si>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</si>
  <si>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</si>
  <si>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</si>
  <si>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</si>
  <si>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</si>
  <si>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</si>
  <si>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</si>
  <si>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</si>
  <si>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</si>
  <si>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</si>
  <si>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</si>
  <si>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</si>
  <si>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</si>
  <si>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</si>
  <si>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</si>
  <si>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</si>
  <si>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</si>
  <si>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</si>
  <si>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</si>
  <si>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</si>
  <si>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</si>
  <si>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</si>
  <si>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</si>
  <si>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</si>
  <si>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</si>
  <si>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</si>
  <si>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</si>
  <si>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</si>
  <si>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</si>
  <si>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</si>
  <si>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</si>
  <si>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</si>
  <si>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</si>
  <si>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</si>
  <si>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</si>
  <si>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</si>
  <si>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</si>
  <si>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</si>
  <si>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</si>
  <si>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</si>
  <si>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</si>
  <si>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</si>
  <si>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</si>
  <si>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</si>
  <si>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</si>
  <si>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</si>
  <si>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</si>
  <si>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</si>
  <si>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</si>
  <si>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</si>
  <si>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</si>
  <si>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</si>
  <si>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</si>
  <si>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</si>
  <si>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</si>
  <si>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</si>
  <si>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</si>
  <si>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</si>
  <si>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</si>
  <si>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</si>
  <si>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</si>
  <si>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</si>
  <si>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</si>
  <si>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</si>
  <si>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</si>
  <si>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</si>
  <si>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</si>
  <si>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</si>
  <si>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</si>
  <si>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</si>
  <si>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</si>
  <si>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</si>
  <si>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</si>
  <si>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</si>
  <si>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</si>
  <si>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</si>
  <si>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</si>
  <si>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</si>
  <si>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</si>
  <si>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</si>
  <si>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</si>
  <si>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</si>
  <si>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</si>
  <si>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</si>
  <si>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</si>
  <si>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</si>
  <si>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</si>
  <si>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</si>
  <si>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</si>
  <si>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</si>
  <si>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</si>
  <si>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</si>
  <si>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</si>
  <si>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</si>
  <si>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</si>
  <si>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</si>
  <si>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</si>
  <si>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</si>
  <si>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</si>
  <si>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</si>
  <si>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</si>
  <si>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</si>
  <si>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</si>
  <si>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</si>
  <si>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</si>
  <si>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</si>
  <si>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</si>
  <si>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</si>
  <si>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</si>
  <si>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</si>
  <si>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</si>
  <si>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</si>
  <si>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</si>
  <si>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</si>
  <si>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</si>
  <si>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</si>
  <si>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</si>
  <si>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</si>
  <si>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</si>
  <si>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</si>
  <si>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</si>
  <si>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</si>
  <si>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</si>
  <si>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</si>
  <si>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</si>
  <si>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</si>
  <si>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</si>
  <si>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</si>
  <si>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</si>
  <si>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</si>
  <si>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</si>
  <si>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</si>
  <si>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</si>
  <si>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</si>
  <si>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</si>
  <si>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</si>
  <si>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</si>
  <si>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</si>
  <si>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</si>
  <si>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</si>
  <si>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</si>
  <si>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</si>
  <si>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</si>
  <si>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</si>
  <si>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</si>
  <si>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</si>
  <si>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</si>
  <si>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</si>
  <si>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</si>
  <si>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</si>
  <si>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</si>
  <si>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</si>
  <si>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</si>
  <si>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</si>
  <si>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</si>
  <si>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</si>
  <si>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</si>
  <si>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</si>
  <si>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</si>
  <si>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</si>
  <si>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</si>
  <si>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</si>
  <si>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</si>
  <si>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</si>
  <si>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</si>
  <si>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</si>
  <si>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</si>
  <si>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</si>
  <si>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</si>
  <si>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</si>
  <si>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</si>
  <si>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</si>
  <si>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</si>
  <si>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</si>
  <si>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</si>
  <si>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</si>
  <si>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</si>
  <si>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</si>
  <si>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</si>
  <si>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</si>
  <si>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</si>
  <si>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</si>
  <si>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</si>
  <si>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</si>
  <si>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</si>
  <si>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</si>
  <si>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</si>
  <si>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</si>
  <si>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</si>
  <si>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</si>
  <si>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</si>
  <si>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</si>
  <si>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</si>
  <si>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</si>
  <si>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</si>
  <si>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</si>
  <si>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</si>
  <si>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</si>
  <si>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</si>
  <si>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</si>
  <si>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</si>
  <si>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</si>
  <si>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</si>
  <si>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</si>
  <si>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</si>
  <si>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</si>
  <si>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</si>
  <si>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</si>
  <si>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</si>
  <si>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</si>
  <si>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</si>
  <si>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</si>
  <si>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</si>
  <si>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</si>
  <si>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</si>
  <si>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</si>
  <si>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</si>
  <si>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</si>
  <si>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</si>
  <si>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</si>
  <si>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</si>
  <si>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</si>
  <si>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</si>
  <si>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</si>
  <si>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</si>
  <si>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</si>
  <si>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</si>
  <si>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</si>
  <si>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</si>
  <si>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</si>
  <si>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</si>
  <si>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</si>
  <si>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</si>
  <si>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</si>
  <si>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</si>
  <si>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</si>
  <si>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</si>
  <si>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</si>
  <si>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</si>
  <si>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</si>
  <si>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</si>
  <si>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</si>
  <si>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</si>
  <si>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</si>
  <si>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</si>
  <si>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</si>
  <si>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</si>
  <si>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</si>
  <si>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</si>
  <si>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</si>
  <si>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</si>
  <si>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</si>
  <si>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</si>
  <si>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</si>
  <si>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</si>
  <si>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</si>
  <si>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</si>
  <si>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</si>
  <si>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</si>
  <si>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</si>
  <si>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</si>
  <si>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</si>
  <si>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</si>
  <si>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</si>
  <si>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</si>
  <si>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</si>
  <si>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</si>
  <si>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</si>
  <si>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</si>
  <si>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</si>
  <si>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</si>
  <si>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</si>
  <si>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</si>
  <si>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</si>
  <si>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</si>
  <si>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</si>
  <si>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</si>
  <si>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</si>
  <si>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</si>
  <si>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</si>
  <si>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</si>
  <si>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</si>
  <si>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</si>
  <si>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</si>
  <si>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</si>
  <si>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</si>
  <si>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</si>
  <si>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</si>
  <si>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</si>
  <si>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</si>
  <si>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</si>
  <si>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</si>
  <si>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</si>
  <si>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</si>
  <si>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</si>
  <si>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</si>
  <si>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</si>
  <si>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</si>
  <si>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</si>
  <si>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</si>
  <si>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</si>
  <si>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</si>
  <si>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</si>
  <si>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</si>
  <si>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</si>
  <si>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</si>
  <si>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</si>
  <si>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</si>
  <si>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</si>
  <si>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</si>
  <si>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</si>
  <si>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</si>
  <si>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</si>
  <si>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</si>
  <si>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</si>
  <si>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</si>
  <si>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</si>
  <si>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</si>
  <si>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</si>
  <si>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</si>
  <si>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</si>
  <si>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</si>
  <si>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</si>
  <si>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</si>
  <si>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</si>
  <si>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</si>
  <si>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</si>
  <si>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</si>
  <si>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</si>
  <si>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</si>
  <si>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</si>
  <si>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</si>
  <si>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</si>
  <si>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</si>
  <si>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</si>
  <si>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</si>
  <si>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</si>
  <si>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</si>
  <si>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</si>
  <si>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</si>
  <si>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</si>
  <si>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</si>
  <si>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</si>
  <si>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</si>
  <si>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</si>
  <si>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</si>
  <si>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</si>
  <si>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</si>
  <si>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</si>
  <si>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</si>
  <si>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</si>
  <si>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</si>
  <si>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</si>
  <si>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</si>
  <si>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</si>
  <si>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</si>
  <si>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</si>
  <si>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</si>
  <si>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</si>
  <si>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</si>
  <si>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</si>
  <si>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</si>
  <si>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</si>
  <si>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</si>
  <si>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</si>
  <si>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</si>
  <si>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</si>
  <si>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</si>
  <si>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</si>
  <si>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</si>
  <si>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</si>
  <si>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</si>
  <si>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</si>
  <si>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</si>
  <si>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</si>
  <si>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</si>
  <si>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</si>
  <si>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</si>
  <si>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</si>
  <si>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</si>
  <si>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</si>
  <si>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</si>
  <si>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</si>
  <si>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</si>
  <si>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</si>
  <si>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</si>
  <si>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</si>
  <si>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</si>
  <si>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</si>
  <si>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</si>
  <si>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</si>
  <si>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</si>
  <si>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</si>
  <si>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</si>
  <si>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</si>
  <si>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</si>
  <si>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</si>
  <si>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</si>
  <si>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</si>
  <si>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</si>
  <si>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</si>
  <si>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</si>
  <si>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</si>
  <si>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</si>
  <si>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</si>
  <si>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</si>
  <si>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</si>
  <si>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</si>
  <si>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</si>
  <si>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</si>
  <si>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</si>
  <si>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</si>
  <si>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</si>
  <si>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</si>
  <si>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</si>
  <si>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</si>
  <si>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</si>
  <si>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</si>
  <si>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</si>
  <si>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</si>
  <si>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</si>
  <si>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</si>
  <si>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</si>
  <si>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</si>
  <si>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</si>
  <si>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</si>
  <si>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</si>
  <si>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</si>
  <si>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</si>
  <si>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</si>
  <si>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</si>
  <si>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</si>
  <si>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</si>
  <si>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</si>
  <si>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</si>
  <si>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</si>
  <si>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</si>
  <si>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</si>
  <si>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</si>
  <si>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</si>
  <si>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</si>
  <si>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</si>
  <si>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</si>
  <si>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</si>
  <si>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</si>
  <si>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</si>
  <si>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</si>
  <si>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</si>
  <si>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</si>
  <si>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</si>
  <si>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</si>
  <si>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</si>
  <si>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</si>
  <si>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</si>
  <si>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</si>
  <si>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</si>
  <si>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</si>
  <si>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</si>
  <si>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</si>
  <si>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</si>
  <si>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</si>
  <si>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</si>
  <si>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</si>
  <si>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</si>
  <si>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</si>
  <si>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</si>
  <si>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</si>
  <si>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</si>
  <si>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</si>
  <si>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</si>
  <si>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</si>
  <si>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</si>
  <si>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</si>
  <si>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</si>
  <si>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</si>
  <si>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</si>
  <si>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</si>
  <si>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</si>
  <si>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</si>
  <si>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</si>
  <si>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</si>
  <si>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</si>
  <si>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</si>
  <si>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</si>
  <si>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</si>
  <si>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</si>
  <si>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</si>
  <si>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</si>
  <si>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</si>
  <si>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</si>
  <si>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</si>
  <si>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</si>
  <si>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</si>
  <si>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</si>
  <si>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</si>
  <si>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</si>
  <si>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</si>
  <si>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</si>
  <si>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</si>
  <si>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</si>
  <si>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</si>
  <si>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</si>
  <si>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</si>
  <si>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</si>
  <si>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</si>
  <si>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</si>
  <si>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</si>
  <si>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</si>
  <si>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</si>
  <si>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</si>
  <si>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</si>
  <si>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</si>
  <si>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</si>
  <si>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</si>
  <si>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</si>
  <si>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</si>
  <si>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</si>
  <si>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</si>
  <si>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</si>
  <si>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</si>
  <si>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</si>
  <si>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</si>
  <si>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</si>
  <si>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</si>
  <si>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</si>
  <si>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</si>
  <si>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</si>
  <si>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</si>
  <si>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</si>
  <si>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</si>
  <si>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</si>
  <si>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</si>
  <si>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</si>
  <si>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</si>
  <si>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</si>
  <si>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</si>
  <si>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</si>
  <si>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</si>
  <si>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</si>
  <si>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</si>
  <si>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</si>
  <si>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</si>
  <si>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</si>
  <si>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</si>
  <si>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</si>
  <si>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</si>
  <si>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</si>
  <si>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</si>
  <si>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</si>
  <si>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</si>
  <si>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</si>
  <si>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</si>
  <si>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</si>
  <si>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</si>
  <si>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</si>
  <si>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</si>
  <si>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</si>
  <si>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</si>
  <si>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</si>
  <si>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</si>
  <si>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</si>
  <si>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</si>
  <si>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</si>
  <si>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</si>
  <si>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</si>
  <si>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</si>
  <si>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</si>
  <si>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</si>
  <si>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</si>
  <si>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</si>
  <si>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</si>
  <si>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</si>
  <si>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</si>
  <si>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</si>
  <si>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</si>
  <si>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</si>
  <si>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</si>
  <si>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</si>
  <si>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</si>
  <si>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</si>
  <si>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</si>
  <si>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</si>
  <si>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</si>
  <si>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</si>
  <si>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</si>
  <si>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</si>
  <si>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</si>
  <si>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</si>
  <si>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</si>
  <si>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</si>
  <si>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</si>
  <si>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</si>
  <si>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</si>
  <si>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</si>
  <si>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</si>
  <si>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</si>
  <si>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</si>
  <si>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</si>
  <si>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</si>
  <si>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</si>
  <si>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</si>
  <si>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</si>
  <si>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</si>
  <si>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</si>
  <si>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</si>
  <si>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</si>
  <si>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</si>
  <si>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</si>
  <si>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</si>
  <si>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</si>
  <si>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</si>
  <si>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</si>
  <si>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</si>
  <si>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</si>
  <si>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</si>
  <si>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</si>
  <si>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</si>
  <si>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</si>
  <si>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</si>
  <si>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</si>
  <si>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</si>
  <si>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</si>
  <si>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</si>
  <si>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</si>
  <si>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</si>
  <si>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</si>
  <si>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</si>
  <si>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</si>
  <si>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</si>
  <si>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</si>
  <si>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</si>
  <si>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</si>
  <si>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</si>
  <si>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</si>
  <si>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</si>
  <si>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</si>
  <si>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</si>
  <si>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</si>
  <si>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</si>
  <si>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</si>
  <si>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</si>
  <si>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</si>
  <si>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</si>
  <si>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</si>
  <si>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</si>
  <si>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</si>
  <si>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</si>
  <si>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</si>
  <si>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</si>
  <si>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</si>
  <si>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</si>
  <si>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</si>
  <si>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</si>
  <si>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</si>
  <si>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</si>
  <si>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</si>
  <si>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</si>
  <si>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</si>
  <si>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</si>
  <si>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</si>
  <si>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</si>
  <si>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</si>
  <si>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</si>
  <si>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</si>
  <si>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</si>
  <si>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</si>
  <si>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</si>
  <si>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</si>
  <si>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</si>
  <si>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</si>
  <si>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</si>
  <si>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</si>
  <si>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</si>
  <si>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</si>
  <si>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</si>
  <si>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</si>
  <si>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</si>
  <si>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</si>
  <si>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</si>
  <si>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</si>
  <si>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</si>
  <si>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</si>
  <si>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</si>
  <si>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</si>
  <si>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</si>
  <si>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</si>
  <si>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</si>
  <si>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</si>
  <si>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</si>
  <si>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</si>
  <si>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</si>
  <si>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</si>
  <si>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</si>
  <si>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</si>
  <si>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</si>
  <si>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</si>
  <si>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</si>
  <si>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</si>
  <si>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</si>
  <si>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</si>
  <si>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</si>
  <si>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</si>
  <si>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</si>
  <si>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</si>
  <si>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</si>
  <si>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</si>
  <si>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</si>
  <si>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</si>
  <si>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</si>
  <si>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</si>
  <si>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</si>
  <si>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</si>
  <si>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</si>
  <si>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</si>
  <si>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</si>
  <si>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</si>
  <si>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</si>
  <si>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</si>
  <si>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</si>
  <si>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</si>
  <si>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</si>
  <si>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</si>
  <si>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</si>
  <si>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</si>
  <si>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</si>
  <si>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</si>
  <si>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</si>
  <si>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</si>
  <si>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</si>
  <si>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</si>
  <si>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</si>
  <si>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</si>
  <si>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</si>
  <si>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</si>
  <si>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</si>
  <si>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</si>
  <si>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</si>
  <si>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</si>
  <si>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</si>
  <si>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</si>
  <si>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</si>
  <si>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</si>
  <si>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</si>
  <si>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</si>
  <si>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</si>
  <si>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</si>
  <si>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</si>
  <si>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</si>
  <si>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</si>
  <si>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</si>
  <si>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</si>
  <si>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</si>
  <si>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</si>
  <si>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</si>
  <si>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</si>
  <si>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</si>
  <si>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</si>
  <si>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</si>
  <si>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</si>
  <si>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</si>
  <si>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</si>
  <si>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</si>
  <si>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</si>
  <si>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</si>
  <si>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</si>
  <si>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</si>
  <si>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</si>
  <si>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</si>
  <si>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</si>
  <si>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</si>
  <si>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</si>
  <si>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</si>
  <si>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</si>
  <si>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</si>
  <si>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</si>
  <si>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</si>
  <si>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</si>
  <si>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</si>
  <si>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</si>
  <si>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</si>
  <si>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</si>
  <si>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</si>
  <si>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</si>
  <si>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</si>
  <si>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</si>
  <si>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</si>
  <si>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</si>
  <si>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</si>
  <si>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</si>
  <si>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</si>
  <si>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</si>
  <si>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</si>
  <si>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</si>
  <si>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</si>
  <si>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</si>
  <si>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</si>
  <si>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</si>
  <si>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</si>
  <si>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</si>
  <si>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</si>
  <si>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</si>
  <si>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</si>
  <si>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</si>
  <si>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</si>
  <si>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</si>
  <si>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</si>
  <si>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</si>
  <si>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</si>
  <si>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</si>
  <si>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</si>
  <si>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</si>
  <si>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</si>
  <si>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</si>
  <si>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</si>
  <si>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</si>
  <si>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</si>
  <si>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</si>
  <si>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</si>
  <si>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</si>
  <si>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</si>
  <si>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</si>
  <si>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</si>
  <si>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</si>
  <si>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</si>
  <si>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</si>
  <si>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</si>
  <si>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</si>
  <si>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</si>
  <si>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</si>
  <si>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</si>
  <si>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</si>
  <si>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</si>
  <si>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</si>
  <si>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</si>
  <si>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</si>
  <si>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</si>
  <si>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</si>
  <si>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</si>
  <si>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</si>
  <si>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</si>
  <si>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</si>
  <si>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</si>
  <si>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</si>
  <si>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</si>
  <si>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</si>
  <si>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</si>
  <si>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</si>
  <si>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</si>
  <si>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</si>
  <si>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</si>
  <si>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</si>
  <si>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</si>
  <si>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</si>
  <si>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</si>
  <si>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</si>
  <si>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</si>
  <si>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</si>
  <si>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</si>
  <si>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</si>
  <si>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</si>
  <si>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</si>
  <si>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</si>
  <si>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</si>
  <si>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</si>
  <si>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</si>
  <si>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</si>
  <si>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</si>
  <si>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</si>
  <si>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</si>
  <si>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</si>
  <si>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</si>
  <si>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</si>
  <si>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</si>
  <si>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</si>
  <si>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</si>
  <si>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</si>
  <si>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</si>
  <si>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</si>
  <si>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</si>
  <si>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</si>
  <si>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</si>
  <si>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</si>
  <si>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</si>
  <si>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</si>
  <si>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</si>
  <si>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</si>
  <si>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</si>
  <si>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</si>
  <si>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</si>
  <si>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</si>
  <si>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</si>
  <si>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</si>
  <si>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</si>
  <si>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</si>
  <si>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</si>
  <si>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</si>
  <si>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</si>
  <si>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</si>
  <si>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</si>
  <si>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</si>
  <si>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</si>
  <si>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</si>
  <si>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</si>
  <si>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</si>
  <si>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</si>
  <si>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</si>
  <si>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</si>
  <si>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</si>
  <si>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</si>
  <si>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</si>
  <si>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</si>
  <si>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</si>
  <si>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</si>
  <si>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</si>
  <si>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</si>
  <si>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</si>
  <si>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</si>
  <si>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</si>
  <si>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</si>
  <si>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</si>
  <si>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</si>
  <si>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</si>
  <si>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</si>
  <si>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</si>
  <si>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</si>
  <si>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</si>
  <si>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</si>
  <si>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</si>
  <si>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</si>
  <si>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</si>
  <si>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</si>
  <si>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</si>
  <si>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</si>
  <si>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</si>
  <si>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</si>
  <si>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</si>
  <si>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</si>
  <si>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</si>
  <si>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</si>
  <si>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</si>
  <si>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</si>
  <si>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</si>
  <si>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</si>
  <si>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</si>
  <si>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</si>
  <si>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</si>
  <si>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</si>
  <si>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</si>
  <si>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</si>
  <si>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</si>
  <si>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</si>
  <si>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</si>
  <si>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</si>
  <si>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</si>
  <si>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</si>
  <si>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</si>
  <si>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</si>
  <si>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</si>
  <si>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</si>
  <si>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</si>
  <si>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</si>
  <si>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</si>
  <si>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</si>
  <si>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</si>
  <si>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</si>
  <si>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</si>
  <si>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</si>
  <si>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</si>
  <si>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</si>
  <si>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</si>
  <si>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</si>
  <si>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</si>
  <si>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</si>
  <si>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</si>
  <si>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</si>
  <si>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</si>
  <si>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</si>
  <si>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</si>
  <si>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</si>
  <si>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</si>
  <si>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</si>
  <si>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</si>
  <si>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</si>
  <si>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</si>
  <si>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</si>
  <si>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</si>
  <si>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</si>
  <si>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</si>
  <si>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</si>
  <si>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</si>
  <si>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</si>
  <si>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</si>
  <si>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</si>
  <si>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</si>
  <si>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</si>
  <si>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</si>
  <si>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</si>
  <si>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</si>
  <si>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</si>
  <si>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</si>
  <si>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</si>
  <si>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</si>
  <si>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</si>
  <si>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</si>
  <si>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</si>
  <si>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</si>
  <si>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</si>
  <si>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</si>
  <si>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</si>
  <si>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</si>
  <si>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</si>
  <si>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</si>
  <si>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</si>
  <si>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</si>
  <si>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</si>
  <si>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</si>
  <si>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</si>
  <si>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</si>
  <si>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</si>
  <si>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</si>
  <si>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</si>
  <si>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</si>
  <si>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</si>
  <si>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</si>
  <si>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</si>
  <si>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</si>
  <si>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</si>
  <si>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</si>
  <si>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</si>
  <si>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</si>
  <si>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</si>
  <si>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</si>
  <si>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</si>
  <si>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</si>
  <si>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</si>
  <si>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</si>
  <si>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</si>
  <si>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</si>
  <si>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</si>
  <si>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</si>
  <si>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</si>
  <si>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</si>
  <si>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</si>
  <si>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</si>
  <si>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</si>
  <si>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</si>
  <si>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</si>
  <si>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</si>
  <si>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</si>
  <si>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</si>
  <si>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</si>
  <si>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</si>
  <si>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</si>
  <si>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</si>
  <si>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</si>
  <si>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</si>
  <si>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</si>
  <si>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</si>
  <si>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</si>
  <si>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</si>
  <si>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</si>
  <si>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</si>
  <si>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</si>
  <si>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</si>
  <si>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</si>
  <si>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</si>
  <si>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</si>
  <si>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</si>
  <si>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</si>
  <si>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</si>
  <si>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</si>
  <si>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</si>
  <si>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</si>
  <si>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</si>
  <si>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</si>
  <si>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</si>
  <si>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</si>
  <si>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</si>
  <si>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</si>
  <si>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</si>
  <si>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</si>
  <si>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</si>
  <si>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</si>
  <si>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</si>
  <si>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</si>
  <si>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</si>
  <si>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</si>
  <si>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</si>
  <si>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</si>
  <si>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</si>
  <si>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</si>
  <si>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</si>
  <si>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</si>
  <si>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</si>
  <si>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</si>
  <si>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</si>
  <si>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</si>
  <si>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</si>
  <si>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</si>
  <si>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</si>
  <si>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</si>
  <si>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</si>
  <si>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</si>
  <si>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</si>
  <si>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</si>
  <si>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</si>
  <si>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</si>
  <si>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</si>
  <si>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</si>
  <si>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</si>
  <si>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</si>
  <si>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</si>
  <si>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</si>
  <si>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</si>
  <si>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</si>
  <si>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</si>
  <si>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</si>
  <si>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</si>
  <si>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</si>
  <si>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</si>
  <si>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</si>
  <si>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</si>
  <si>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</si>
  <si>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</si>
  <si>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</si>
  <si>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</si>
  <si>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</si>
  <si>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</si>
  <si>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</si>
  <si>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</si>
  <si>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</si>
  <si>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</si>
  <si>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</si>
  <si>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</si>
  <si>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</si>
  <si>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</si>
  <si>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</si>
  <si>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</si>
  <si>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</si>
  <si>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</si>
  <si>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</si>
  <si>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</si>
  <si>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</si>
  <si>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</si>
  <si>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</si>
  <si>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</si>
  <si>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</si>
  <si>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</si>
  <si>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</si>
  <si>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</si>
  <si>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</si>
  <si>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</si>
  <si>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</si>
  <si>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</si>
  <si>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</si>
  <si>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</si>
  <si>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</si>
  <si>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</si>
  <si>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</si>
  <si>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</si>
  <si>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</si>
  <si>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</si>
  <si>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</si>
  <si>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</si>
  <si>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</si>
  <si>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</si>
  <si>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</si>
  <si>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</si>
  <si>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</si>
  <si>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</si>
  <si>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</si>
  <si>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</si>
  <si>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</si>
  <si>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</si>
  <si>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</si>
  <si>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</si>
  <si>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</si>
  <si>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</si>
  <si>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</si>
  <si>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</si>
  <si>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</si>
  <si>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</si>
  <si>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</si>
  <si>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</si>
  <si>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</si>
  <si>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</si>
  <si>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</si>
  <si>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</si>
  <si>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</si>
  <si>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</si>
  <si>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</si>
  <si>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</si>
  <si>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</si>
  <si>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</si>
  <si>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</si>
  <si>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</si>
  <si>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</si>
  <si>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</si>
  <si>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</si>
  <si>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</si>
  <si>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</si>
  <si>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</si>
  <si>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</si>
  <si>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</si>
  <si>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</si>
  <si>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</si>
  <si>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</si>
  <si>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</si>
  <si>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</si>
  <si>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</si>
  <si>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</si>
  <si>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</si>
  <si>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</si>
  <si>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</si>
  <si>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</si>
  <si>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</si>
  <si>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</si>
  <si>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</si>
  <si>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</si>
  <si>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</si>
  <si>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</si>
  <si>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</si>
  <si>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</si>
  <si>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</si>
  <si>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</si>
  <si>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</si>
  <si>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</si>
  <si>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</si>
  <si>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</si>
  <si>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</si>
  <si>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</si>
  <si>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</si>
  <si>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</si>
  <si>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</si>
  <si>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</si>
  <si>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</si>
  <si>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</si>
  <si>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</si>
  <si>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</si>
  <si>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</si>
  <si>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</si>
  <si>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</si>
  <si>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</si>
  <si>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</si>
  <si>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</si>
  <si>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</si>
  <si>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</si>
  <si>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</si>
  <si>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</si>
  <si>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</si>
  <si>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</si>
  <si>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</si>
  <si>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</si>
  <si>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</si>
  <si>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</si>
  <si>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</si>
  <si>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</si>
  <si>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</si>
  <si>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</si>
  <si>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</si>
  <si>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</si>
  <si>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</si>
  <si>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</si>
  <si>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</si>
  <si>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</si>
  <si>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</si>
  <si>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</si>
  <si>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</si>
  <si>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</si>
  <si>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</si>
  <si>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</si>
  <si>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</si>
  <si>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</si>
  <si>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</si>
  <si>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</si>
  <si>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</si>
  <si>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</si>
  <si>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</si>
  <si>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</si>
  <si>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</si>
  <si>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</si>
  <si>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</si>
  <si>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</si>
  <si>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</si>
  <si>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</si>
  <si>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</si>
  <si>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</si>
  <si>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</si>
  <si>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</si>
  <si>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</si>
  <si>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</si>
  <si>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</si>
  <si>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</si>
  <si>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</si>
  <si>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</si>
  <si>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</si>
  <si>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</si>
  <si>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</si>
  <si>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</si>
  <si>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</si>
  <si>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</si>
  <si>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</si>
  <si>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</si>
  <si>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</si>
  <si>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</si>
  <si>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</si>
  <si>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</si>
  <si>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</si>
  <si>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</si>
  <si>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</si>
  <si>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</si>
  <si>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</si>
  <si>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</si>
  <si>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</si>
  <si>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</si>
  <si>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</si>
  <si>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</si>
  <si>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</si>
  <si>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</si>
  <si>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</si>
  <si>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</si>
  <si>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</si>
  <si>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</si>
  <si>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</si>
  <si>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</si>
  <si>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</si>
  <si>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</si>
  <si>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</si>
  <si>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</si>
  <si>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</si>
  <si>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</si>
  <si>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</si>
  <si>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</si>
  <si>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</si>
  <si>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</si>
  <si>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</si>
  <si>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</si>
  <si>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</si>
  <si>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</si>
  <si>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</si>
  <si>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</si>
  <si>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</si>
  <si>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</si>
  <si>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</si>
  <si>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</si>
  <si>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</si>
  <si>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</si>
  <si>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</si>
  <si>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</si>
  <si>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</si>
  <si>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</si>
  <si>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</si>
  <si>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</si>
  <si>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</si>
  <si>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</si>
  <si>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</si>
  <si>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</si>
  <si>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</si>
  <si>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</si>
  <si>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</si>
  <si>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</si>
  <si>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</si>
  <si>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</si>
  <si>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</si>
  <si>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</si>
  <si>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</si>
  <si>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</si>
  <si>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</si>
  <si>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</si>
  <si>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</si>
  <si>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</si>
  <si>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</si>
  <si>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</si>
  <si>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</si>
  <si>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</si>
  <si>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</si>
  <si>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</si>
  <si>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</si>
  <si>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</si>
  <si>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</si>
  <si>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</si>
  <si>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</si>
  <si>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</si>
  <si>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</si>
  <si>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</si>
  <si>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</si>
  <si>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</si>
  <si>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</si>
  <si>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</si>
  <si>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</si>
  <si>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</si>
  <si>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</si>
  <si>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</si>
  <si>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</si>
  <si>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</si>
  <si>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</si>
  <si>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</si>
  <si>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</si>
  <si>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</si>
  <si>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</si>
  <si>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</si>
  <si>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</si>
  <si>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</si>
  <si>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</si>
  <si>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</si>
  <si>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</si>
  <si>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</si>
  <si>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</si>
  <si>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</si>
  <si>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</si>
  <si>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</si>
  <si>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</si>
  <si>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</si>
  <si>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</si>
  <si>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</si>
  <si>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</si>
  <si>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</si>
  <si>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</si>
  <si>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</si>
  <si>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</si>
  <si>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</si>
  <si>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</si>
  <si>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</si>
  <si>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</si>
  <si>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</si>
  <si>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</si>
  <si>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</si>
  <si>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</si>
  <si>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</si>
  <si>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</si>
  <si>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</si>
  <si>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</si>
  <si>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</si>
  <si>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</si>
  <si>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</si>
  <si>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</si>
  <si>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</si>
  <si>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</si>
  <si>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</si>
  <si>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</si>
  <si>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</si>
  <si>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</si>
  <si>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</si>
  <si>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</si>
  <si>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</si>
  <si>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</si>
  <si>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</si>
  <si>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</si>
  <si>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</si>
  <si>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</si>
  <si>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</si>
  <si>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</si>
  <si>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</si>
  <si>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</si>
  <si>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</si>
  <si>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</si>
  <si>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</si>
  <si>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</si>
  <si>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</si>
  <si>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</si>
  <si>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</si>
  <si>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</si>
  <si>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</si>
  <si>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</si>
  <si>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</si>
  <si>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</si>
  <si>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</si>
  <si>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</si>
  <si>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</si>
  <si>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</si>
  <si>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</si>
  <si>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</si>
  <si>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</si>
  <si>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</si>
  <si>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</si>
  <si>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</si>
  <si>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</si>
  <si>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</si>
  <si>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</si>
  <si>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</si>
  <si>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</si>
  <si>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</si>
  <si>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</si>
  <si>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</si>
  <si>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</si>
  <si>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</si>
  <si>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</si>
  <si>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</si>
  <si>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</si>
  <si>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</si>
  <si>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</si>
  <si>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</si>
  <si>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</si>
  <si>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</si>
  <si>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</si>
  <si>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</si>
  <si>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</si>
  <si>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</si>
  <si>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</si>
  <si>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</si>
  <si>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</si>
  <si>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</si>
  <si>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</si>
  <si>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</si>
  <si>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</si>
  <si>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</si>
  <si>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</si>
  <si>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</si>
  <si>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</si>
  <si>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</si>
  <si>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</si>
  <si>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</si>
  <si>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</si>
  <si>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</si>
  <si>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</si>
  <si>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</si>
  <si>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</si>
  <si>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</si>
  <si>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</si>
  <si>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</si>
  <si>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</si>
  <si>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</si>
  <si>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</si>
  <si>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</si>
  <si>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</si>
  <si>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</si>
  <si>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</si>
  <si>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</si>
  <si>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</si>
  <si>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</si>
  <si>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</si>
  <si>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</si>
  <si>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</si>
  <si>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</si>
  <si>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</si>
  <si>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</si>
  <si>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</si>
  <si>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</si>
  <si>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</si>
  <si>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</si>
  <si>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</si>
  <si>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</si>
  <si>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</si>
  <si>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</si>
  <si>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</si>
  <si>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</si>
  <si>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</si>
  <si>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</si>
  <si>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</si>
  <si>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</si>
  <si>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</si>
  <si>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</si>
  <si>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</si>
  <si>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</si>
  <si>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</si>
  <si>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</si>
  <si>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</si>
  <si>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</si>
  <si>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</si>
  <si>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</si>
  <si>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</si>
  <si>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</si>
  <si>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</si>
  <si>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</si>
  <si>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</si>
  <si>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</si>
  <si>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</si>
  <si>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</si>
  <si>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</si>
  <si>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</si>
  <si>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</si>
  <si>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</si>
  <si>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</si>
  <si>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</si>
  <si>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</si>
  <si>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</si>
  <si>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</si>
  <si>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</si>
  <si>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</si>
  <si>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</si>
  <si>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</si>
  <si>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</si>
  <si>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</si>
  <si>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</si>
  <si>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</si>
  <si>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</si>
  <si>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</si>
  <si>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</si>
  <si>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</si>
  <si>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</si>
  <si>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</si>
  <si>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</si>
  <si>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</si>
  <si>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</si>
  <si>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</si>
  <si>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</si>
  <si>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</si>
  <si>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</si>
  <si>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</si>
  <si>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</si>
  <si>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</si>
  <si>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</si>
  <si>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</si>
  <si>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</si>
  <si>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</si>
  <si>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</si>
  <si>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</si>
  <si>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</si>
  <si>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</si>
  <si>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</si>
  <si>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</si>
  <si>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</si>
  <si>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</si>
  <si>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</si>
  <si>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</si>
  <si>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</si>
  <si>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</si>
  <si>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</si>
  <si>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</si>
  <si>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</si>
  <si>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</si>
  <si>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</si>
  <si>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</si>
  <si>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</si>
  <si>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</si>
  <si>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</si>
  <si>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</si>
  <si>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</si>
  <si>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</si>
  <si>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</si>
  <si>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</si>
  <si>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</si>
  <si>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</si>
  <si>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</si>
  <si>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</si>
  <si>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</si>
  <si>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</si>
  <si>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</si>
  <si>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</si>
  <si>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</si>
  <si>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</si>
  <si>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</si>
  <si>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</si>
  <si>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</si>
  <si>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</si>
  <si>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</si>
  <si>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</si>
  <si>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</si>
  <si>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</si>
  <si>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</si>
  <si>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</si>
  <si>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</si>
  <si>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</si>
  <si>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</si>
  <si>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</si>
  <si>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</si>
  <si>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</si>
  <si>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</si>
  <si>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</si>
  <si>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</si>
  <si>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</si>
  <si>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</si>
  <si>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</si>
  <si>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</si>
  <si>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</si>
  <si>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</si>
  <si>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</si>
  <si>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</si>
  <si>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</si>
  <si>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</si>
  <si>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</si>
  <si>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</si>
  <si>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</si>
  <si>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</si>
  <si>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</si>
  <si>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</si>
  <si>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</si>
  <si>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</si>
  <si>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</si>
  <si>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</si>
  <si>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</si>
  <si>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</si>
  <si>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</si>
  <si>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</si>
  <si>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</si>
  <si>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</si>
  <si>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</si>
  <si>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</si>
  <si>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</si>
  <si>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</si>
  <si>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</si>
  <si>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</si>
  <si>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</si>
  <si>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</si>
  <si>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</si>
  <si>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</si>
  <si>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</si>
  <si>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</si>
  <si>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</si>
  <si>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</si>
  <si>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</si>
  <si>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</si>
  <si>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</si>
  <si>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</si>
  <si>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</si>
  <si>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</si>
  <si>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</si>
  <si>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</si>
  <si>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</si>
  <si>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</si>
  <si>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</si>
  <si>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</si>
  <si>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</si>
  <si>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</si>
  <si>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</si>
  <si>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</si>
  <si>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</si>
  <si>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</si>
  <si>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</si>
  <si>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</si>
  <si>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</si>
  <si>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</si>
  <si>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</si>
  <si>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</si>
  <si>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</si>
  <si>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</si>
  <si>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</si>
  <si>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</si>
  <si>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</si>
  <si>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</si>
  <si>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</si>
  <si>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</si>
  <si>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</si>
  <si>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</si>
  <si>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</si>
  <si>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</si>
  <si>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</si>
  <si>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</si>
  <si>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</si>
  <si>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</si>
  <si>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</si>
  <si>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</si>
  <si>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</si>
  <si>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</si>
  <si>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</si>
  <si>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</si>
  <si>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</si>
  <si>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</si>
  <si>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</si>
  <si>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</si>
  <si>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</si>
  <si>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</si>
  <si>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</si>
  <si>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</si>
  <si>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</si>
  <si>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</si>
  <si>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</si>
  <si>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</si>
  <si>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</si>
  <si>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</si>
  <si>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</si>
  <si>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</si>
  <si>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</si>
  <si>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</si>
  <si>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</si>
  <si>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</si>
  <si>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</si>
  <si>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</si>
  <si>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</si>
  <si>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</si>
  <si>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</si>
  <si>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</si>
  <si>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</si>
  <si>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</si>
  <si>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</si>
  <si>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</si>
  <si>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</si>
  <si>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</si>
  <si>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</si>
  <si>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</si>
  <si>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</si>
  <si>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</si>
  <si>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</si>
  <si>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</si>
  <si>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</si>
  <si>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</si>
  <si>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</si>
  <si>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</si>
  <si>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</si>
  <si>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</si>
  <si>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</si>
  <si>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</si>
  <si>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</si>
  <si>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</si>
  <si>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</si>
  <si>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</si>
  <si>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</si>
  <si>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</si>
  <si>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</si>
  <si>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</si>
  <si>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</si>
  <si>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</si>
  <si>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</si>
  <si>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</si>
  <si>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</si>
  <si>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</si>
  <si>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</si>
  <si>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</si>
  <si>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</si>
  <si>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</si>
  <si>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</si>
  <si>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</si>
  <si>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</si>
  <si>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</si>
  <si>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</si>
  <si>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</si>
  <si>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</si>
  <si>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</si>
  <si>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</si>
  <si>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</si>
  <si>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</si>
  <si>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</si>
  <si>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</si>
  <si>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</si>
  <si>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</si>
  <si>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</si>
  <si>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</si>
  <si>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</si>
  <si>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</si>
  <si>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</si>
  <si>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</si>
  <si>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</si>
  <si>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</si>
  <si>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</si>
  <si>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</si>
  <si>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</si>
  <si>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</si>
  <si>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</si>
  <si>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</si>
  <si>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</si>
  <si>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</si>
  <si>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</si>
  <si>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</si>
  <si>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</si>
  <si>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</si>
  <si>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</si>
  <si>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</si>
  <si>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</si>
  <si>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</si>
  <si>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</si>
  <si>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</si>
  <si>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</si>
  <si>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</si>
  <si>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</si>
  <si>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</si>
  <si>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</si>
  <si>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</si>
  <si>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</si>
  <si>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</si>
  <si>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</si>
  <si>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</si>
  <si>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</si>
  <si>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</si>
  <si>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</si>
  <si>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</si>
  <si>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</si>
  <si>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</si>
  <si>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</si>
  <si>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</si>
  <si>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</si>
  <si>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</si>
  <si>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</si>
  <si>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</si>
  <si>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</si>
  <si>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</si>
  <si>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</si>
  <si>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</si>
  <si>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</si>
  <si>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</si>
  <si>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</si>
  <si>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</si>
  <si>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</si>
  <si>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</si>
  <si>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</si>
  <si>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</si>
  <si>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</si>
  <si>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</si>
  <si>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</si>
  <si>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</si>
  <si>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</si>
  <si>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</si>
  <si>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</si>
  <si>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</si>
  <si>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</si>
  <si>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</si>
  <si>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</si>
  <si>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</si>
  <si>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</si>
  <si>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</si>
  <si>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</si>
  <si>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</si>
  <si>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</si>
  <si>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</si>
  <si>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</si>
  <si>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</si>
  <si>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</si>
  <si>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</si>
  <si>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</si>
  <si>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</si>
  <si>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</si>
  <si>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</si>
  <si>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</si>
  <si>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</si>
  <si>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</si>
  <si>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</si>
  <si>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</si>
  <si>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</si>
  <si>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</si>
  <si>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</si>
  <si>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</si>
  <si>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</si>
  <si>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</si>
  <si>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</si>
  <si>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</si>
  <si>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</si>
  <si>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</si>
  <si>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</si>
  <si>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</si>
  <si>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</si>
  <si>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</si>
  <si>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</si>
  <si>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</si>
  <si>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</si>
  <si>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</si>
  <si>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</si>
  <si>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</si>
  <si>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</si>
  <si>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</si>
  <si>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</si>
  <si>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</si>
  <si>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</si>
  <si>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</si>
  <si>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</si>
  <si>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</si>
  <si>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</si>
  <si>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</si>
  <si>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</si>
  <si>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</si>
  <si>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</si>
  <si>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</si>
  <si>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</si>
  <si>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</si>
  <si>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</si>
  <si>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</si>
  <si>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</si>
  <si>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</si>
  <si>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</si>
  <si>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</si>
  <si>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</si>
  <si>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</si>
  <si>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</si>
  <si>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</si>
  <si>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</si>
  <si>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</si>
  <si>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</si>
  <si>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</si>
  <si>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</si>
  <si>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</si>
  <si>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</si>
  <si>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</si>
  <si>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</si>
  <si>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</si>
  <si>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</si>
  <si>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</si>
  <si>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</si>
  <si>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</si>
  <si>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</si>
  <si>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</si>
  <si>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</si>
  <si>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</si>
  <si>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</si>
  <si>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</si>
  <si>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</si>
  <si>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</si>
  <si>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</si>
  <si>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</si>
  <si>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</si>
  <si>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</si>
  <si>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</si>
  <si>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</si>
  <si>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</si>
  <si>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</si>
  <si>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</si>
  <si>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</si>
  <si>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</si>
  <si>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</si>
  <si>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</si>
  <si>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</si>
  <si>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</si>
  <si>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</si>
  <si>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</si>
  <si>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</si>
  <si>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</si>
  <si>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</si>
  <si>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</si>
  <si>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</si>
  <si>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</si>
  <si>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</si>
  <si>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</si>
  <si>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</si>
  <si>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</si>
  <si>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</si>
  <si>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</si>
  <si>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</si>
  <si>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</si>
  <si>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</si>
  <si>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</si>
  <si>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</si>
  <si>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</si>
  <si>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</si>
  <si>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</si>
  <si>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</si>
  <si>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</si>
  <si>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</si>
  <si>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</si>
  <si>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</si>
  <si>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</si>
  <si>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</si>
  <si>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</si>
  <si>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</si>
  <si>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</si>
  <si>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</si>
  <si>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</si>
  <si>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</si>
  <si>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</si>
  <si>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</si>
  <si>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</si>
  <si>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</si>
  <si>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</si>
  <si>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</si>
  <si>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</si>
  <si>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</si>
  <si>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</si>
  <si>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</si>
  <si>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</si>
  <si>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</si>
  <si>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</si>
  <si>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</si>
  <si>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</si>
  <si>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</si>
  <si>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</si>
  <si>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</si>
  <si>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</si>
  <si>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</si>
  <si>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</si>
  <si>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</si>
  <si>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</si>
  <si>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</si>
  <si>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</si>
  <si>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</si>
  <si>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</si>
  <si>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</si>
  <si>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</si>
  <si>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</si>
  <si>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</si>
  <si>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</si>
  <si>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</si>
  <si>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</si>
  <si>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</si>
  <si>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</si>
  <si>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</si>
  <si>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</si>
  <si>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</si>
  <si>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</si>
  <si>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</si>
  <si>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</si>
  <si>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</si>
  <si>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</si>
  <si>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</si>
  <si>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</si>
  <si>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</si>
  <si>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</si>
  <si>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</si>
  <si>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</si>
  <si>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</si>
  <si>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</si>
  <si>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</si>
  <si>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</si>
  <si>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</si>
  <si>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</si>
  <si>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</si>
  <si>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</si>
  <si>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</si>
  <si>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</si>
  <si>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</si>
  <si>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</si>
  <si>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</si>
  <si>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</si>
  <si>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</si>
  <si>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</si>
  <si>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</si>
  <si>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</si>
  <si>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</si>
  <si>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</si>
  <si>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</si>
  <si>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</si>
  <si>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</si>
  <si>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</si>
  <si>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</si>
  <si>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</si>
  <si>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</si>
  <si>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</si>
  <si>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</si>
  <si>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</si>
  <si>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</si>
  <si>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</si>
  <si>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</si>
  <si>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</si>
  <si>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</si>
  <si>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</si>
  <si>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</si>
  <si>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</si>
  <si>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</si>
  <si>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</si>
  <si>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</si>
  <si>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</si>
  <si>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</si>
  <si>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</si>
  <si>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</si>
  <si>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</si>
  <si>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</si>
  <si>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</si>
  <si>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</si>
  <si>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</si>
  <si>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</si>
  <si>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</si>
  <si>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</si>
  <si>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</si>
  <si>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</si>
  <si>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</si>
  <si>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</si>
  <si>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</si>
  <si>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</si>
  <si>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</si>
  <si>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</si>
  <si>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</si>
  <si>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</si>
  <si>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</si>
  <si>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</si>
  <si>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</si>
  <si>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</si>
  <si>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</si>
  <si>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</si>
  <si>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</si>
  <si>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</si>
  <si>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</si>
  <si>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</si>
  <si>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</si>
  <si>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</si>
  <si>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</si>
  <si>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</si>
  <si>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</si>
  <si>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</si>
  <si>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</si>
  <si>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</si>
  <si>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</si>
  <si>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</si>
  <si>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</si>
  <si>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</si>
  <si>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</si>
  <si>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</si>
  <si>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</si>
  <si>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</si>
  <si>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</si>
  <si>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</si>
  <si>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</si>
  <si>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</si>
  <si>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</si>
  <si>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</si>
  <si>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</si>
  <si>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</si>
  <si>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</si>
  <si>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</si>
  <si>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</si>
  <si>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</si>
  <si>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</si>
  <si>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</si>
  <si>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</si>
  <si>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</si>
  <si>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</si>
  <si>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</si>
  <si>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</si>
  <si>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</si>
  <si>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</si>
  <si>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</si>
  <si>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</si>
  <si>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</si>
  <si>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</si>
  <si>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</si>
  <si>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</si>
  <si>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</si>
  <si>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</si>
  <si>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</si>
  <si>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</si>
  <si>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</si>
  <si>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</si>
  <si>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</si>
  <si>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</si>
  <si>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</si>
  <si>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</si>
  <si>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</si>
  <si>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</si>
  <si>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</si>
  <si>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</si>
  <si>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</si>
  <si>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</si>
  <si>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</si>
  <si>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</si>
  <si>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</si>
  <si>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</si>
  <si>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</si>
  <si>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</si>
  <si>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</si>
  <si>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</si>
  <si>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</si>
  <si>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</si>
  <si>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</si>
  <si>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</si>
  <si>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</si>
  <si>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</si>
  <si>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</si>
  <si>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</si>
  <si>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</si>
  <si>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</si>
  <si>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</si>
  <si>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</si>
  <si>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</si>
  <si>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</si>
  <si>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</si>
  <si>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</si>
  <si>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</si>
  <si>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</si>
  <si>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</si>
  <si>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</si>
  <si>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</si>
  <si>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</si>
  <si>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</si>
  <si>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</si>
  <si>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</si>
  <si>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</si>
  <si>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</si>
  <si>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</si>
  <si>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</si>
  <si>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</si>
  <si>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</si>
  <si>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</si>
  <si>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</si>
  <si>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</si>
  <si>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</si>
  <si>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</si>
  <si>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</si>
  <si>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</si>
  <si>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</si>
  <si>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</si>
  <si>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</si>
  <si>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</si>
  <si>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</si>
  <si>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</si>
  <si>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</si>
  <si>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</si>
  <si>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</si>
  <si>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</si>
  <si>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</si>
  <si>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</si>
  <si>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</si>
  <si>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</si>
  <si>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</si>
  <si>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</si>
  <si>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</si>
  <si>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</si>
  <si>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</si>
  <si>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</si>
  <si>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</si>
  <si>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</si>
  <si>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</si>
  <si>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</si>
  <si>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</si>
  <si>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</si>
  <si>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</si>
  <si>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</si>
  <si>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</si>
  <si>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</si>
  <si>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</si>
  <si>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</si>
  <si>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</si>
  <si>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</si>
  <si>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</si>
  <si>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</si>
  <si>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</si>
  <si>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</si>
  <si>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</si>
  <si>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</si>
  <si>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</si>
  <si>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</si>
  <si>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</si>
  <si>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</si>
  <si>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</si>
  <si>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</si>
  <si>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</si>
  <si>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</si>
  <si>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</si>
  <si>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</si>
  <si>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</si>
  <si>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</si>
  <si>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</si>
  <si>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</si>
  <si>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</si>
  <si>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</si>
  <si>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</si>
  <si>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</si>
  <si>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</si>
  <si>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</si>
  <si>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</si>
  <si>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</si>
  <si>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</si>
  <si>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</si>
  <si>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</si>
  <si>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</si>
  <si>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</si>
  <si>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</si>
  <si>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</si>
  <si>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</si>
  <si>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</si>
  <si>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</si>
  <si>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</si>
  <si>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</si>
  <si>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</si>
  <si>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</si>
  <si>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</si>
  <si>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</si>
  <si>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</si>
  <si>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</si>
  <si>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</si>
  <si>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</si>
  <si>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</si>
  <si>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</si>
  <si>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</si>
  <si>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</si>
  <si>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</si>
  <si>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</si>
  <si>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</si>
  <si>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</si>
  <si>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</si>
  <si>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</si>
  <si>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</si>
  <si>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</si>
  <si>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</si>
  <si>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</si>
  <si>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</si>
  <si>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</si>
  <si>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</si>
  <si>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</si>
  <si>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</si>
  <si>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</si>
  <si>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</si>
  <si>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</si>
  <si>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</si>
  <si>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</si>
  <si>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</si>
  <si>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</si>
  <si>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</si>
  <si>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</si>
  <si>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</si>
  <si>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</si>
  <si>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</si>
  <si>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</si>
  <si>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</si>
  <si>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</si>
  <si>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</si>
  <si>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</si>
  <si>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</si>
  <si>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</si>
  <si>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</si>
  <si>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</si>
  <si>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</si>
  <si>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</si>
  <si>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</si>
  <si>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</si>
  <si>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</si>
  <si>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</si>
  <si>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</si>
  <si>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</si>
  <si>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</si>
  <si>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</si>
  <si>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</si>
  <si>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</si>
  <si>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</si>
  <si>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</si>
  <si>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</si>
  <si>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</si>
  <si>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</si>
  <si>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</si>
  <si>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</si>
  <si>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</si>
  <si>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</si>
  <si>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</si>
  <si>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</si>
  <si>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</si>
  <si>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</si>
  <si>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</si>
  <si>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</si>
  <si>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</si>
  <si>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</si>
  <si>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</si>
  <si>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</si>
  <si>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</si>
  <si>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</si>
  <si>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</si>
  <si>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</si>
  <si>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</si>
  <si>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</si>
  <si>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</si>
  <si>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</si>
  <si>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</si>
  <si>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</si>
  <si>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</si>
  <si>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</si>
  <si>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</si>
  <si>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</si>
  <si>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</si>
  <si>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</si>
  <si>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</si>
  <si>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</si>
  <si>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</si>
  <si>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</si>
  <si>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</si>
  <si>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</si>
  <si>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</si>
  <si>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</si>
  <si>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</si>
  <si>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</si>
  <si>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</si>
  <si>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</si>
  <si>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</si>
  <si>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</si>
  <si>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</si>
  <si>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</si>
  <si>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</si>
  <si>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</si>
  <si>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</si>
  <si>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</si>
  <si>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</si>
  <si>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</si>
  <si>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</si>
  <si>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</si>
  <si>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</si>
  <si>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</si>
  <si>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</si>
  <si>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</si>
  <si>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</si>
  <si>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</si>
  <si>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</si>
  <si>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</si>
  <si>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</si>
  <si>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</si>
  <si>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</si>
  <si>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</si>
  <si>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</si>
  <si>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</si>
  <si>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</si>
  <si>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</si>
  <si>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</si>
  <si>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</si>
  <si>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</si>
  <si>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</si>
  <si>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</si>
  <si>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</si>
  <si>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</si>
  <si>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</si>
  <si>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</si>
  <si>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</si>
  <si>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</si>
  <si>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</si>
  <si>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</si>
  <si>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</si>
  <si>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</si>
  <si>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</si>
  <si>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</si>
  <si>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</si>
  <si>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</si>
  <si>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</si>
  <si>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</si>
  <si>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</si>
  <si>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</si>
  <si>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</si>
  <si>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</si>
  <si>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</si>
  <si>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</si>
  <si>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</si>
  <si>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</si>
  <si>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</si>
  <si>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</si>
  <si>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</si>
  <si>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</si>
  <si>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</si>
  <si>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</si>
  <si>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</si>
  <si>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</si>
  <si>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</si>
  <si>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</si>
  <si>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</si>
  <si>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</si>
  <si>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</si>
  <si>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</si>
  <si>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</si>
  <si>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</si>
  <si>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</si>
  <si>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</si>
  <si>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</si>
  <si>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</si>
  <si>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</si>
  <si>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</si>
  <si>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</si>
  <si>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</si>
  <si>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</si>
  <si>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</si>
  <si>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</si>
  <si>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</si>
  <si>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</si>
  <si>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</si>
  <si>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</si>
  <si>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</si>
  <si>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</si>
  <si>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</si>
  <si>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</si>
  <si>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</si>
  <si>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</si>
  <si>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</si>
  <si>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</si>
  <si>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</si>
  <si>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</si>
  <si>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</si>
  <si>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</si>
  <si>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</si>
  <si>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</si>
  <si>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</si>
  <si>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</si>
  <si>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</si>
  <si>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</si>
  <si>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</si>
  <si>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</si>
  <si>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</si>
  <si>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</si>
  <si>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</si>
  <si>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</si>
  <si>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</si>
  <si>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</si>
  <si>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</si>
  <si>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</si>
  <si>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</si>
  <si>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</si>
  <si>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</si>
  <si>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</si>
  <si>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</si>
  <si>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</si>
  <si>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</si>
  <si>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</si>
  <si>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</si>
  <si>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</si>
  <si>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</si>
  <si>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</si>
  <si>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</si>
  <si>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</si>
  <si>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</si>
  <si>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</si>
  <si>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</si>
  <si>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</si>
  <si>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</si>
  <si>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</si>
  <si>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</si>
  <si>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</si>
  <si>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</si>
  <si>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</si>
  <si>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</si>
  <si>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</si>
  <si>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</si>
  <si>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</si>
  <si>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</si>
  <si>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</si>
  <si>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</si>
  <si>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</si>
  <si>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</si>
  <si>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</si>
  <si>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</si>
  <si>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</si>
  <si>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</si>
  <si>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</si>
  <si>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</si>
  <si>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</si>
  <si>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</si>
  <si>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</si>
  <si>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</si>
  <si>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</si>
  <si>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</si>
  <si>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</si>
  <si>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</si>
  <si>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</si>
  <si>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</si>
  <si>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</si>
  <si>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</si>
  <si>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</si>
  <si>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</si>
  <si>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</si>
  <si>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</si>
  <si>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</si>
  <si>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</si>
  <si>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</si>
  <si>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</si>
  <si>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</si>
  <si>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</si>
  <si>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</si>
  <si>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</si>
  <si>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</si>
  <si>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</si>
  <si>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</si>
  <si>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</si>
  <si>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</si>
  <si>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</si>
  <si>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</si>
  <si>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</si>
  <si>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</si>
  <si>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</si>
  <si>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</si>
  <si>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</si>
  <si>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</si>
  <si>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</si>
  <si>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</si>
  <si>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</si>
  <si>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</si>
  <si>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</si>
  <si>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</si>
  <si>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</si>
  <si>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</si>
  <si>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</si>
  <si>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</si>
  <si>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</si>
  <si>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</si>
  <si>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</si>
  <si>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</si>
  <si>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</si>
  <si>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</si>
  <si>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</si>
  <si>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</si>
  <si>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</si>
  <si>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</si>
  <si>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</si>
  <si>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</si>
  <si>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</si>
  <si>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</si>
  <si>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</si>
  <si>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</si>
  <si>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</si>
  <si>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</si>
  <si>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</si>
  <si>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</si>
  <si>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</si>
  <si>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</si>
  <si>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</si>
  <si>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</si>
  <si>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</si>
  <si>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</si>
  <si>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</si>
  <si>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</si>
  <si>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</si>
  <si>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</si>
  <si>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</si>
  <si>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</si>
  <si>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</si>
  <si>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</si>
  <si>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</si>
  <si>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</si>
  <si>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</si>
  <si>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</si>
  <si>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</si>
  <si>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</si>
  <si>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</si>
  <si>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</si>
  <si>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</si>
  <si>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</si>
  <si>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</si>
  <si>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</si>
  <si>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</si>
  <si>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</si>
  <si>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</si>
  <si>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</si>
  <si>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</si>
  <si>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</si>
  <si>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</si>
  <si>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</si>
  <si>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</si>
  <si>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</si>
  <si>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</si>
  <si>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</si>
  <si>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</si>
  <si>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</si>
  <si>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</si>
  <si>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</si>
  <si>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</si>
  <si>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</si>
  <si>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</si>
  <si>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</si>
  <si>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</si>
  <si>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</si>
  <si>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</si>
  <si>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</si>
  <si>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</si>
  <si>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</si>
  <si>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</si>
  <si>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</si>
  <si>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</si>
  <si>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</si>
  <si>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</si>
  <si>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</si>
  <si>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</si>
  <si>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</si>
  <si>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</si>
  <si>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</si>
  <si>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</si>
  <si>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</si>
  <si>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</si>
  <si>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</si>
  <si>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</si>
  <si>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</si>
  <si>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</si>
  <si>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</si>
  <si>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</si>
  <si>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</si>
  <si>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</si>
  <si>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</si>
  <si>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</si>
  <si>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</si>
  <si>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</si>
  <si>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</si>
  <si>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</si>
  <si>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</si>
  <si>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</si>
  <si>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</si>
  <si>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</si>
  <si>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</si>
  <si>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</si>
  <si>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</si>
  <si>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</si>
  <si>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</si>
  <si>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</si>
  <si>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</si>
  <si>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</si>
  <si>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</si>
  <si>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</si>
  <si>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</si>
  <si>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</si>
  <si>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</si>
  <si>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</si>
  <si>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</si>
  <si>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</si>
  <si>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</si>
  <si>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</si>
  <si>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</si>
  <si>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</si>
  <si>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</si>
  <si>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</si>
  <si>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</si>
  <si>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</si>
  <si>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</si>
  <si>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</si>
  <si>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</si>
  <si>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</si>
  <si>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</si>
  <si>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</si>
  <si>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</si>
  <si>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</si>
  <si>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</si>
  <si>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</si>
  <si>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</si>
  <si>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</si>
  <si>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</si>
  <si>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</si>
  <si>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</si>
  <si>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</si>
  <si>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</si>
  <si>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</si>
  <si>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</si>
  <si>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</si>
  <si>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</si>
  <si>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</si>
  <si>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</si>
  <si>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</si>
  <si>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</si>
  <si>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</si>
  <si>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</si>
  <si>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</si>
  <si>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</si>
  <si>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</si>
  <si>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</si>
  <si>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</si>
  <si>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</si>
  <si>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</si>
  <si>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</si>
  <si>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</si>
  <si>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</si>
  <si>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</si>
  <si>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</si>
  <si>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</si>
  <si>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</si>
  <si>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</si>
  <si>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</si>
  <si>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</si>
  <si>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</si>
  <si>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</si>
  <si>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</si>
  <si>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</si>
  <si>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</si>
  <si>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</si>
  <si>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</si>
  <si>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</si>
  <si>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</si>
  <si>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</si>
  <si>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</si>
  <si>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</si>
  <si>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</si>
  <si>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</si>
  <si>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</si>
  <si>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</si>
  <si>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</si>
  <si>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</si>
  <si>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</si>
  <si>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</si>
  <si>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</si>
  <si>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</si>
  <si>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</si>
  <si>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</si>
  <si>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</si>
  <si>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</si>
  <si>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</si>
  <si>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</si>
  <si>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</si>
  <si>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</si>
  <si>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</si>
  <si>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</si>
  <si>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</si>
  <si>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</si>
  <si>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</si>
  <si>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</si>
  <si>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</si>
  <si>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</si>
  <si>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</si>
  <si>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</si>
  <si>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</si>
  <si>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</si>
  <si>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</si>
  <si>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</si>
  <si>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</si>
  <si>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</si>
  <si>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</si>
  <si>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</si>
  <si>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</si>
  <si>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</si>
  <si>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</si>
  <si>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</si>
  <si>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</si>
  <si>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</si>
  <si>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</si>
  <si>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</si>
  <si>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</si>
  <si>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</si>
  <si>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</si>
  <si>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</si>
  <si>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</si>
  <si>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</si>
  <si>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</si>
  <si>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</si>
  <si>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</si>
  <si>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</si>
  <si>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</si>
  <si>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</si>
  <si>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</si>
  <si>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</si>
  <si>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</si>
  <si>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</si>
  <si>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</si>
  <si>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</si>
  <si>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</si>
  <si>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</si>
  <si>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</si>
  <si>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</si>
  <si>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</si>
  <si>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</si>
  <si>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</si>
  <si>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</si>
  <si>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</si>
  <si>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</si>
  <si>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</si>
  <si>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</si>
  <si>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</si>
  <si>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</si>
  <si>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</si>
  <si>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</si>
  <si>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</si>
  <si>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</si>
  <si>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</si>
  <si>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</si>
  <si>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</si>
  <si>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</si>
  <si>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</si>
  <si>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</si>
  <si>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</si>
  <si>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</si>
  <si>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</si>
  <si>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</si>
  <si>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</si>
  <si>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</si>
  <si>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</si>
  <si>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</si>
  <si>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</si>
  <si>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</si>
  <si>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</si>
  <si>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</si>
  <si>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</si>
  <si>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</si>
  <si>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</si>
  <si>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</si>
  <si>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</si>
  <si>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</si>
  <si>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</si>
  <si>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</si>
  <si>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</si>
  <si>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</si>
  <si>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</si>
  <si>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</si>
  <si>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</si>
  <si>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</si>
  <si>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</si>
  <si>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</si>
  <si>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</si>
  <si>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</si>
  <si>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</si>
  <si>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</si>
  <si>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</si>
  <si>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</si>
  <si>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</si>
  <si>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</si>
  <si>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</si>
  <si>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</si>
  <si>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</si>
  <si>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</si>
  <si>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</si>
  <si>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</si>
  <si>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</si>
  <si>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</si>
  <si>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</si>
  <si>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</si>
  <si>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</si>
  <si>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</si>
  <si>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</si>
  <si>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</si>
  <si>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</si>
  <si>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</si>
  <si>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</si>
  <si>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</si>
  <si>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</si>
  <si>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</si>
  <si>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</si>
  <si>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</si>
  <si>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</si>
  <si>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</si>
  <si>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</si>
  <si>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</si>
  <si>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</si>
  <si>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</si>
  <si>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</si>
  <si>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</si>
  <si>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</si>
  <si>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</si>
  <si>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</si>
  <si>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</si>
  <si>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</si>
  <si>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</si>
  <si>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</si>
  <si>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</si>
  <si>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</si>
  <si>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</si>
  <si>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</si>
  <si>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</si>
  <si>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</si>
  <si>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</si>
  <si>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</si>
  <si>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</si>
  <si>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</si>
  <si>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</si>
  <si>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</si>
  <si>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</si>
  <si>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</si>
  <si>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</si>
  <si>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</si>
  <si>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</si>
  <si>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</si>
  <si>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</si>
  <si>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</si>
  <si>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</si>
  <si>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</si>
  <si>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</si>
  <si>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</si>
  <si>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</si>
  <si>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</si>
  <si>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</si>
  <si>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</si>
  <si>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</si>
  <si>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</si>
  <si>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</si>
  <si>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</si>
  <si>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</si>
  <si>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</si>
  <si>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</si>
  <si>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</si>
  <si>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</si>
  <si>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</si>
  <si>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</si>
  <si>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</si>
  <si>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</si>
  <si>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</si>
  <si>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</si>
  <si>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</si>
  <si>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</si>
  <si>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</si>
  <si>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</si>
  <si>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</si>
  <si>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</si>
  <si>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</si>
  <si>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</si>
  <si>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</si>
  <si>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</si>
  <si>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</si>
  <si>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</si>
  <si>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</si>
  <si>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</si>
  <si>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</si>
  <si>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</si>
  <si>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</si>
  <si>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</si>
  <si>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</si>
  <si>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</si>
  <si>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</si>
  <si>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</si>
  <si>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</si>
  <si>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</si>
  <si>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</si>
  <si>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</si>
  <si>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</si>
  <si>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</si>
  <si>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</si>
  <si>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</si>
  <si>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</si>
  <si>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</si>
  <si>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</si>
  <si>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</si>
  <si>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</si>
  <si>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</si>
  <si>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</si>
  <si>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</si>
  <si>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</si>
  <si>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</si>
  <si>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</si>
  <si>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</si>
  <si>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</si>
  <si>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</si>
  <si>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</si>
  <si>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</si>
  <si>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</si>
  <si>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</si>
  <si>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</si>
  <si>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</si>
  <si>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</si>
  <si>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</si>
  <si>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</si>
  <si>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</si>
  <si>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</si>
  <si>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</si>
  <si>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</si>
  <si>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</si>
  <si>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</si>
  <si>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</si>
  <si>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</si>
  <si>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</si>
  <si>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</si>
  <si>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</si>
  <si>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</si>
  <si>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</si>
  <si>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</si>
  <si>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</si>
  <si>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</si>
  <si>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</si>
  <si>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</si>
  <si>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</si>
  <si>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</si>
  <si>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</si>
  <si>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</si>
  <si>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</si>
  <si>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</si>
  <si>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</si>
  <si>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</si>
  <si>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</si>
  <si>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</si>
  <si>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</si>
  <si>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</si>
  <si>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</si>
  <si>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</si>
  <si>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</si>
  <si>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</si>
  <si>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</si>
  <si>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</si>
  <si>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</si>
  <si>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</si>
  <si>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</si>
  <si>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</si>
  <si>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</si>
  <si>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</si>
  <si>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</si>
  <si>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</si>
  <si>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</si>
  <si>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</si>
  <si>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</si>
  <si>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</si>
  <si>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</si>
  <si>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</si>
  <si>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</si>
  <si>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</si>
  <si>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</si>
  <si>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</si>
  <si>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</si>
  <si>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</si>
  <si>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</si>
  <si>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</si>
  <si>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</si>
  <si>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</si>
  <si>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</si>
  <si>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</si>
  <si>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</si>
  <si>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</si>
  <si>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</si>
  <si>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</si>
  <si>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</si>
  <si>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</si>
  <si>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</si>
  <si>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</si>
  <si>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</si>
  <si>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</si>
  <si>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</si>
  <si>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</si>
  <si>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</si>
  <si>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</si>
  <si>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</si>
  <si>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</si>
  <si>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</si>
  <si>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</si>
  <si>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</si>
  <si>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</si>
  <si>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</si>
  <si>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</si>
  <si>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</si>
  <si>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</si>
  <si>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</si>
  <si>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</si>
  <si>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</si>
  <si>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</si>
  <si>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</si>
  <si>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</si>
  <si>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</si>
  <si>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</si>
  <si>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</si>
  <si>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</si>
  <si>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</si>
  <si>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</si>
  <si>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</si>
  <si>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</si>
  <si>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</si>
  <si>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</si>
  <si>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</si>
  <si>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</si>
  <si>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</si>
  <si>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</si>
  <si>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</si>
  <si>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</si>
  <si>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</si>
  <si>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</si>
  <si>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</si>
  <si>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</si>
  <si>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</si>
  <si>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</si>
  <si>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</si>
  <si>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</si>
  <si>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</si>
  <si>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</si>
  <si>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</si>
  <si>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</si>
  <si>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</si>
  <si>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</si>
  <si>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</si>
  <si>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</si>
  <si>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</si>
  <si>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</si>
  <si>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</si>
  <si>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</si>
  <si>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</si>
  <si>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</si>
  <si>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</si>
  <si>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</si>
  <si>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</si>
  <si>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</si>
  <si>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</si>
  <si>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</si>
  <si>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</si>
  <si>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</si>
  <si>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</si>
  <si>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</si>
  <si>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</si>
  <si>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</si>
  <si>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</si>
  <si>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</si>
  <si>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</si>
  <si>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</si>
  <si>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</si>
  <si>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</si>
  <si>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</si>
  <si>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</si>
  <si>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</si>
  <si>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</si>
  <si>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</si>
  <si>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</si>
  <si>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</si>
  <si>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</si>
  <si>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</si>
  <si>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</si>
  <si>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</si>
  <si>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</si>
  <si>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</si>
  <si>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</si>
  <si>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</si>
  <si>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</si>
  <si>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</si>
  <si>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</si>
  <si>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</si>
  <si>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</si>
  <si>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</si>
  <si>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</si>
  <si>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</si>
  <si>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</si>
  <si>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</si>
  <si>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</si>
  <si>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</si>
  <si>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</si>
  <si>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</si>
  <si>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</si>
  <si>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</si>
  <si>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</si>
  <si>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</si>
  <si>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</si>
  <si>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</si>
  <si>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</si>
  <si>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</si>
  <si>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</si>
  <si>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</si>
  <si>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</si>
  <si>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</si>
  <si>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</si>
  <si>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</si>
  <si>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</si>
  <si>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</si>
  <si>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</si>
  <si>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</si>
  <si>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</si>
  <si>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</si>
  <si>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</si>
  <si>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</si>
  <si>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</si>
  <si>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</si>
  <si>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</si>
  <si>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</si>
  <si>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</si>
  <si>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</si>
  <si>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</si>
  <si>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</si>
  <si>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</si>
  <si>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</si>
  <si>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</si>
  <si>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</si>
  <si>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</si>
  <si>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</si>
  <si>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</si>
  <si>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</si>
  <si>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</si>
  <si>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</si>
  <si>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</si>
  <si>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</si>
  <si>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</si>
  <si>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</si>
  <si>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</si>
  <si>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</si>
  <si>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</si>
  <si>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</si>
  <si>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</si>
  <si>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</si>
  <si>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</si>
  <si>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</si>
  <si>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</si>
  <si>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</si>
  <si>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</si>
  <si>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</si>
  <si>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</si>
  <si>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</si>
  <si>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河北省</t>
    <phoneticPr fontId="6" type="noConversion"/>
  </si>
  <si>
    <t>保定市</t>
    <phoneticPr fontId="6" type="noConversion"/>
  </si>
  <si>
    <t>企业</t>
  </si>
  <si>
    <t>楼层</t>
    <phoneticPr fontId="134" type="noConversion"/>
  </si>
  <si>
    <t>建筑面积</t>
    <phoneticPr fontId="134" type="noConversion"/>
  </si>
  <si>
    <t>销售总价</t>
    <phoneticPr fontId="134" type="noConversion"/>
  </si>
  <si>
    <t>拟销售单价</t>
    <phoneticPr fontId="134" type="noConversion"/>
  </si>
  <si>
    <t>小计</t>
    <phoneticPr fontId="134" type="noConversion"/>
  </si>
  <si>
    <t>地上</t>
  </si>
  <si>
    <t>地上</t>
    <phoneticPr fontId="134" type="noConversion"/>
  </si>
  <si>
    <t>地下餐厅</t>
    <phoneticPr fontId="134" type="noConversion"/>
  </si>
  <si>
    <t>地下车位（个）</t>
    <phoneticPr fontId="134" type="noConversion"/>
  </si>
  <si>
    <t>合计</t>
    <phoneticPr fontId="134" type="noConversion"/>
  </si>
  <si>
    <t>办公楼</t>
  </si>
  <si>
    <t>是</t>
  </si>
  <si>
    <t>办公</t>
    <phoneticPr fontId="7" type="noConversion"/>
  </si>
  <si>
    <t>利息：取LPR加浮动点数</t>
  </si>
  <si>
    <t>成新度</t>
  </si>
  <si>
    <t>收益法</t>
  </si>
  <si>
    <t>押一</t>
  </si>
  <si>
    <t>钢混</t>
  </si>
  <si>
    <t>非生产用房</t>
  </si>
  <si>
    <t>否</t>
  </si>
  <si>
    <t>未包含在土地购买价格中</t>
  </si>
  <si>
    <t>全部缴纳</t>
  </si>
  <si>
    <t>已包含在土地取得成本中</t>
  </si>
  <si>
    <t>现房</t>
  </si>
  <si>
    <t>项目局部</t>
  </si>
  <si>
    <t>成本法</t>
  </si>
  <si>
    <r>
      <t>1</t>
    </r>
    <r>
      <rPr>
        <sz val="10"/>
        <color indexed="8"/>
        <rFont val="宋体"/>
        <family val="3"/>
        <charset val="134"/>
      </rPr>
      <t>层</t>
    </r>
    <phoneticPr fontId="3" type="noConversion"/>
  </si>
  <si>
    <r>
      <t>2-9</t>
    </r>
    <r>
      <rPr>
        <sz val="10"/>
        <color indexed="8"/>
        <rFont val="宋体"/>
        <family val="3"/>
        <charset val="134"/>
      </rPr>
      <t>层</t>
    </r>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</si>
  <si>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</si>
  <si>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</si>
  <si>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</si>
  <si>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</si>
  <si>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</si>
  <si>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</si>
  <si>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</si>
  <si>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</si>
  <si>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</si>
  <si>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</si>
  <si>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</si>
  <si>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</si>
  <si>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</si>
  <si>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</si>
  <si>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</si>
  <si>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</si>
  <si>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</si>
  <si>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安新县安新组团,四至范围:东至溵家淀大道、南至规划道路、西至湿地路东侧、北至育才路东延南侧。</t>
  </si>
  <si>
    <t>AXCR-2022-002</t>
  </si>
  <si>
    <t xml:space="preserve"> 安新县  </t>
  </si>
  <si>
    <t>商业/办公用地</t>
  </si>
  <si>
    <t xml:space="preserve"> 已成交  </t>
  </si>
  <si>
    <t xml:space="preserve"> 小于或等于2.8  </t>
  </si>
  <si>
    <t xml:space="preserve"> 商务金融用地  </t>
  </si>
  <si>
    <t>2023-02-23</t>
  </si>
  <si>
    <t xml:space="preserve"> 安新县诚泰城市建设有限公司  </t>
  </si>
  <si>
    <t>容城县金台东路北侧</t>
  </si>
  <si>
    <t>RCCR—2022—001</t>
  </si>
  <si>
    <t xml:space="preserve"> 容城县  </t>
  </si>
  <si>
    <t xml:space="preserve"> 等于2.04  </t>
  </si>
  <si>
    <t xml:space="preserve"> 旅馆用地  </t>
  </si>
  <si>
    <t>2023-02-16</t>
  </si>
  <si>
    <t xml:space="preserve"> 容城发展集团城市资源管理有限公司  </t>
  </si>
  <si>
    <t>启动区西北居住片区,四至范围:东至城市道路NC2,南至城市道路ED12,西至城市道路ND12和ND13,北至城市道路EB2。</t>
  </si>
  <si>
    <t>XACR—2022—024</t>
  </si>
  <si>
    <t xml:space="preserve"> 等于2.5  </t>
  </si>
  <si>
    <t xml:space="preserve"> 零售商业用地  </t>
  </si>
  <si>
    <t>2022-12-30</t>
  </si>
  <si>
    <t xml:space="preserve"> 都城伟业集团有限公司  </t>
  </si>
  <si>
    <t>启动区金融岛片区,四至范围:东至城市道路NB3,南至城市道路EA3,西至城市道路ND73,北至城市道路ED56。</t>
  </si>
  <si>
    <t>XACR—2022—022</t>
  </si>
  <si>
    <t xml:space="preserve"> 大于3.8并且小于或等于6.1  </t>
  </si>
  <si>
    <t>2022-12-29</t>
  </si>
  <si>
    <t xml:space="preserve"> 中国工商银行股份有限公司河北雄安分行  </t>
  </si>
  <si>
    <t>雄安新区启动区综合服务东北片区</t>
  </si>
  <si>
    <t>XACR-2022-003</t>
  </si>
  <si>
    <t xml:space="preserve"> 小于或等于2.2  </t>
  </si>
  <si>
    <t>2022-10-12</t>
  </si>
  <si>
    <t xml:space="preserve"> 中国雄安集团城市发展投资有限公司  </t>
  </si>
  <si>
    <t>雄安新区启动区总部商务区,四至范围:东至城市绿道NG9,南至城市道路EA3,西至城市道路ND15,北至城市道路EB5、EC6、ED66。</t>
  </si>
  <si>
    <t>XACR-2022-002</t>
  </si>
  <si>
    <t xml:space="preserve"> 大于4.06并且小于或等于6.08  </t>
  </si>
  <si>
    <t>2022-05-30</t>
  </si>
  <si>
    <t xml:space="preserve"> 雄安雄商发展有限公司  </t>
  </si>
  <si>
    <t>容西片区西北部</t>
  </si>
  <si>
    <t>XACR-2021-046</t>
  </si>
  <si>
    <t xml:space="preserve"> 小于0.1  </t>
  </si>
  <si>
    <t>2022-04-11</t>
  </si>
  <si>
    <t xml:space="preserve"> 中石化雄安新能源有限公司  </t>
  </si>
  <si>
    <t>容东片区白塔东环路东侧</t>
  </si>
  <si>
    <t>XACR-2021-045</t>
  </si>
  <si>
    <t xml:space="preserve"> 国家电投集团雄安能源有限公司  </t>
  </si>
  <si>
    <t>雄安新区启动区总部商务区</t>
  </si>
  <si>
    <t>XACR-2021-036</t>
  </si>
  <si>
    <t xml:space="preserve"> 大于5并且小于或等于7  </t>
  </si>
  <si>
    <t>2021-12-17</t>
  </si>
  <si>
    <t xml:space="preserve"> 中化控股雄安置业有限公司  </t>
  </si>
  <si>
    <t>XACR-2021-037</t>
  </si>
  <si>
    <t xml:space="preserve"> 大于3.18并且小于或等于5.55  </t>
  </si>
  <si>
    <t xml:space="preserve"> 华能置业有限公司河北雄安分公司  </t>
  </si>
  <si>
    <t>容易线(容城段)北部</t>
  </si>
  <si>
    <t>XAJY001-019</t>
  </si>
  <si>
    <t xml:space="preserve"> 小于或等于0.409  </t>
  </si>
  <si>
    <t>2021-02-03</t>
  </si>
  <si>
    <t xml:space="preserve"> --  </t>
  </si>
  <si>
    <t xml:space="preserve"> 河北雄安绿博园绿色发展有限公司  </t>
  </si>
  <si>
    <t>容东片区西部</t>
  </si>
  <si>
    <t>XARD-0077</t>
  </si>
  <si>
    <t xml:space="preserve"> 等于1.11  </t>
  </si>
  <si>
    <t>2020-12-07</t>
  </si>
  <si>
    <t>容东片区金湖公园北侧</t>
  </si>
  <si>
    <t>XARD-0040</t>
  </si>
  <si>
    <t xml:space="preserve"> 等于2.7  </t>
  </si>
  <si>
    <t xml:space="preserve"> 中国电力建设股份有限公司  </t>
  </si>
  <si>
    <t>XARD-0037</t>
  </si>
  <si>
    <t xml:space="preserve"> 等于4.02  </t>
  </si>
  <si>
    <t>XARD-0047</t>
  </si>
  <si>
    <t xml:space="preserve"> 等于3.45  </t>
  </si>
  <si>
    <t>XARD-0071</t>
  </si>
  <si>
    <t>XARD-0068</t>
  </si>
  <si>
    <t xml:space="preserve"> 其他商服用地  </t>
  </si>
  <si>
    <t>XARD-0045</t>
  </si>
  <si>
    <t xml:space="preserve"> 等于4.32  </t>
  </si>
  <si>
    <t>XARD-0039</t>
  </si>
  <si>
    <t xml:space="preserve"> 等于2.87  </t>
  </si>
  <si>
    <t>XARD-0044</t>
  </si>
  <si>
    <t xml:space="preserve"> 等于3.16  </t>
  </si>
  <si>
    <t>XARD-0080</t>
  </si>
  <si>
    <t>容东片区西南部</t>
  </si>
  <si>
    <t>XARD-0059</t>
  </si>
  <si>
    <t xml:space="preserve"> 等于1.02  </t>
  </si>
  <si>
    <t xml:space="preserve"> 河北建设投资集团有限责任公司  </t>
  </si>
  <si>
    <t>XARD-0069</t>
  </si>
  <si>
    <t xml:space="preserve"> --</t>
  </si>
  <si>
    <t>XARD-0041</t>
  </si>
  <si>
    <t xml:space="preserve"> 等于1  </t>
  </si>
  <si>
    <t>XARD-0038</t>
  </si>
  <si>
    <t>XARD-0078</t>
  </si>
  <si>
    <t>XARD-0070</t>
  </si>
  <si>
    <t>XARD-0076</t>
  </si>
  <si>
    <t>XARD-0057</t>
  </si>
  <si>
    <t xml:space="preserve"> 等于2.11  </t>
  </si>
  <si>
    <t>XARD-0058</t>
  </si>
  <si>
    <t xml:space="preserve"> 等于1.77  </t>
  </si>
  <si>
    <t>XARD-0042</t>
  </si>
  <si>
    <t xml:space="preserve"> 等于3.74  </t>
  </si>
  <si>
    <t>XARD-0079</t>
  </si>
  <si>
    <t>XARD-0043</t>
  </si>
  <si>
    <t xml:space="preserve"> 等于1.61  </t>
  </si>
  <si>
    <t>XARD-0048</t>
  </si>
  <si>
    <t>XARD-0074</t>
  </si>
  <si>
    <t>XARD-0067</t>
  </si>
  <si>
    <t>XARD-0046</t>
  </si>
  <si>
    <t xml:space="preserve"> 等于1.5  </t>
  </si>
  <si>
    <t>XARD-0036</t>
  </si>
  <si>
    <t>XARD-0072</t>
  </si>
  <si>
    <t>XARD-0073</t>
  </si>
  <si>
    <t>XARD-0081</t>
  </si>
  <si>
    <t>XARD-0075</t>
  </si>
  <si>
    <t>XARD-0056</t>
  </si>
  <si>
    <t xml:space="preserve"> 等于2.3  </t>
  </si>
  <si>
    <t>XARD-0049</t>
  </si>
  <si>
    <t xml:space="preserve"> 等于1.72  </t>
  </si>
  <si>
    <t>XARD-0061</t>
  </si>
  <si>
    <t xml:space="preserve"> 等于4.18  </t>
  </si>
  <si>
    <t>安新县高速引线西侧</t>
  </si>
  <si>
    <t>2016-06号</t>
  </si>
  <si>
    <t xml:space="preserve"> 小于或等于0.5  </t>
  </si>
  <si>
    <t>2016-09-13</t>
  </si>
  <si>
    <t xml:space="preserve"> 安新泰达燃气有限公司  </t>
  </si>
  <si>
    <t>安新县高速引线东侧</t>
  </si>
  <si>
    <t>2016-01号</t>
  </si>
  <si>
    <t xml:space="preserve"> 小于或等于3  </t>
  </si>
  <si>
    <t>2016-02-29</t>
  </si>
  <si>
    <t xml:space="preserve"> 安新县利强酒店有限公司  </t>
  </si>
  <si>
    <t>安新县大王镇张六村</t>
  </si>
  <si>
    <t>2015-09号</t>
  </si>
  <si>
    <t xml:space="preserve"> 小于或等于2  </t>
  </si>
  <si>
    <t>2015-12-30</t>
  </si>
  <si>
    <t xml:space="preserve"> 保定凤阳家具科技有限公司  </t>
  </si>
  <si>
    <t>2015-10号</t>
  </si>
  <si>
    <t>安新县保新公路北侧</t>
  </si>
  <si>
    <t>2015-11号</t>
  </si>
  <si>
    <t xml:space="preserve"> 小于或等于1.5  </t>
  </si>
  <si>
    <t>2015-12-23</t>
  </si>
  <si>
    <t xml:space="preserve"> 安新县兴泰房地产开发有限公司  </t>
  </si>
  <si>
    <t>总价</t>
  </si>
  <si>
    <t>容东片区金湖公园北侧</t>
    <phoneticPr fontId="134" type="noConversion"/>
  </si>
  <si>
    <t>成本比率</t>
  </si>
  <si>
    <t>地下</t>
  </si>
  <si>
    <t>地下1层</t>
  </si>
  <si>
    <t>地下1层</t>
    <phoneticPr fontId="7" type="noConversion"/>
  </si>
  <si>
    <t>车库</t>
    <phoneticPr fontId="7" type="noConversion"/>
  </si>
  <si>
    <t>收益法(地下1层)</t>
  </si>
  <si>
    <t>收益法(地下1层)</t>
    <phoneticPr fontId="16" type="noConversion"/>
  </si>
  <si>
    <t>收益法(车库)</t>
  </si>
  <si>
    <t>收益法(车库)</t>
    <phoneticPr fontId="16" type="noConversion"/>
  </si>
  <si>
    <t>商办</t>
  </si>
  <si>
    <t>商办</t>
    <phoneticPr fontId="30" type="noConversion"/>
  </si>
  <si>
    <t>40</t>
    <phoneticPr fontId="30" type="noConversion"/>
  </si>
  <si>
    <t>较好</t>
  </si>
  <si>
    <t>一般</t>
  </si>
  <si>
    <t>七通</t>
  </si>
  <si>
    <t>较规则</t>
  </si>
  <si>
    <t>较规则</t>
    <phoneticPr fontId="30" type="noConversion"/>
  </si>
  <si>
    <t>较适宜</t>
  </si>
  <si>
    <t>较适宜</t>
    <phoneticPr fontId="30" type="noConversion"/>
  </si>
  <si>
    <t>五通</t>
  </si>
  <si>
    <t>五通</t>
    <phoneticPr fontId="30" type="noConversion"/>
  </si>
  <si>
    <t>较好</t>
    <phoneticPr fontId="30" type="noConversion"/>
  </si>
  <si>
    <t>地下</t>
    <phoneticPr fontId="134" type="noConversion"/>
  </si>
  <si>
    <t>项目名称</t>
    <phoneticPr fontId="134" type="noConversion"/>
  </si>
  <si>
    <t>所在区位</t>
    <phoneticPr fontId="134" type="noConversion"/>
  </si>
  <si>
    <t>类型</t>
    <phoneticPr fontId="134" type="noConversion"/>
  </si>
  <si>
    <t>办公</t>
    <phoneticPr fontId="134" type="noConversion"/>
  </si>
  <si>
    <t>租金单价</t>
    <phoneticPr fontId="134" type="noConversion"/>
  </si>
  <si>
    <t>信息来源</t>
    <phoneticPr fontId="134" type="noConversion"/>
  </si>
  <si>
    <t>商业</t>
    <phoneticPr fontId="134" type="noConversion"/>
  </si>
  <si>
    <t>雄安市民服务中心</t>
    <phoneticPr fontId="134" type="noConversion"/>
  </si>
  <si>
    <t>容东片区</t>
    <phoneticPr fontId="134" type="noConversion"/>
  </si>
  <si>
    <t>招商部电话市调</t>
    <phoneticPr fontId="134" type="noConversion"/>
  </si>
  <si>
    <t>零售类底商3-4元，银行类底商8-12元，商服综合均价5元左右。</t>
    <phoneticPr fontId="134" type="noConversion"/>
  </si>
  <si>
    <t>安置区住宅底商</t>
    <phoneticPr fontId="134" type="noConversion"/>
  </si>
  <si>
    <t>1-2层底商，均价2.5-2.7元，位置好一些的3元。</t>
    <phoneticPr fontId="134" type="noConversion"/>
  </si>
  <si>
    <t>招商部电话市调</t>
    <phoneticPr fontId="134" type="noConversion"/>
  </si>
  <si>
    <t>孙励咨询招商部</t>
    <phoneticPr fontId="134" type="noConversion"/>
  </si>
  <si>
    <t>序号</t>
    <phoneticPr fontId="134" type="noConversion"/>
  </si>
  <si>
    <t>雄安商务服务中心</t>
    <phoneticPr fontId="134" type="noConversion"/>
  </si>
  <si>
    <t>银行类12元，证券5-6元，位置朝里的3-4元。</t>
    <phoneticPr fontId="134" type="noConversion"/>
  </si>
  <si>
    <t>4层以上办公4-6元，裙楼办公3元。</t>
    <phoneticPr fontId="134" type="noConversion"/>
  </si>
  <si>
    <t>安置区其他办公楼</t>
    <phoneticPr fontId="134" type="noConversion"/>
  </si>
  <si>
    <t>2-3元左右。</t>
    <phoneticPr fontId="134" type="noConversion"/>
  </si>
  <si>
    <t>4-6元。</t>
    <phoneticPr fontId="134" type="noConversion"/>
  </si>
  <si>
    <t>6-10元。</t>
    <phoneticPr fontId="134" type="noConversion"/>
  </si>
  <si>
    <t>增长率</t>
    <phoneticPr fontId="3" type="noConversion"/>
  </si>
  <si>
    <r>
      <rPr>
        <sz val="10"/>
        <color indexed="8"/>
        <rFont val="宋体"/>
        <family val="3"/>
        <charset val="134"/>
      </rPr>
      <t>前</t>
    </r>
    <r>
      <rPr>
        <sz val="10"/>
        <color indexed="8"/>
        <rFont val="Arial"/>
        <family val="2"/>
      </rPr>
      <t>5</t>
    </r>
    <r>
      <rPr>
        <sz val="10"/>
        <color indexed="8"/>
        <rFont val="宋体"/>
        <family val="3"/>
        <charset val="134"/>
      </rPr>
      <t>年</t>
    </r>
    <phoneticPr fontId="3" type="noConversion"/>
  </si>
  <si>
    <r>
      <t>15</t>
    </r>
    <r>
      <rPr>
        <sz val="10"/>
        <color indexed="8"/>
        <rFont val="宋体"/>
        <family val="3"/>
        <charset val="134"/>
      </rPr>
      <t>年以后</t>
    </r>
    <phoneticPr fontId="3" type="noConversion"/>
  </si>
  <si>
    <r>
      <t>5-15</t>
    </r>
    <r>
      <rPr>
        <sz val="10"/>
        <color indexed="8"/>
        <rFont val="宋体"/>
        <family val="3"/>
        <charset val="134"/>
      </rPr>
      <t>年</t>
    </r>
    <phoneticPr fontId="3" type="noConversion"/>
  </si>
  <si>
    <t xml:space="preserve"> </t>
    <phoneticPr fontId="3" type="noConversion"/>
  </si>
  <si>
    <t>通州商务区</t>
    <phoneticPr fontId="134" type="noConversion"/>
  </si>
  <si>
    <t>项目名称</t>
    <phoneticPr fontId="134" type="noConversion"/>
  </si>
  <si>
    <t>保利大都汇T3办公楼</t>
    <phoneticPr fontId="134" type="noConversion"/>
  </si>
  <si>
    <t>办公</t>
    <phoneticPr fontId="134" type="noConversion"/>
  </si>
  <si>
    <t>所在区位</t>
    <phoneticPr fontId="134" type="noConversion"/>
  </si>
  <si>
    <t>类型</t>
    <phoneticPr fontId="134" type="noConversion"/>
  </si>
  <si>
    <t>租金单价</t>
    <phoneticPr fontId="134" type="noConversion"/>
  </si>
  <si>
    <t>报价：低区（2-8层）5元起，均价5.5元/㎡；中区（9-15层）均价6.5元/㎡；高区（16-22层）均价7.5元/㎡</t>
    <phoneticPr fontId="134" type="noConversion"/>
  </si>
  <si>
    <t>车位</t>
    <phoneticPr fontId="134" type="noConversion"/>
  </si>
  <si>
    <t>1000元/月</t>
    <phoneticPr fontId="134" type="noConversion"/>
  </si>
  <si>
    <t>运河核心区</t>
    <phoneticPr fontId="134" type="noConversion"/>
  </si>
  <si>
    <t>世界侨商中心3号楼</t>
    <phoneticPr fontId="134" type="noConversion"/>
  </si>
  <si>
    <t>5-5.8元/㎡</t>
    <phoneticPr fontId="134" type="noConversion"/>
  </si>
  <si>
    <t xml:space="preserve">车位 </t>
    <phoneticPr fontId="134" type="noConversion"/>
  </si>
  <si>
    <t>780元/月</t>
    <phoneticPr fontId="134" type="noConversion"/>
  </si>
  <si>
    <r>
      <t>新光大中心5</t>
    </r>
    <r>
      <rPr>
        <sz val="11"/>
        <color theme="1"/>
        <rFont val="宋体"/>
        <family val="3"/>
        <charset val="134"/>
        <scheme val="minor"/>
      </rPr>
      <t>A座写字楼</t>
    </r>
    <phoneticPr fontId="134" type="noConversion"/>
  </si>
  <si>
    <t>6.3-8.6元/㎡，190-260元/月/㎡含税</t>
    <phoneticPr fontId="134" type="noConversion"/>
  </si>
  <si>
    <t>合景泰富国际金融广场</t>
    <phoneticPr fontId="134" type="noConversion"/>
  </si>
  <si>
    <t>6-8元/㎡，180-240元/月/㎡含税</t>
    <phoneticPr fontId="134" type="noConversion"/>
  </si>
  <si>
    <t>1000-1200元/月</t>
    <phoneticPr fontId="134" type="noConversion"/>
  </si>
  <si>
    <t>序号</t>
    <phoneticPr fontId="134" type="noConversion"/>
  </si>
  <si>
    <t>信息来源</t>
    <phoneticPr fontId="134" type="noConversion"/>
  </si>
  <si>
    <t>招商部、房产中介电话市调</t>
    <phoneticPr fontId="134" type="noConversion"/>
  </si>
  <si>
    <t>固定车位500元/月</t>
    <phoneticPr fontId="134" type="noConversion"/>
  </si>
  <si>
    <t>区域定位</t>
    <phoneticPr fontId="30" type="noConversion"/>
  </si>
  <si>
    <t>租金</t>
    <phoneticPr fontId="3" type="noConversion"/>
  </si>
  <si>
    <t>办公</t>
    <phoneticPr fontId="3" type="noConversion"/>
  </si>
  <si>
    <t>单价</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</si>
  <si>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</si>
  <si>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车位（个）</t>
    <phoneticPr fontId="3" type="noConversion"/>
  </si>
  <si>
    <t>年租金</t>
    <phoneticPr fontId="3" type="noConversion"/>
  </si>
  <si>
    <t>通州其他</t>
    <phoneticPr fontId="134" type="noConversion"/>
  </si>
  <si>
    <r>
      <t>北京O</t>
    </r>
    <r>
      <rPr>
        <sz val="11"/>
        <color theme="1"/>
        <rFont val="宋体"/>
        <family val="3"/>
        <charset val="134"/>
        <scheme val="minor"/>
      </rPr>
      <t>NE</t>
    </r>
    <phoneticPr fontId="134" type="noConversion"/>
  </si>
  <si>
    <t>办公</t>
    <phoneticPr fontId="134" type="noConversion"/>
  </si>
  <si>
    <t>3.5元/㎡</t>
    <phoneticPr fontId="134" type="noConversion"/>
  </si>
  <si>
    <t>通州北苑</t>
    <phoneticPr fontId="134" type="noConversion"/>
  </si>
  <si>
    <t>房产中介电话市调</t>
    <phoneticPr fontId="134" type="noConversion"/>
  </si>
  <si>
    <t>京润国际中心</t>
    <phoneticPr fontId="134" type="noConversion"/>
  </si>
  <si>
    <t>朝阳区高碑店</t>
    <phoneticPr fontId="134" type="noConversion"/>
  </si>
  <si>
    <t>通州万达广场</t>
    <phoneticPr fontId="134" type="noConversion"/>
  </si>
  <si>
    <t>5.2元/㎡</t>
    <phoneticPr fontId="134" type="noConversion"/>
  </si>
  <si>
    <t>办公</t>
    <phoneticPr fontId="134" type="noConversion"/>
  </si>
  <si>
    <t>地下1层</t>
    <phoneticPr fontId="134" type="noConversion"/>
  </si>
  <si>
    <t>车位</t>
    <phoneticPr fontId="134" type="noConversion"/>
  </si>
  <si>
    <t>面积/个数</t>
    <phoneticPr fontId="134" type="noConversion"/>
  </si>
  <si>
    <t>单价</t>
    <phoneticPr fontId="134" type="noConversion"/>
  </si>
  <si>
    <t>总价</t>
    <phoneticPr fontId="134" type="noConversion"/>
  </si>
  <si>
    <t>意向单位一（西塔1层、3-9层、地下餐厅及部分车位）</t>
  </si>
  <si>
    <t>意向单位二（东塔1层、3-9层、2层整层及部分车位）</t>
  </si>
  <si>
    <t>地上面积8945.58平米、地下887.47平米、车位50个</t>
  </si>
  <si>
    <t>地上面积11222.61平米、车位50个</t>
  </si>
  <si>
    <t>楼层</t>
  </si>
  <si>
    <t>房号</t>
  </si>
  <si>
    <t>面积</t>
  </si>
  <si>
    <t>1层</t>
  </si>
  <si>
    <t>商业59-6</t>
  </si>
  <si>
    <t>商业59-1</t>
  </si>
  <si>
    <t>商业59-7</t>
  </si>
  <si>
    <t>商业59-2</t>
  </si>
  <si>
    <t>商业59-8</t>
  </si>
  <si>
    <t>商业59-3</t>
  </si>
  <si>
    <t>商业59-4</t>
  </si>
  <si>
    <t>商业59-5</t>
  </si>
  <si>
    <t>2层</t>
  </si>
  <si>
    <t>3层</t>
  </si>
  <si>
    <t>储藏室01</t>
  </si>
  <si>
    <t>-</t>
  </si>
  <si>
    <t>4层</t>
  </si>
  <si>
    <t>5层</t>
  </si>
  <si>
    <t>6层</t>
  </si>
  <si>
    <t>7层</t>
  </si>
  <si>
    <t>8层</t>
  </si>
  <si>
    <t>9层</t>
  </si>
  <si>
    <t>地上合计</t>
  </si>
  <si>
    <t>配套车位（个）</t>
  </si>
  <si>
    <t>厨房01</t>
  </si>
  <si>
    <t>食堂01</t>
  </si>
  <si>
    <t>地下合计</t>
  </si>
  <si>
    <t>1层</t>
    <phoneticPr fontId="134" type="noConversion"/>
  </si>
  <si>
    <t>地下</t>
    <phoneticPr fontId="134" type="noConversion"/>
  </si>
  <si>
    <t>车位（个）</t>
    <phoneticPr fontId="134" type="noConversion"/>
  </si>
  <si>
    <t>2-9层</t>
    <phoneticPr fontId="134" type="noConversion"/>
  </si>
  <si>
    <t>1层</t>
    <phoneticPr fontId="134" type="noConversion"/>
  </si>
  <si>
    <t>2-9层</t>
    <phoneticPr fontId="134" type="noConversion"/>
  </si>
  <si>
    <t>租金取值</t>
    <phoneticPr fontId="134" type="noConversion"/>
  </si>
  <si>
    <t>单价</t>
    <phoneticPr fontId="134" type="noConversion"/>
  </si>
  <si>
    <t>价值拆分</t>
    <phoneticPr fontId="134" type="noConversion"/>
  </si>
  <si>
    <t>单价</t>
    <phoneticPr fontId="134" type="noConversion"/>
  </si>
  <si>
    <t>总值</t>
    <phoneticPr fontId="134" type="noConversion"/>
  </si>
  <si>
    <t>总值</t>
    <phoneticPr fontId="134" type="noConversion"/>
  </si>
  <si>
    <t>西塔</t>
    <phoneticPr fontId="134" type="noConversion"/>
  </si>
  <si>
    <t>面积</t>
    <phoneticPr fontId="134" type="noConversion"/>
  </si>
  <si>
    <t>东塔</t>
    <phoneticPr fontId="134" type="noConversion"/>
  </si>
  <si>
    <t>西塔</t>
    <phoneticPr fontId="134" type="noConversion"/>
  </si>
  <si>
    <t>3-9层</t>
    <phoneticPr fontId="134" type="noConversion"/>
  </si>
  <si>
    <t>地下</t>
    <phoneticPr fontId="134" type="noConversion"/>
  </si>
  <si>
    <t>3-9层</t>
    <phoneticPr fontId="134" type="noConversion"/>
  </si>
  <si>
    <t>1层部分</t>
    <phoneticPr fontId="134" type="noConversion"/>
  </si>
  <si>
    <t>除103至105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</si>
</sst>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2"/>
      <color theme="1"/>
      <name val="微软雅黑"/>
      <family val="2"/>
      <charset val="134"/>
    </font>
    <font>
      <sz val="12"/>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0" fillId="5" borderId="0" xfId="0"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47" fillId="22" borderId="1"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0" fontId="95" fillId="0" borderId="1" xfId="0" applyFont="1" applyFill="1" applyBorder="1" applyAlignment="1">
      <alignment vertical="center" wrapText="1"/>
    </xf>
    <xf numFmtId="0" fontId="95" fillId="0" borderId="1" xfId="0" applyFont="1" applyFill="1" applyBorder="1">
      <alignment vertical="center"/>
    </xf>
    <xf numFmtId="181" fontId="209" fillId="12" borderId="0" xfId="0" applyNumberFormat="1" applyFont="1" applyFill="1" applyBorder="1" applyAlignment="1" applyProtection="1">
      <alignment horizontal="center" vertical="center" wrapText="1"/>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47" fillId="16" borderId="78" xfId="0" applyFont="1" applyFill="1" applyBorder="1" applyAlignment="1" applyProtection="1">
      <alignment horizontal="center" vertical="center"/>
    </xf>
    <xf numFmtId="0" fontId="271" fillId="0" borderId="0" xfId="0" applyFont="1" applyAlignment="1">
      <alignment horizontal="center" vertical="center"/>
    </xf>
    <xf numFmtId="0" fontId="270" fillId="0" borderId="1" xfId="0" applyFont="1" applyBorder="1" applyAlignment="1">
      <alignment horizontal="center" vertical="center"/>
    </xf>
    <xf numFmtId="0" fontId="271" fillId="0" borderId="1" xfId="0" applyFont="1" applyBorder="1" applyAlignment="1">
      <alignment horizontal="center" vertical="center"/>
    </xf>
    <xf numFmtId="179" fontId="271" fillId="0" borderId="1" xfId="0" applyNumberFormat="1" applyFont="1" applyBorder="1" applyAlignment="1">
      <alignment horizontal="center" vertical="center"/>
    </xf>
    <xf numFmtId="0" fontId="270" fillId="5"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0" xfId="0" applyFont="1" applyAlignment="1">
      <alignment horizontal="center" vertical="center"/>
    </xf>
    <xf numFmtId="0" fontId="271" fillId="0" borderId="1" xfId="0" applyFont="1" applyBorder="1" applyAlignment="1">
      <alignment horizontal="center" vertical="center"/>
    </xf>
    <xf numFmtId="0" fontId="270" fillId="5" borderId="1" xfId="0" applyFont="1" applyFill="1" applyBorder="1" applyAlignment="1">
      <alignment horizontal="center" vertical="center"/>
    </xf>
    <xf numFmtId="0" fontId="0" fillId="0" borderId="13" xfId="0" applyBorder="1" applyAlignment="1">
      <alignment vertical="center"/>
    </xf>
    <xf numFmtId="0" fontId="0" fillId="0" borderId="2" xfId="0" applyBorder="1" applyAlignment="1">
      <alignment vertical="center"/>
    </xf>
    <xf numFmtId="0" fontId="0" fillId="0" borderId="15" xfId="0" applyBorder="1" applyAlignment="1">
      <alignment vertical="center"/>
    </xf>
    <xf numFmtId="0" fontId="0" fillId="0" borderId="1" xfId="0" applyBorder="1" applyAlignment="1">
      <alignment vertical="center"/>
    </xf>
    <xf numFmtId="0" fontId="95" fillId="0" borderId="1" xfId="0" applyFont="1" applyFill="1" applyBorder="1" applyAlignment="1">
      <alignment vertical="center" wrapText="1"/>
    </xf>
    <xf numFmtId="0" fontId="0" fillId="0" borderId="1" xfId="0" applyBorder="1" applyAlignment="1">
      <alignment vertical="center" wrapText="1"/>
    </xf>
    <xf numFmtId="0" fontId="95" fillId="0" borderId="13" xfId="0" applyFont="1" applyBorder="1" applyAlignment="1">
      <alignment vertical="center"/>
    </xf>
    <xf numFmtId="0" fontId="95" fillId="0" borderId="1" xfId="0" applyFont="1" applyBorder="1" applyAlignment="1">
      <alignment vertical="center"/>
    </xf>
    <xf numFmtId="0" fontId="95" fillId="0" borderId="1" xfId="0" applyFont="1" applyBorder="1" applyAlignment="1">
      <alignment vertical="center" wrapText="1"/>
    </xf>
    <xf numFmtId="0" fontId="95" fillId="0" borderId="1" xfId="0" applyFont="1" applyFill="1"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5" borderId="0" xfId="0" applyFont="1" applyFill="1" applyAlignment="1">
      <alignment horizontal="center" vertical="center"/>
    </xf>
    <xf numFmtId="0" fontId="271" fillId="5" borderId="1" xfId="0" applyFont="1" applyFill="1" applyBorder="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39</xdr:row>
      <xdr:rowOff>142875</xdr:rowOff>
    </xdr:from>
    <xdr:to>
      <xdr:col>14</xdr:col>
      <xdr:colOff>84515</xdr:colOff>
      <xdr:row>59</xdr:row>
      <xdr:rowOff>18637</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5" y="6829425"/>
          <a:ext cx="9685715"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52</xdr:row>
      <xdr:rowOff>19050</xdr:rowOff>
    </xdr:from>
    <xdr:to>
      <xdr:col>12</xdr:col>
      <xdr:colOff>134837</xdr:colOff>
      <xdr:row>72</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905125"/>
          <a:ext cx="10174187" cy="3571875"/>
        </a:xfrm>
        <a:prstGeom prst="rect">
          <a:avLst/>
        </a:prstGeom>
      </xdr:spPr>
    </xdr:pic>
    <xdr:clientData/>
  </xdr:twoCellAnchor>
  <xdr:twoCellAnchor editAs="oneCell">
    <xdr:from>
      <xdr:col>0</xdr:col>
      <xdr:colOff>533400</xdr:colOff>
      <xdr:row>75</xdr:row>
      <xdr:rowOff>114300</xdr:rowOff>
    </xdr:from>
    <xdr:to>
      <xdr:col>11</xdr:col>
      <xdr:colOff>208408</xdr:colOff>
      <xdr:row>95</xdr:row>
      <xdr:rowOff>47205</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6943725"/>
          <a:ext cx="9142858" cy="3361905"/>
        </a:xfrm>
        <a:prstGeom prst="rect">
          <a:avLst/>
        </a:prstGeom>
      </xdr:spPr>
    </xdr:pic>
    <xdr:clientData/>
  </xdr:twoCellAnchor>
  <xdr:twoCellAnchor editAs="oneCell">
    <xdr:from>
      <xdr:col>0</xdr:col>
      <xdr:colOff>666750</xdr:colOff>
      <xdr:row>95</xdr:row>
      <xdr:rowOff>161925</xdr:rowOff>
    </xdr:from>
    <xdr:to>
      <xdr:col>13</xdr:col>
      <xdr:colOff>417748</xdr:colOff>
      <xdr:row>117</xdr:row>
      <xdr:rowOff>132882</xdr:rowOff>
    </xdr:to>
    <xdr:pic>
      <xdr:nvPicPr>
        <xdr:cNvPr id="4" name="图片 3"/>
        <xdr:cNvPicPr>
          <a:picLocks noChangeAspect="1"/>
        </xdr:cNvPicPr>
      </xdr:nvPicPr>
      <xdr:blipFill>
        <a:blip xmlns:r="http://schemas.openxmlformats.org/officeDocument/2006/relationships" r:embed="rId3"/>
        <a:stretch>
          <a:fillRect/>
        </a:stretch>
      </xdr:blipFill>
      <xdr:spPr>
        <a:xfrm>
          <a:off x="666750" y="10420350"/>
          <a:ext cx="10819048"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河北省保定市房地产市场价值预评估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受贵公司委托，我公司对河北省保定市房地产市场价值进行了预评估。</v>
      </c>
    </row>
    <row r="7" spans="1:2" s="1202" customFormat="1">
      <c r="A7" s="1200" t="s">
        <v>566</v>
      </c>
      <c r="B7" s="1201" t="str">
        <f>'预评函-1'!A7</f>
        <v>估价对象为河北省保定市房地产，为所有。根据《国有土地使用证》[]，估价对象（分摊）出让国有建设用地使用权面积为8768.82平方米，建筑面积为24235.66平方米。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估价对象为河北省保定市房地产,属开发建设的，该项目尚在开发建设中。根据《国有土地使用证》[]，估价对象（分摊）出让国有建设用地使用权面积为8768.82平方米，规划建筑面积为24235.66平方米。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2023年4月17日</v>
      </c>
    </row>
    <row r="13" spans="1:2" s="1202" customFormat="1">
      <c r="A13" s="1200" t="s">
        <v>529</v>
      </c>
      <c r="B13" s="1201"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46382</v>
      </c>
    </row>
    <row r="21" spans="1:2" s="1202" customFormat="1">
      <c r="A21" s="1200" t="s">
        <v>537</v>
      </c>
      <c r="B21" s="1201">
        <f ca="1">'预评函-2'!D7</f>
        <v>19138</v>
      </c>
    </row>
    <row r="22" spans="1:2" s="1202" customFormat="1">
      <c r="A22" s="1200" t="s">
        <v>538</v>
      </c>
      <c r="B22" s="1201" t="str">
        <f ca="1">'预评函-2'!D6</f>
        <v>肆亿陆仟叁佰捌拾贰万元整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46382</v>
      </c>
    </row>
    <row r="31" spans="1:2" s="1202" customFormat="1">
      <c r="A31" s="1200" t="s">
        <v>576</v>
      </c>
      <c r="B31" s="1201">
        <f ca="1">'预评函-2'!D15</f>
        <v>19138</v>
      </c>
    </row>
    <row r="32" spans="1:2" s="1202" customFormat="1">
      <c r="A32" s="1200" t="s">
        <v>543</v>
      </c>
      <c r="B32" s="1201" t="str">
        <f ca="1">'预评函-2'!D14</f>
        <v>肆亿陆仟叁佰捌拾贰万元整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河北省保定市房地产</v>
      </c>
    </row>
    <row r="42" spans="1:2" s="1202" customFormat="1">
      <c r="A42" s="1200" t="s">
        <v>590</v>
      </c>
      <c r="B42" s="1201" t="str">
        <f>'预评函-3'!B2</f>
        <v>建筑面积</v>
      </c>
    </row>
    <row r="43" spans="1:2" s="1202" customFormat="1">
      <c r="A43" s="1200" t="s">
        <v>591</v>
      </c>
      <c r="B43" s="1201">
        <f>'预评函-3'!B4</f>
        <v>24235.660000000003</v>
      </c>
    </row>
    <row r="44" spans="1:2" s="1202" customFormat="1">
      <c r="A44" s="1200" t="s">
        <v>575</v>
      </c>
      <c r="B44" s="1201" t="str">
        <f>'预评函-3'!C2</f>
        <v>(分摊)土地面积</v>
      </c>
    </row>
    <row r="45" spans="1:2" s="1202" customFormat="1">
      <c r="A45" s="1200" t="s">
        <v>547</v>
      </c>
      <c r="B45" s="1201">
        <f>'预评函-3'!C4</f>
        <v>8768.82</v>
      </c>
    </row>
    <row r="46" spans="1:2" s="1202" customFormat="1">
      <c r="A46" s="1200" t="s">
        <v>573</v>
      </c>
      <c r="B46" s="1201" t="str">
        <f>'预评函-3'!D2</f>
        <v>出让国有建设用地使用权价值</v>
      </c>
    </row>
    <row r="47" spans="1:2" s="1202" customFormat="1">
      <c r="A47" s="1200" t="s">
        <v>548</v>
      </c>
      <c r="B47" s="1201">
        <f ca="1">'预评函-3'!D4</f>
        <v>13172</v>
      </c>
    </row>
    <row r="48" spans="1:2" s="1202" customFormat="1">
      <c r="A48" s="1200" t="s">
        <v>549</v>
      </c>
      <c r="B48" s="1201">
        <f ca="1">'预评函-3'!E4</f>
        <v>5435</v>
      </c>
    </row>
    <row r="49" spans="1:2" s="1202" customFormat="1">
      <c r="A49" s="1200" t="s">
        <v>550</v>
      </c>
      <c r="B49" s="1201" t="str">
        <f ca="1">'预评函-3'!D5</f>
        <v>壹亿叁仟壹佰柒拾贰万元整</v>
      </c>
    </row>
    <row r="50" spans="1:2" s="1202" customFormat="1">
      <c r="A50" s="1200" t="s">
        <v>574</v>
      </c>
      <c r="B50" s="1201" t="str">
        <f>'预评函-3'!F2</f>
        <v>在建建筑物价值</v>
      </c>
    </row>
    <row r="51" spans="1:2" s="1202" customFormat="1">
      <c r="A51" s="1200" t="s">
        <v>551</v>
      </c>
      <c r="B51" s="1201">
        <f ca="1">'预评函-3'!F4</f>
        <v>33210</v>
      </c>
    </row>
    <row r="52" spans="1:2" s="1202" customFormat="1">
      <c r="A52" s="1200" t="s">
        <v>552</v>
      </c>
      <c r="B52" s="1201">
        <f ca="1">'预评函-3'!G4</f>
        <v>13703</v>
      </c>
    </row>
    <row r="53" spans="1:2" s="1202" customFormat="1">
      <c r="A53" s="1200" t="s">
        <v>580</v>
      </c>
      <c r="B53" s="1201" t="str">
        <f ca="1">'预评函-3'!F5</f>
        <v>叁亿叁仟贰佰壹拾万元整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3577</v>
      </c>
      <c r="C19" s="1546"/>
    </row>
    <row r="20" spans="1:3">
      <c r="A20" s="1545" t="s">
        <v>1048</v>
      </c>
      <c r="B20" s="1545" t="s">
        <v>3579</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拟使用河北省保定市房地产作为抵押担保物，向办理贷款手续。特委托北京康正宏基房地产评估有限公司对上述抵押物进行评估。本次评估为确定房地产抵押贷款额度提供参考依据而评估房地产抵押价值。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5" t="s">
        <v>2583</v>
      </c>
      <c r="J2" s="3525"/>
      <c r="K2" s="3525"/>
      <c r="L2" s="3525"/>
      <c r="M2" s="3525"/>
      <c r="N2" s="3525"/>
      <c r="O2" s="3525"/>
      <c r="P2" s="3525"/>
      <c r="Q2" s="3525"/>
      <c r="R2" s="3525"/>
    </row>
    <row r="3" spans="1:18">
      <c r="A3" s="3017" t="s">
        <v>2504</v>
      </c>
      <c r="B3" s="3018">
        <f>项目基本情况!D3</f>
        <v>45033</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4" t="str">
        <f>IF(B10="北京市","北京市",C10)&amp;F10&amp;IF(结果表!G1="在建","出让国有建设用地使用权及在建建筑物",IF(结果表!G1="土地","出让国有建设用地使用权",))&amp;B9&amp;"预评估"</f>
        <v>河北省保定市房地产市场价值预评估</v>
      </c>
      <c r="C1" s="3535"/>
      <c r="D1" s="3535"/>
      <c r="E1" s="3535"/>
      <c r="F1" s="3535"/>
      <c r="G1" s="3535"/>
      <c r="H1" s="3535"/>
      <c r="I1" s="3536"/>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河北省保定市房地产市场价值</v>
      </c>
      <c r="T1" s="1744"/>
      <c r="U1" s="1744"/>
      <c r="V1" s="1744"/>
      <c r="W1" s="1744"/>
      <c r="X1" s="1744"/>
      <c r="Y1" s="1744"/>
      <c r="Z1" s="1744"/>
      <c r="AA1" s="1744"/>
      <c r="AB1" s="1744"/>
    </row>
    <row r="2" spans="1:30">
      <c r="A2" s="2366" t="s">
        <v>2169</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河北省保定市房地产</v>
      </c>
      <c r="T2" s="1744"/>
      <c r="U2" s="1744"/>
      <c r="V2" s="1744"/>
      <c r="W2" s="1744"/>
      <c r="X2" s="1744"/>
      <c r="Y2" s="1744"/>
      <c r="Z2" s="1744"/>
      <c r="AA2" s="1744"/>
      <c r="AB2" s="1744"/>
    </row>
    <row r="3" spans="1:30">
      <c r="A3" s="302" t="s">
        <v>2170</v>
      </c>
      <c r="B3" s="2372">
        <v>45020</v>
      </c>
      <c r="C3" s="2373" t="s">
        <v>2171</v>
      </c>
      <c r="D3" s="2372">
        <v>45033</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3379</v>
      </c>
      <c r="C8" s="2389"/>
      <c r="D8" s="3537" t="s">
        <v>2177</v>
      </c>
      <c r="E8" s="2390"/>
      <c r="F8" s="2391"/>
      <c r="G8" s="2661"/>
      <c r="H8" s="2661"/>
      <c r="I8" s="2661"/>
      <c r="J8" s="2437"/>
      <c r="K8" s="2612"/>
      <c r="L8" s="2611"/>
      <c r="M8" s="2611"/>
      <c r="N8" s="2437"/>
      <c r="O8" s="2448"/>
      <c r="P8" s="2437"/>
      <c r="Q8" s="2437"/>
      <c r="R8" s="2437"/>
    </row>
    <row r="9" spans="1:30" ht="13.5" thickBot="1">
      <c r="A9" s="2392" t="s">
        <v>2178</v>
      </c>
      <c r="B9" s="2393" t="s">
        <v>3380</v>
      </c>
      <c r="C9" s="2394"/>
      <c r="D9" s="3538"/>
      <c r="E9" s="2393"/>
      <c r="F9" s="2395"/>
      <c r="G9" s="2663"/>
      <c r="H9" s="2663"/>
      <c r="I9" s="2663"/>
      <c r="J9" s="2437"/>
      <c r="K9" s="2614"/>
      <c r="L9" s="2611"/>
      <c r="M9" s="2611"/>
      <c r="N9" s="2437"/>
      <c r="O9" s="2448"/>
      <c r="P9" s="2437"/>
      <c r="Q9" s="2437"/>
      <c r="R9" s="2437"/>
    </row>
    <row r="10" spans="1:30" ht="13.5" thickTop="1">
      <c r="A10" s="2396" t="s">
        <v>2179</v>
      </c>
      <c r="B10" s="2397" t="s">
        <v>3381</v>
      </c>
      <c r="C10" s="3447" t="s">
        <v>3382</v>
      </c>
      <c r="D10" s="2381"/>
      <c r="E10" s="2398" t="s">
        <v>2180</v>
      </c>
      <c r="F10" s="3448" t="s">
        <v>3383</v>
      </c>
      <c r="G10" s="2664"/>
      <c r="H10" s="2665"/>
      <c r="I10" s="2666"/>
      <c r="J10" s="2437"/>
      <c r="K10" s="2614"/>
      <c r="L10" s="2611"/>
      <c r="M10" s="2611"/>
      <c r="N10" s="2437"/>
      <c r="O10" s="2448"/>
      <c r="P10" s="2437"/>
      <c r="Q10" s="2437"/>
      <c r="R10" s="2437"/>
    </row>
    <row r="11" spans="1:30">
      <c r="A11" s="2399" t="s">
        <v>2181</v>
      </c>
      <c r="B11" s="2400" t="s">
        <v>3384</v>
      </c>
      <c r="C11" s="2401"/>
      <c r="D11" s="2402"/>
      <c r="E11" s="2369"/>
      <c r="F11" s="2369"/>
      <c r="G11" s="2369"/>
      <c r="H11" s="2369"/>
      <c r="I11" s="2369"/>
      <c r="J11" s="3058"/>
      <c r="K11" s="3057"/>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6" t="s">
        <v>2579</v>
      </c>
      <c r="J12" s="3059"/>
      <c r="K12" s="2611"/>
      <c r="L12" s="2611"/>
      <c r="M12" s="2437"/>
      <c r="N12" s="2448"/>
      <c r="O12" s="2437"/>
      <c r="P12" s="2437"/>
      <c r="Q12" s="2437"/>
      <c r="AD12" s="1744"/>
    </row>
    <row r="13" spans="1:30">
      <c r="A13" s="3420" t="s">
        <v>3339</v>
      </c>
      <c r="B13" s="2405" t="s">
        <v>2190</v>
      </c>
      <c r="C13" s="856">
        <v>69878</v>
      </c>
      <c r="D13" s="856"/>
      <c r="E13" s="856">
        <v>58921</v>
      </c>
      <c r="F13" s="856">
        <v>62573</v>
      </c>
      <c r="G13" s="856"/>
      <c r="H13" s="856"/>
      <c r="I13" s="856"/>
      <c r="J13" s="3059"/>
      <c r="K13" s="2611"/>
      <c r="L13" s="2611"/>
      <c r="M13" s="2437"/>
      <c r="N13" s="2448"/>
      <c r="O13" s="2437"/>
      <c r="P13" s="2437"/>
      <c r="Q13" s="2437"/>
      <c r="AD13" s="1744"/>
    </row>
    <row r="14" spans="1:30">
      <c r="A14" s="1081"/>
      <c r="B14" s="2405" t="s">
        <v>2191</v>
      </c>
      <c r="C14" s="2406">
        <v>70</v>
      </c>
      <c r="D14" s="2406"/>
      <c r="E14" s="2406">
        <v>40</v>
      </c>
      <c r="F14" s="2406">
        <v>50</v>
      </c>
      <c r="G14" s="2406"/>
      <c r="H14" s="2406"/>
      <c r="I14" s="2406"/>
      <c r="J14" s="3060"/>
      <c r="K14" s="2611"/>
      <c r="L14" s="2611"/>
      <c r="M14" s="2437"/>
      <c r="N14" s="2448"/>
      <c r="O14" s="2437"/>
      <c r="P14" s="2437"/>
      <c r="Q14" s="2437"/>
      <c r="AD14" s="1744"/>
    </row>
    <row r="15" spans="1:30">
      <c r="A15" s="320"/>
      <c r="B15" s="2407" t="s">
        <v>2192</v>
      </c>
      <c r="C15" s="2408">
        <f>IF(A13="出让",IF(C13="","",ROUNDDOWN(MIN((C13-$D$3)/365,C14),2)),C14)</f>
        <v>68.06</v>
      </c>
      <c r="D15" s="2408" t="str">
        <f>IF(A13="出让",IF(D13="","",ROUNDDOWN(MIN((D13-$D$3)/365,D14),2)),D14)</f>
        <v/>
      </c>
      <c r="E15" s="2408">
        <f>IF(A13="出让",IF(E13="","",ROUNDDOWN(MIN((E13-$D$3)/365,E14),2)),E14)</f>
        <v>38.04</v>
      </c>
      <c r="F15" s="2408">
        <f>IF(A13="出让",IF(F13="","",ROUNDDOWN(MIN((F13-$D$3)/365,F14),2)),F14)</f>
        <v>48.05</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2193</v>
      </c>
      <c r="B16" s="3544"/>
      <c r="C16" s="3545"/>
      <c r="D16" s="3546"/>
      <c r="E16" s="2411" t="s">
        <v>2194</v>
      </c>
      <c r="F16" s="3547"/>
      <c r="G16" s="3548"/>
      <c r="H16" s="3548"/>
      <c r="I16" s="3549"/>
      <c r="J16" s="2437"/>
      <c r="K16" s="2615"/>
      <c r="L16" s="2449"/>
      <c r="M16" s="2449"/>
      <c r="N16" s="2507"/>
      <c r="O16" s="2449"/>
      <c r="P16" s="2507"/>
      <c r="Q16" s="2437"/>
      <c r="R16" s="2437"/>
    </row>
    <row r="17" spans="1:28">
      <c r="A17" s="313" t="s">
        <v>2195</v>
      </c>
      <c r="B17" s="302" t="s">
        <v>2196</v>
      </c>
      <c r="C17" s="8">
        <f>'数据-汇总表'!E3</f>
        <v>24235.660000000003</v>
      </c>
      <c r="D17" s="2321" t="s">
        <v>2197</v>
      </c>
      <c r="E17" s="3550" t="s">
        <v>2198</v>
      </c>
      <c r="F17" s="3551"/>
      <c r="G17" s="3551"/>
      <c r="H17" s="3551"/>
      <c r="I17" s="3552"/>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8768.82</v>
      </c>
      <c r="D18" s="1092" t="s">
        <v>2201</v>
      </c>
      <c r="E18" s="3553" t="s">
        <v>2202</v>
      </c>
      <c r="F18" s="3554"/>
      <c r="G18" s="3554"/>
      <c r="H18" s="3554"/>
      <c r="I18" s="3555"/>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40" t="s">
        <v>2206</v>
      </c>
      <c r="C20" s="3541"/>
      <c r="D20" s="3542" t="s">
        <v>2207</v>
      </c>
      <c r="E20" s="3543"/>
      <c r="F20" s="2645" t="s">
        <v>1056</v>
      </c>
      <c r="G20" s="2662"/>
      <c r="H20" s="2662"/>
      <c r="I20" s="2662"/>
      <c r="J20" s="2437"/>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7"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7"/>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7"/>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8"/>
      <c r="B30" s="302" t="s">
        <v>2218</v>
      </c>
      <c r="C30" s="3529"/>
      <c r="D30" s="3530"/>
      <c r="E30" s="2662"/>
      <c r="F30" s="2662"/>
      <c r="G30" s="2662"/>
      <c r="H30" s="2662"/>
      <c r="I30" s="2662"/>
      <c r="J30" s="2437"/>
      <c r="K30" s="2614"/>
      <c r="L30" s="2611"/>
      <c r="M30" s="2611"/>
      <c r="N30" s="2437"/>
      <c r="O30" s="2448"/>
      <c r="P30" s="2437"/>
      <c r="Q30" s="2437"/>
      <c r="R30" s="2437"/>
      <c r="S30" s="2437"/>
      <c r="T30" s="2437"/>
      <c r="U30" s="2437"/>
      <c r="V30" s="2437"/>
    </row>
    <row r="31" spans="1:28">
      <c r="A31" s="3531" t="s">
        <v>2219</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2"/>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2"/>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26" t="s">
        <v>2228</v>
      </c>
      <c r="T34" s="2426" t="str">
        <f>NUMBERSTRING(7-K34,1)&amp;"通"</f>
        <v>七通</v>
      </c>
      <c r="U34" s="2437"/>
      <c r="V34" s="2437"/>
    </row>
    <row r="35" spans="1:30">
      <c r="A35" s="2427"/>
      <c r="B35" s="3533" t="s">
        <v>2229</v>
      </c>
      <c r="C35" s="3533"/>
      <c r="D35" s="3533"/>
      <c r="E35" s="3533"/>
      <c r="F35" s="664" t="str">
        <f>C10</f>
        <v>河北省</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2"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67"/>
  <sheetViews>
    <sheetView tabSelected="1" topLeftCell="A40" zoomScale="70" zoomScaleNormal="70" workbookViewId="0">
      <selection activeCell="H63" sqref="H63"/>
    </sheetView>
  </sheetViews>
  <sheetFormatPr defaultColWidth="9" defaultRowHeight="17.25"/>
  <cols>
    <col min="1" max="1" width="9" style="3479"/>
    <col min="2" max="2" width="13.5" style="3479" customWidth="1"/>
    <col min="3" max="3" width="9" style="3479"/>
    <col min="4" max="4" width="11.875" style="3479" customWidth="1"/>
    <col min="5" max="6" width="27.5" style="3479" customWidth="1"/>
    <col min="7" max="7" width="9" style="3479"/>
    <col min="8" max="8" width="11.875" style="3479" customWidth="1"/>
    <col min="9" max="10" width="30.75" style="3479" customWidth="1"/>
    <col min="11" max="11" width="22.375" style="3479" customWidth="1"/>
    <col min="12" max="16384" width="9" style="3479"/>
  </cols>
  <sheetData>
    <row r="3" spans="4:10" ht="23.1" customHeight="1">
      <c r="D3" s="3556" t="s">
        <v>3669</v>
      </c>
      <c r="E3" s="3556"/>
      <c r="F3" s="3556"/>
      <c r="H3" s="3556" t="s">
        <v>3670</v>
      </c>
      <c r="I3" s="3556"/>
      <c r="J3" s="3556"/>
    </row>
    <row r="4" spans="4:10" ht="23.1" customHeight="1">
      <c r="D4" s="3556" t="s">
        <v>3671</v>
      </c>
      <c r="E4" s="3556"/>
      <c r="F4" s="3556"/>
      <c r="H4" s="3556" t="s">
        <v>3672</v>
      </c>
      <c r="I4" s="3556"/>
      <c r="J4" s="3556"/>
    </row>
    <row r="5" spans="4:10" ht="18">
      <c r="D5" s="3480" t="s">
        <v>3673</v>
      </c>
      <c r="E5" s="3480" t="s">
        <v>3674</v>
      </c>
      <c r="F5" s="3480" t="s">
        <v>3675</v>
      </c>
      <c r="H5" s="3480" t="s">
        <v>3673</v>
      </c>
      <c r="I5" s="3480" t="s">
        <v>3674</v>
      </c>
      <c r="J5" s="3480" t="s">
        <v>3675</v>
      </c>
    </row>
    <row r="6" spans="4:10">
      <c r="D6" s="3557" t="s">
        <v>3676</v>
      </c>
      <c r="E6" s="3481" t="s">
        <v>3677</v>
      </c>
      <c r="F6" s="3481">
        <v>89.9</v>
      </c>
      <c r="H6" s="3557" t="s">
        <v>3676</v>
      </c>
      <c r="I6" s="3481" t="s">
        <v>3678</v>
      </c>
      <c r="J6" s="3481">
        <v>122.72</v>
      </c>
    </row>
    <row r="7" spans="4:10">
      <c r="D7" s="3557"/>
      <c r="E7" s="3481" t="s">
        <v>3679</v>
      </c>
      <c r="F7" s="3481">
        <v>104.52</v>
      </c>
      <c r="H7" s="3557"/>
      <c r="I7" s="3481" t="s">
        <v>3680</v>
      </c>
      <c r="J7" s="3481">
        <v>102.76</v>
      </c>
    </row>
    <row r="8" spans="4:10">
      <c r="D8" s="3557"/>
      <c r="E8" s="3481" t="s">
        <v>3681</v>
      </c>
      <c r="F8" s="3481">
        <v>107.36</v>
      </c>
      <c r="H8" s="3557"/>
      <c r="I8" s="3481" t="s">
        <v>3682</v>
      </c>
      <c r="J8" s="3481">
        <v>106.57</v>
      </c>
    </row>
    <row r="9" spans="4:10">
      <c r="D9" s="3557"/>
      <c r="E9" s="3481">
        <v>101</v>
      </c>
      <c r="F9" s="3481">
        <v>111.88</v>
      </c>
      <c r="H9" s="3557"/>
      <c r="I9" s="3481" t="s">
        <v>3683</v>
      </c>
      <c r="J9" s="3481">
        <v>127.62</v>
      </c>
    </row>
    <row r="10" spans="4:10">
      <c r="D10" s="3557"/>
      <c r="E10" s="3481">
        <v>102</v>
      </c>
      <c r="F10" s="3481">
        <v>115.02</v>
      </c>
      <c r="H10" s="3557"/>
      <c r="I10" s="3481" t="s">
        <v>3684</v>
      </c>
      <c r="J10" s="3481">
        <v>119.75</v>
      </c>
    </row>
    <row r="11" spans="4:10">
      <c r="D11" s="3557"/>
      <c r="E11" s="3841">
        <v>103</v>
      </c>
      <c r="F11" s="3481">
        <v>141.57</v>
      </c>
      <c r="H11" s="3557"/>
      <c r="I11" s="3481">
        <v>106</v>
      </c>
      <c r="J11" s="3481">
        <v>134.38999999999999</v>
      </c>
    </row>
    <row r="12" spans="4:10">
      <c r="D12" s="3557"/>
      <c r="E12" s="3841">
        <v>104</v>
      </c>
      <c r="F12" s="3481">
        <v>203.62</v>
      </c>
      <c r="H12" s="3481" t="s">
        <v>3685</v>
      </c>
      <c r="I12" s="3481">
        <v>201</v>
      </c>
      <c r="J12" s="3481">
        <v>2517.2199999999998</v>
      </c>
    </row>
    <row r="13" spans="4:10">
      <c r="D13" s="3557"/>
      <c r="E13" s="3841">
        <v>105</v>
      </c>
      <c r="F13" s="3481">
        <v>130.91999999999999</v>
      </c>
      <c r="H13" s="3557" t="s">
        <v>3686</v>
      </c>
      <c r="I13" s="3481">
        <v>305</v>
      </c>
      <c r="J13" s="3481">
        <v>278.27999999999997</v>
      </c>
    </row>
    <row r="14" spans="4:10">
      <c r="D14" s="3557"/>
      <c r="E14" s="3481" t="s">
        <v>3687</v>
      </c>
      <c r="F14" s="3481">
        <v>12.49</v>
      </c>
      <c r="H14" s="3557"/>
      <c r="I14" s="3481">
        <v>306</v>
      </c>
      <c r="J14" s="3481">
        <v>185.26</v>
      </c>
    </row>
    <row r="15" spans="4:10">
      <c r="D15" s="3481" t="s">
        <v>3685</v>
      </c>
      <c r="E15" s="3481" t="s">
        <v>3688</v>
      </c>
      <c r="F15" s="3481" t="s">
        <v>3688</v>
      </c>
      <c r="H15" s="3557"/>
      <c r="I15" s="3481">
        <v>307</v>
      </c>
      <c r="J15" s="3481">
        <v>284.33999999999997</v>
      </c>
    </row>
    <row r="16" spans="4:10">
      <c r="D16" s="3557" t="s">
        <v>3686</v>
      </c>
      <c r="E16" s="3481">
        <v>301</v>
      </c>
      <c r="F16" s="3481">
        <v>289.83999999999997</v>
      </c>
      <c r="H16" s="3557"/>
      <c r="I16" s="3481">
        <v>308</v>
      </c>
      <c r="J16" s="3481">
        <v>159.12</v>
      </c>
    </row>
    <row r="17" spans="4:10">
      <c r="D17" s="3557"/>
      <c r="E17" s="3481">
        <v>302</v>
      </c>
      <c r="F17" s="3481">
        <v>344.91</v>
      </c>
      <c r="H17" s="3557"/>
      <c r="I17" s="3481">
        <v>309</v>
      </c>
      <c r="J17" s="3481">
        <v>147.38999999999999</v>
      </c>
    </row>
    <row r="18" spans="4:10">
      <c r="D18" s="3557"/>
      <c r="E18" s="3481">
        <v>303</v>
      </c>
      <c r="F18" s="3481">
        <v>147.07</v>
      </c>
      <c r="H18" s="3557" t="s">
        <v>3689</v>
      </c>
      <c r="I18" s="3481">
        <v>406</v>
      </c>
      <c r="J18" s="3482">
        <v>209.5</v>
      </c>
    </row>
    <row r="19" spans="4:10">
      <c r="D19" s="3557"/>
      <c r="E19" s="3481">
        <v>304</v>
      </c>
      <c r="F19" s="3481">
        <v>159.66999999999999</v>
      </c>
      <c r="H19" s="3557"/>
      <c r="I19" s="3481">
        <v>407</v>
      </c>
      <c r="J19" s="3481">
        <v>330.06</v>
      </c>
    </row>
    <row r="20" spans="4:10">
      <c r="D20" s="3557" t="s">
        <v>3689</v>
      </c>
      <c r="E20" s="3481">
        <v>401</v>
      </c>
      <c r="F20" s="3481">
        <v>289.14</v>
      </c>
      <c r="H20" s="3557"/>
      <c r="I20" s="3481">
        <v>408</v>
      </c>
      <c r="J20" s="3481">
        <v>283.91000000000003</v>
      </c>
    </row>
    <row r="21" spans="4:10">
      <c r="D21" s="3557"/>
      <c r="E21" s="3481">
        <v>402</v>
      </c>
      <c r="F21" s="3481">
        <v>331.19</v>
      </c>
      <c r="H21" s="3557"/>
      <c r="I21" s="3481">
        <v>409</v>
      </c>
      <c r="J21" s="3481">
        <v>159.12</v>
      </c>
    </row>
    <row r="22" spans="4:10">
      <c r="D22" s="3557"/>
      <c r="E22" s="3481">
        <v>403</v>
      </c>
      <c r="F22" s="3481">
        <v>210.24</v>
      </c>
      <c r="H22" s="3557"/>
      <c r="I22" s="3481">
        <v>410</v>
      </c>
      <c r="J22" s="3481">
        <v>146.55000000000001</v>
      </c>
    </row>
    <row r="23" spans="4:10">
      <c r="D23" s="3557"/>
      <c r="E23" s="3481">
        <v>404</v>
      </c>
      <c r="F23" s="3481">
        <v>147.07</v>
      </c>
      <c r="H23" s="3557" t="s">
        <v>3690</v>
      </c>
      <c r="I23" s="3481">
        <v>506</v>
      </c>
      <c r="J23" s="3482">
        <v>209.5</v>
      </c>
    </row>
    <row r="24" spans="4:10">
      <c r="D24" s="3557"/>
      <c r="E24" s="3481">
        <v>405</v>
      </c>
      <c r="F24" s="3481">
        <v>159.66999999999999</v>
      </c>
      <c r="H24" s="3557"/>
      <c r="I24" s="3481">
        <v>507</v>
      </c>
      <c r="J24" s="3481">
        <v>330.06</v>
      </c>
    </row>
    <row r="25" spans="4:10">
      <c r="D25" s="3557" t="s">
        <v>3690</v>
      </c>
      <c r="E25" s="3481">
        <v>501</v>
      </c>
      <c r="F25" s="3481">
        <v>289.14</v>
      </c>
      <c r="H25" s="3557"/>
      <c r="I25" s="3481">
        <v>508</v>
      </c>
      <c r="J25" s="3481">
        <v>283.91000000000003</v>
      </c>
    </row>
    <row r="26" spans="4:10">
      <c r="D26" s="3557"/>
      <c r="E26" s="3481">
        <v>502</v>
      </c>
      <c r="F26" s="3481">
        <v>331.19</v>
      </c>
      <c r="H26" s="3557"/>
      <c r="I26" s="3481">
        <v>509</v>
      </c>
      <c r="J26" s="3481">
        <v>159.12</v>
      </c>
    </row>
    <row r="27" spans="4:10">
      <c r="D27" s="3557"/>
      <c r="E27" s="3481">
        <v>503</v>
      </c>
      <c r="F27" s="3481">
        <v>210.24</v>
      </c>
      <c r="H27" s="3557"/>
      <c r="I27" s="3481">
        <v>510</v>
      </c>
      <c r="J27" s="3481">
        <v>146.55000000000001</v>
      </c>
    </row>
    <row r="28" spans="4:10">
      <c r="D28" s="3557"/>
      <c r="E28" s="3481">
        <v>504</v>
      </c>
      <c r="F28" s="3481">
        <v>147.07</v>
      </c>
      <c r="H28" s="3557" t="s">
        <v>3691</v>
      </c>
      <c r="I28" s="3481">
        <v>606</v>
      </c>
      <c r="J28" s="3482">
        <v>209.5</v>
      </c>
    </row>
    <row r="29" spans="4:10">
      <c r="D29" s="3557"/>
      <c r="E29" s="3481">
        <v>505</v>
      </c>
      <c r="F29" s="3481">
        <v>159.66999999999999</v>
      </c>
      <c r="H29" s="3557"/>
      <c r="I29" s="3481">
        <v>607</v>
      </c>
      <c r="J29" s="3481">
        <v>330.06</v>
      </c>
    </row>
    <row r="30" spans="4:10">
      <c r="D30" s="3557" t="s">
        <v>3691</v>
      </c>
      <c r="E30" s="3481">
        <v>601</v>
      </c>
      <c r="F30" s="3481">
        <v>289.14</v>
      </c>
      <c r="H30" s="3557"/>
      <c r="I30" s="3481">
        <v>608</v>
      </c>
      <c r="J30" s="3481">
        <v>283.91000000000003</v>
      </c>
    </row>
    <row r="31" spans="4:10">
      <c r="D31" s="3557"/>
      <c r="E31" s="3481">
        <v>602</v>
      </c>
      <c r="F31" s="3481">
        <v>331.19</v>
      </c>
      <c r="H31" s="3557"/>
      <c r="I31" s="3481">
        <v>609</v>
      </c>
      <c r="J31" s="3481">
        <v>159.12</v>
      </c>
    </row>
    <row r="32" spans="4:10">
      <c r="D32" s="3557"/>
      <c r="E32" s="3481">
        <v>603</v>
      </c>
      <c r="F32" s="3481">
        <v>210.24</v>
      </c>
      <c r="H32" s="3557"/>
      <c r="I32" s="3481">
        <v>610</v>
      </c>
      <c r="J32" s="3481">
        <v>146.55000000000001</v>
      </c>
    </row>
    <row r="33" spans="4:10">
      <c r="D33" s="3557"/>
      <c r="E33" s="3481">
        <v>604</v>
      </c>
      <c r="F33" s="3481">
        <v>147.07</v>
      </c>
      <c r="H33" s="3557" t="s">
        <v>3692</v>
      </c>
      <c r="I33" s="3481">
        <v>706</v>
      </c>
      <c r="J33" s="3482">
        <v>209.5</v>
      </c>
    </row>
    <row r="34" spans="4:10">
      <c r="D34" s="3557"/>
      <c r="E34" s="3481">
        <v>605</v>
      </c>
      <c r="F34" s="3481">
        <v>159.66999999999999</v>
      </c>
      <c r="H34" s="3557"/>
      <c r="I34" s="3481">
        <v>707</v>
      </c>
      <c r="J34" s="3481">
        <v>330.06</v>
      </c>
    </row>
    <row r="35" spans="4:10">
      <c r="D35" s="3557" t="s">
        <v>3692</v>
      </c>
      <c r="E35" s="3481">
        <v>701</v>
      </c>
      <c r="F35" s="3481">
        <v>289.14</v>
      </c>
      <c r="H35" s="3557"/>
      <c r="I35" s="3481">
        <v>708</v>
      </c>
      <c r="J35" s="3481">
        <v>283.91000000000003</v>
      </c>
    </row>
    <row r="36" spans="4:10">
      <c r="D36" s="3557"/>
      <c r="E36" s="3481">
        <v>702</v>
      </c>
      <c r="F36" s="3481">
        <v>331.19</v>
      </c>
      <c r="H36" s="3557"/>
      <c r="I36" s="3481">
        <v>709</v>
      </c>
      <c r="J36" s="3481">
        <v>159.12</v>
      </c>
    </row>
    <row r="37" spans="4:10">
      <c r="D37" s="3557"/>
      <c r="E37" s="3481">
        <v>703</v>
      </c>
      <c r="F37" s="3481">
        <v>210.24</v>
      </c>
      <c r="H37" s="3557"/>
      <c r="I37" s="3481">
        <v>710</v>
      </c>
      <c r="J37" s="3481">
        <v>146.55000000000001</v>
      </c>
    </row>
    <row r="38" spans="4:10">
      <c r="D38" s="3557"/>
      <c r="E38" s="3481">
        <v>704</v>
      </c>
      <c r="F38" s="3481">
        <v>147.07</v>
      </c>
      <c r="H38" s="3557" t="s">
        <v>3693</v>
      </c>
      <c r="I38" s="3481">
        <v>806</v>
      </c>
      <c r="J38" s="3482">
        <v>209.5</v>
      </c>
    </row>
    <row r="39" spans="4:10">
      <c r="D39" s="3557"/>
      <c r="E39" s="3481">
        <v>705</v>
      </c>
      <c r="F39" s="3481">
        <v>159.66999999999999</v>
      </c>
      <c r="H39" s="3557"/>
      <c r="I39" s="3481">
        <v>807</v>
      </c>
      <c r="J39" s="3481">
        <v>330.06</v>
      </c>
    </row>
    <row r="40" spans="4:10">
      <c r="D40" s="3557" t="s">
        <v>3693</v>
      </c>
      <c r="E40" s="3481">
        <v>801</v>
      </c>
      <c r="F40" s="3481">
        <v>289.14</v>
      </c>
      <c r="H40" s="3557"/>
      <c r="I40" s="3481">
        <v>808</v>
      </c>
      <c r="J40" s="3481">
        <v>283.91000000000003</v>
      </c>
    </row>
    <row r="41" spans="4:10">
      <c r="D41" s="3557"/>
      <c r="E41" s="3481">
        <v>802</v>
      </c>
      <c r="F41" s="3481">
        <v>331.19</v>
      </c>
      <c r="H41" s="3557"/>
      <c r="I41" s="3481">
        <v>809</v>
      </c>
      <c r="J41" s="3481">
        <v>159.12</v>
      </c>
    </row>
    <row r="42" spans="4:10">
      <c r="D42" s="3557"/>
      <c r="E42" s="3481">
        <v>803</v>
      </c>
      <c r="F42" s="3481">
        <v>210.24</v>
      </c>
      <c r="H42" s="3557"/>
      <c r="I42" s="3481">
        <v>810</v>
      </c>
      <c r="J42" s="3481">
        <v>146.55000000000001</v>
      </c>
    </row>
    <row r="43" spans="4:10">
      <c r="D43" s="3557"/>
      <c r="E43" s="3481">
        <v>804</v>
      </c>
      <c r="F43" s="3481">
        <v>147.07</v>
      </c>
      <c r="H43" s="3481" t="s">
        <v>3694</v>
      </c>
      <c r="I43" s="3481">
        <v>902</v>
      </c>
      <c r="J43" s="3481">
        <v>1291.49</v>
      </c>
    </row>
    <row r="44" spans="4:10" ht="18">
      <c r="D44" s="3557"/>
      <c r="E44" s="3481">
        <v>805</v>
      </c>
      <c r="F44" s="3481">
        <v>159.66999999999999</v>
      </c>
      <c r="H44" s="3558" t="s">
        <v>3695</v>
      </c>
      <c r="I44" s="3558"/>
      <c r="J44" s="3483">
        <f>SUM(J6:J43)</f>
        <v>11222.61</v>
      </c>
    </row>
    <row r="45" spans="4:10">
      <c r="D45" s="3481" t="s">
        <v>3694</v>
      </c>
      <c r="E45" s="3481">
        <v>901</v>
      </c>
      <c r="F45" s="3481">
        <v>1300.26</v>
      </c>
      <c r="H45" s="3557" t="s">
        <v>3696</v>
      </c>
      <c r="I45" s="3557"/>
      <c r="J45" s="3481">
        <v>50</v>
      </c>
    </row>
    <row r="46" spans="4:10" ht="18">
      <c r="D46" s="3558" t="s">
        <v>3695</v>
      </c>
      <c r="E46" s="3558"/>
      <c r="F46" s="3483">
        <f>SUM(F6:F45)</f>
        <v>8945.5799999999981</v>
      </c>
    </row>
    <row r="47" spans="4:10">
      <c r="D47" s="3557" t="s">
        <v>3573</v>
      </c>
      <c r="E47" s="3481" t="s">
        <v>3697</v>
      </c>
      <c r="F47" s="3481">
        <v>282.61</v>
      </c>
    </row>
    <row r="48" spans="4:10">
      <c r="D48" s="3557"/>
      <c r="E48" s="3481" t="s">
        <v>3698</v>
      </c>
      <c r="F48" s="3481">
        <v>604.86</v>
      </c>
    </row>
    <row r="49" spans="2:11">
      <c r="D49" s="3557" t="s">
        <v>3699</v>
      </c>
      <c r="E49" s="3557"/>
      <c r="F49" s="3481">
        <f>SUM(F47:F48)</f>
        <v>887.47</v>
      </c>
    </row>
    <row r="50" spans="2:11">
      <c r="D50" s="3557" t="s">
        <v>3696</v>
      </c>
      <c r="E50" s="3557"/>
      <c r="F50" s="3481">
        <v>50</v>
      </c>
    </row>
    <row r="53" spans="2:11">
      <c r="C53" s="3479" t="s">
        <v>3715</v>
      </c>
      <c r="D53" s="3479" t="s">
        <v>3713</v>
      </c>
      <c r="E53" s="3479" t="s">
        <v>3709</v>
      </c>
      <c r="F53" s="3479" t="s">
        <v>3710</v>
      </c>
      <c r="H53" s="3479" t="s">
        <v>3714</v>
      </c>
      <c r="I53" s="3479" t="s">
        <v>3713</v>
      </c>
      <c r="J53" s="3479" t="s">
        <v>3709</v>
      </c>
      <c r="K53" s="3479" t="s">
        <v>3711</v>
      </c>
    </row>
    <row r="54" spans="2:11">
      <c r="C54" s="3479" t="s">
        <v>3700</v>
      </c>
      <c r="D54" s="3479">
        <f>SUM(F6:F14)</f>
        <v>1017.28</v>
      </c>
      <c r="E54" s="3479">
        <f ca="1">面积清单!G24</f>
        <v>30784</v>
      </c>
      <c r="F54" s="3479">
        <f ca="1">ROUND(E54*D54/10000,0)</f>
        <v>3132</v>
      </c>
      <c r="H54" s="3479" t="s">
        <v>3700</v>
      </c>
      <c r="I54" s="3479">
        <f>SUM(J6:J11)</f>
        <v>713.81000000000006</v>
      </c>
      <c r="J54" s="3479">
        <f ca="1">面积清单!G24</f>
        <v>30784</v>
      </c>
      <c r="K54" s="3479">
        <f ca="1">ROUND(J54*I54/10000,0)</f>
        <v>2197</v>
      </c>
    </row>
    <row r="55" spans="2:11">
      <c r="C55" s="3479" t="s">
        <v>3718</v>
      </c>
      <c r="D55" s="3479">
        <f>SUM(F15:F45)</f>
        <v>7928.2999999999993</v>
      </c>
      <c r="E55" s="3479">
        <f ca="1">面积清单!G25</f>
        <v>21163</v>
      </c>
      <c r="F55" s="3479">
        <f ca="1">ROUND(E55*D55/10000,0)</f>
        <v>16779</v>
      </c>
      <c r="H55" s="3479" t="s">
        <v>3703</v>
      </c>
      <c r="I55" s="3479">
        <f>SUM(J12:J43)</f>
        <v>10508.800000000001</v>
      </c>
      <c r="J55" s="3479">
        <f ca="1">面积清单!G25</f>
        <v>21163</v>
      </c>
      <c r="K55" s="3479">
        <f ca="1">ROUND(J55*I55/10000,0)</f>
        <v>22240</v>
      </c>
    </row>
    <row r="56" spans="2:11">
      <c r="C56" s="3479" t="s">
        <v>3701</v>
      </c>
      <c r="D56" s="3479">
        <f>F47+F48</f>
        <v>887.47</v>
      </c>
      <c r="E56" s="3479">
        <f>面积清单!D20</f>
        <v>5000</v>
      </c>
      <c r="F56" s="3479">
        <f>ROUND(E56*D56/10000,0)</f>
        <v>444</v>
      </c>
      <c r="H56" s="3479" t="s">
        <v>3702</v>
      </c>
      <c r="I56" s="3479">
        <v>50</v>
      </c>
      <c r="J56" s="3479">
        <f>面积清单!D21</f>
        <v>158999.99999999997</v>
      </c>
      <c r="K56" s="3479">
        <f>ROUND(J56*I56/10000,0)</f>
        <v>795</v>
      </c>
    </row>
    <row r="57" spans="2:11">
      <c r="C57" s="3479" t="s">
        <v>3702</v>
      </c>
      <c r="D57" s="3479">
        <v>50</v>
      </c>
      <c r="E57" s="3479">
        <f>面积清单!D21</f>
        <v>158999.99999999997</v>
      </c>
      <c r="F57" s="3479">
        <f>ROUND(E57*D57/10000,0)</f>
        <v>795</v>
      </c>
      <c r="K57" s="3479">
        <f ca="1">SUM(K54:K56)</f>
        <v>25232</v>
      </c>
    </row>
    <row r="58" spans="2:11">
      <c r="F58" s="3479">
        <f ca="1">SUM(F54:F57)</f>
        <v>21150</v>
      </c>
    </row>
    <row r="60" spans="2:11">
      <c r="C60" s="3479" t="s">
        <v>3712</v>
      </c>
      <c r="D60" s="3479" t="s">
        <v>3713</v>
      </c>
      <c r="E60" s="3479" t="s">
        <v>3709</v>
      </c>
      <c r="F60" s="3479" t="s">
        <v>3711</v>
      </c>
    </row>
    <row r="61" spans="2:11">
      <c r="B61" s="3840" t="s">
        <v>3720</v>
      </c>
      <c r="C61" s="3479" t="s">
        <v>3719</v>
      </c>
      <c r="D61" s="3479">
        <f>F6+F7+F8+F9+F10+F14</f>
        <v>541.17000000000007</v>
      </c>
      <c r="E61" s="3479">
        <f ca="1">E54</f>
        <v>30784</v>
      </c>
      <c r="F61" s="3479">
        <f ca="1">ROUND(E61*D61/10000,0)</f>
        <v>1666</v>
      </c>
    </row>
    <row r="62" spans="2:11">
      <c r="C62" s="3479" t="s">
        <v>3716</v>
      </c>
      <c r="D62" s="3479">
        <f>SUM(F16:F45)</f>
        <v>7928.2999999999993</v>
      </c>
      <c r="E62" s="3479">
        <f ca="1">E55</f>
        <v>21163</v>
      </c>
      <c r="F62" s="3479">
        <f ca="1">ROUND(E62*D62/10000,0)</f>
        <v>16779</v>
      </c>
    </row>
    <row r="63" spans="2:11">
      <c r="C63" s="3479" t="s">
        <v>3717</v>
      </c>
      <c r="D63" s="3479">
        <f>D56</f>
        <v>887.47</v>
      </c>
      <c r="E63" s="3479">
        <f>E56</f>
        <v>5000</v>
      </c>
      <c r="F63" s="3479">
        <f t="shared" ref="F63:F64" si="0">ROUND(E63*D63/10000,0)</f>
        <v>444</v>
      </c>
    </row>
    <row r="64" spans="2:11">
      <c r="C64" s="3479" t="str">
        <f>C57</f>
        <v>车位（个）</v>
      </c>
      <c r="D64" s="3479">
        <v>50</v>
      </c>
      <c r="E64" s="3479">
        <f>E57</f>
        <v>158999.99999999997</v>
      </c>
      <c r="F64" s="3479">
        <f t="shared" si="0"/>
        <v>795</v>
      </c>
    </row>
    <row r="65" spans="4:6">
      <c r="F65" s="3479">
        <f ca="1">SUM(F61:F64)</f>
        <v>19684</v>
      </c>
    </row>
    <row r="67" spans="4:6">
      <c r="D67" s="3479">
        <f>F11+F12+F13</f>
        <v>476.11</v>
      </c>
      <c r="E67" s="3479">
        <f ca="1">E61</f>
        <v>30784</v>
      </c>
      <c r="F67" s="3479">
        <f t="shared" ref="F67" ca="1" si="1">ROUND(E67*D67/10000,0)</f>
        <v>1466</v>
      </c>
    </row>
  </sheetData>
  <mergeCells count="24">
    <mergeCell ref="D47:D48"/>
    <mergeCell ref="D49:E49"/>
    <mergeCell ref="D50:E50"/>
    <mergeCell ref="H38:H42"/>
    <mergeCell ref="D40:D44"/>
    <mergeCell ref="H44:I44"/>
    <mergeCell ref="H45:I45"/>
    <mergeCell ref="D46:E46"/>
    <mergeCell ref="D3:F3"/>
    <mergeCell ref="H3:J3"/>
    <mergeCell ref="D4:F4"/>
    <mergeCell ref="H4:J4"/>
    <mergeCell ref="D6:D14"/>
    <mergeCell ref="H6:H11"/>
    <mergeCell ref="H13:H17"/>
    <mergeCell ref="D16:D19"/>
    <mergeCell ref="H18:H22"/>
    <mergeCell ref="D20:D24"/>
    <mergeCell ref="H23:H27"/>
    <mergeCell ref="D25:D29"/>
    <mergeCell ref="H28:H32"/>
    <mergeCell ref="D30:D34"/>
    <mergeCell ref="H33:H37"/>
    <mergeCell ref="D35:D39"/>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26"/>
  <sheetViews>
    <sheetView workbookViewId="0">
      <selection activeCell="F29" sqref="F29"/>
    </sheetView>
  </sheetViews>
  <sheetFormatPr defaultRowHeight="13.5"/>
  <cols>
    <col min="2" max="2" width="13.375" customWidth="1"/>
    <col min="4" max="4" width="10.625" customWidth="1"/>
    <col min="5" max="5" width="10.875" customWidth="1"/>
    <col min="6" max="6" width="10.5" bestFit="1" customWidth="1"/>
  </cols>
  <sheetData>
    <row r="2" spans="1:9">
      <c r="B2" s="3449" t="s">
        <v>3385</v>
      </c>
      <c r="C2" s="3449" t="s">
        <v>3386</v>
      </c>
      <c r="D2" s="3449" t="s">
        <v>3388</v>
      </c>
      <c r="E2" s="3449" t="s">
        <v>3387</v>
      </c>
    </row>
    <row r="3" spans="1:9">
      <c r="A3" s="3449" t="s">
        <v>3391</v>
      </c>
      <c r="B3">
        <v>1</v>
      </c>
      <c r="C3">
        <v>1731.09</v>
      </c>
      <c r="D3">
        <v>35000</v>
      </c>
      <c r="E3">
        <f>D3*C3</f>
        <v>60588150</v>
      </c>
    </row>
    <row r="4" spans="1:9">
      <c r="B4">
        <v>2</v>
      </c>
      <c r="C4">
        <v>2517.2199999999998</v>
      </c>
      <c r="D4">
        <v>18800</v>
      </c>
      <c r="E4">
        <f t="shared" ref="E4:E13" si="0">D4*C4</f>
        <v>47323735.999999993</v>
      </c>
    </row>
    <row r="5" spans="1:9">
      <c r="B5">
        <v>3</v>
      </c>
      <c r="C5">
        <v>1995.88</v>
      </c>
      <c r="D5">
        <v>19500</v>
      </c>
      <c r="E5">
        <f t="shared" si="0"/>
        <v>38919660</v>
      </c>
    </row>
    <row r="6" spans="1:9">
      <c r="B6">
        <v>4</v>
      </c>
      <c r="C6">
        <v>2266.4499999999998</v>
      </c>
      <c r="D6">
        <v>20000</v>
      </c>
      <c r="E6">
        <f t="shared" si="0"/>
        <v>45329000</v>
      </c>
    </row>
    <row r="7" spans="1:9">
      <c r="B7">
        <v>5</v>
      </c>
      <c r="C7">
        <v>2266.4499999999998</v>
      </c>
      <c r="D7">
        <v>20500</v>
      </c>
      <c r="E7">
        <f t="shared" si="0"/>
        <v>46462224.999999993</v>
      </c>
    </row>
    <row r="8" spans="1:9">
      <c r="B8">
        <v>6</v>
      </c>
      <c r="C8">
        <v>2266.4499999999998</v>
      </c>
      <c r="D8">
        <v>21000</v>
      </c>
      <c r="E8">
        <f t="shared" si="0"/>
        <v>47595449.999999993</v>
      </c>
    </row>
    <row r="9" spans="1:9">
      <c r="B9">
        <v>7</v>
      </c>
      <c r="C9">
        <v>2266.4499999999998</v>
      </c>
      <c r="D9">
        <v>21500</v>
      </c>
      <c r="E9">
        <f t="shared" si="0"/>
        <v>48728674.999999993</v>
      </c>
    </row>
    <row r="10" spans="1:9">
      <c r="B10">
        <v>8</v>
      </c>
      <c r="C10">
        <v>2266.4499999999998</v>
      </c>
      <c r="D10">
        <v>22000</v>
      </c>
      <c r="E10">
        <f t="shared" si="0"/>
        <v>49861899.999999993</v>
      </c>
    </row>
    <row r="11" spans="1:9">
      <c r="B11">
        <v>9</v>
      </c>
      <c r="C11">
        <v>2591.75</v>
      </c>
      <c r="D11">
        <v>22500</v>
      </c>
      <c r="E11">
        <f t="shared" si="0"/>
        <v>58314375</v>
      </c>
    </row>
    <row r="12" spans="1:9">
      <c r="B12" s="3449" t="s">
        <v>3389</v>
      </c>
      <c r="C12">
        <f>SUM(C3:C11)</f>
        <v>20168.190000000002</v>
      </c>
      <c r="D12">
        <f>ROUND(E12/C12,0)</f>
        <v>21971</v>
      </c>
      <c r="E12">
        <f>SUM(E3:E11)</f>
        <v>443123171</v>
      </c>
    </row>
    <row r="13" spans="1:9">
      <c r="A13" s="3449" t="s">
        <v>3593</v>
      </c>
      <c r="B13" s="3449" t="s">
        <v>3392</v>
      </c>
      <c r="C13">
        <v>887.47</v>
      </c>
      <c r="D13">
        <v>5000</v>
      </c>
      <c r="E13">
        <f t="shared" si="0"/>
        <v>4437350</v>
      </c>
    </row>
    <row r="14" spans="1:9">
      <c r="B14" s="3449" t="s">
        <v>3393</v>
      </c>
      <c r="C14">
        <v>100</v>
      </c>
      <c r="D14">
        <v>160000</v>
      </c>
      <c r="E14">
        <f>D14*C14</f>
        <v>16000000</v>
      </c>
      <c r="I14">
        <f>160000*0.08</f>
        <v>12800</v>
      </c>
    </row>
    <row r="15" spans="1:9">
      <c r="B15" s="3449" t="s">
        <v>3394</v>
      </c>
      <c r="E15">
        <f>SUM(E12:E14)</f>
        <v>463560521</v>
      </c>
      <c r="F15">
        <f>E15*0.97</f>
        <v>449653705.37</v>
      </c>
      <c r="I15">
        <f>I14/12</f>
        <v>1066.6666666666667</v>
      </c>
    </row>
    <row r="16" spans="1:9">
      <c r="F16">
        <f>F15/23000</f>
        <v>19550.16110304348</v>
      </c>
      <c r="G16">
        <f>F15/C12</f>
        <v>22295.193835936687</v>
      </c>
      <c r="I16">
        <f>20000*0.25</f>
        <v>5000</v>
      </c>
    </row>
    <row r="18" spans="2:7">
      <c r="C18" s="3449" t="s">
        <v>3666</v>
      </c>
      <c r="D18" s="3449" t="s">
        <v>3667</v>
      </c>
      <c r="E18" s="3449" t="s">
        <v>3668</v>
      </c>
    </row>
    <row r="19" spans="2:7">
      <c r="B19" s="3449" t="s">
        <v>3663</v>
      </c>
      <c r="C19">
        <f>SUM(C3:C11)</f>
        <v>20168.190000000002</v>
      </c>
      <c r="D19">
        <f ca="1">ROUND(E19/C19*10000,0)</f>
        <v>21989</v>
      </c>
      <c r="E19">
        <f ca="1">结果表!G19-面积清单!E20-面积清单!E21</f>
        <v>44348</v>
      </c>
    </row>
    <row r="20" spans="2:7">
      <c r="B20" s="3449" t="s">
        <v>3664</v>
      </c>
      <c r="C20">
        <f>C13</f>
        <v>887.47</v>
      </c>
      <c r="D20">
        <f>'数据-取费表'!L7</f>
        <v>5000</v>
      </c>
      <c r="E20">
        <f>ROUND(D20*C20/10000,0)</f>
        <v>444</v>
      </c>
    </row>
    <row r="21" spans="2:7">
      <c r="B21" s="3449" t="s">
        <v>3665</v>
      </c>
      <c r="C21">
        <f>C14</f>
        <v>100</v>
      </c>
      <c r="D21">
        <f>'数据-取费表'!L8*'数据-取费表'!K8/100</f>
        <v>158999.99999999997</v>
      </c>
      <c r="E21">
        <f>ROUND(D21*C21/10000,0)</f>
        <v>1590</v>
      </c>
    </row>
    <row r="22" spans="2:7">
      <c r="D22">
        <f ca="1">ROUND(E22/'数据-汇总表'!E3*10000,0)</f>
        <v>19138</v>
      </c>
      <c r="E22">
        <f ca="1">SUM(E19:E21)</f>
        <v>46382</v>
      </c>
    </row>
    <row r="23" spans="2:7">
      <c r="D23" s="3449" t="s">
        <v>3706</v>
      </c>
      <c r="F23" s="3449" t="s">
        <v>3708</v>
      </c>
      <c r="G23" s="3449" t="s">
        <v>3707</v>
      </c>
    </row>
    <row r="24" spans="2:7">
      <c r="B24" s="3449" t="s">
        <v>3704</v>
      </c>
      <c r="C24">
        <f>C3</f>
        <v>1731.09</v>
      </c>
      <c r="D24">
        <f>'数据-取费表'!U20</f>
        <v>8</v>
      </c>
      <c r="E24">
        <f>D24*C24</f>
        <v>13848.72</v>
      </c>
      <c r="F24">
        <f ca="1">ROUND(E24/E26*E19,0)</f>
        <v>5329</v>
      </c>
      <c r="G24">
        <f ca="1">ROUND(F24/C24*10000,0)</f>
        <v>30784</v>
      </c>
    </row>
    <row r="25" spans="2:7">
      <c r="B25" s="3449" t="s">
        <v>3705</v>
      </c>
      <c r="C25">
        <f>SUM(C4:C11)</f>
        <v>18437.100000000002</v>
      </c>
      <c r="D25">
        <f>'数据-取费表'!U21</f>
        <v>5.5</v>
      </c>
      <c r="E25">
        <f>D25*C25</f>
        <v>101404.05000000002</v>
      </c>
      <c r="F25">
        <f ca="1">ROUND(E25/E26*E19,0)</f>
        <v>39019</v>
      </c>
      <c r="G25">
        <f ca="1">ROUND(F25/C25*10000,0)</f>
        <v>21163</v>
      </c>
    </row>
    <row r="26" spans="2:7">
      <c r="C26">
        <f>SUM(C24:C25)</f>
        <v>20168.190000000002</v>
      </c>
      <c r="E26">
        <f>SUM(E24:E25)</f>
        <v>115252.77000000002</v>
      </c>
      <c r="F26">
        <f ca="1">F24+F25</f>
        <v>44348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26"/>
  <sheetViews>
    <sheetView workbookViewId="0">
      <selection activeCell="F29" sqref="F29"/>
    </sheetView>
  </sheetViews>
  <sheetFormatPr defaultRowHeight="13.5"/>
  <cols>
    <col min="2" max="2" width="5.625" customWidth="1"/>
    <col min="3" max="3" width="21.25" customWidth="1"/>
    <col min="4" max="4" width="10.125" customWidth="1"/>
    <col min="5" max="5" width="8.5" customWidth="1"/>
    <col min="6" max="6" width="48.875" customWidth="1"/>
    <col min="7" max="7" width="15.125" customWidth="1"/>
  </cols>
  <sheetData>
    <row r="2" spans="2:7">
      <c r="B2" s="3466" t="s">
        <v>3609</v>
      </c>
      <c r="C2" s="3466" t="s">
        <v>3594</v>
      </c>
      <c r="D2" s="3466" t="s">
        <v>3595</v>
      </c>
      <c r="E2" s="3466" t="s">
        <v>3596</v>
      </c>
      <c r="F2" s="3466" t="s">
        <v>3598</v>
      </c>
      <c r="G2" s="3466" t="s">
        <v>3599</v>
      </c>
    </row>
    <row r="3" spans="2:7">
      <c r="B3" s="3559">
        <v>1</v>
      </c>
      <c r="C3" s="3566" t="s">
        <v>3601</v>
      </c>
      <c r="D3" s="3566" t="s">
        <v>3602</v>
      </c>
      <c r="E3" s="3466" t="s">
        <v>3597</v>
      </c>
      <c r="F3" s="3466" t="s">
        <v>3615</v>
      </c>
      <c r="G3" s="3466" t="s">
        <v>3603</v>
      </c>
    </row>
    <row r="4" spans="2:7">
      <c r="B4" s="3560"/>
      <c r="C4" s="3562"/>
      <c r="D4" s="3562"/>
      <c r="E4" s="3466" t="s">
        <v>3600</v>
      </c>
      <c r="F4" s="3466" t="s">
        <v>3616</v>
      </c>
      <c r="G4" s="3466" t="s">
        <v>3603</v>
      </c>
    </row>
    <row r="5" spans="2:7" ht="27">
      <c r="B5" s="3559">
        <v>2</v>
      </c>
      <c r="C5" s="3565" t="s">
        <v>3610</v>
      </c>
      <c r="D5" s="3562"/>
      <c r="E5" s="3466" t="s">
        <v>3600</v>
      </c>
      <c r="F5" s="3468" t="s">
        <v>3604</v>
      </c>
      <c r="G5" s="3466" t="s">
        <v>3608</v>
      </c>
    </row>
    <row r="6" spans="2:7">
      <c r="B6" s="3561"/>
      <c r="C6" s="3561"/>
      <c r="D6" s="3562"/>
      <c r="E6" s="3466" t="s">
        <v>3600</v>
      </c>
      <c r="F6" s="3468" t="s">
        <v>3611</v>
      </c>
      <c r="G6" s="3466" t="s">
        <v>3607</v>
      </c>
    </row>
    <row r="7" spans="2:7">
      <c r="B7" s="3561"/>
      <c r="C7" s="3561"/>
      <c r="D7" s="3562"/>
      <c r="E7" s="3466" t="s">
        <v>3597</v>
      </c>
      <c r="F7" s="3466" t="s">
        <v>3612</v>
      </c>
      <c r="G7" s="3466" t="s">
        <v>3607</v>
      </c>
    </row>
    <row r="8" spans="2:7">
      <c r="B8" s="3560"/>
      <c r="C8" s="3560"/>
      <c r="D8" s="3562"/>
      <c r="E8" s="3466" t="s">
        <v>3630</v>
      </c>
      <c r="F8" s="3466" t="s">
        <v>3645</v>
      </c>
      <c r="G8" s="3466" t="s">
        <v>3603</v>
      </c>
    </row>
    <row r="9" spans="2:7">
      <c r="B9" s="3467">
        <v>6</v>
      </c>
      <c r="C9" s="3466" t="s">
        <v>3613</v>
      </c>
      <c r="D9" s="3562"/>
      <c r="E9" s="3466" t="s">
        <v>3597</v>
      </c>
      <c r="F9" s="3466" t="s">
        <v>3614</v>
      </c>
      <c r="G9" s="3466" t="s">
        <v>3607</v>
      </c>
    </row>
    <row r="10" spans="2:7">
      <c r="B10" s="3467">
        <v>7</v>
      </c>
      <c r="C10" s="3466" t="s">
        <v>3605</v>
      </c>
      <c r="D10" s="3562"/>
      <c r="E10" s="3466" t="s">
        <v>3600</v>
      </c>
      <c r="F10" s="3468" t="s">
        <v>3606</v>
      </c>
      <c r="G10" s="3466" t="s">
        <v>3607</v>
      </c>
    </row>
    <row r="12" spans="2:7">
      <c r="B12" s="3449" t="s">
        <v>3622</v>
      </c>
    </row>
    <row r="13" spans="2:7">
      <c r="B13" s="3466" t="s">
        <v>3642</v>
      </c>
      <c r="C13" s="3466" t="s">
        <v>3623</v>
      </c>
      <c r="D13" s="3466" t="s">
        <v>3626</v>
      </c>
      <c r="E13" s="3466" t="s">
        <v>3627</v>
      </c>
      <c r="F13" s="3466" t="s">
        <v>3628</v>
      </c>
      <c r="G13" s="3466" t="s">
        <v>3643</v>
      </c>
    </row>
    <row r="14" spans="2:7" ht="27">
      <c r="B14" s="3562">
        <v>1</v>
      </c>
      <c r="C14" s="3568" t="s">
        <v>3624</v>
      </c>
      <c r="D14" s="3567" t="s">
        <v>3632</v>
      </c>
      <c r="E14" s="3466" t="s">
        <v>3625</v>
      </c>
      <c r="F14" s="3472" t="s">
        <v>3629</v>
      </c>
      <c r="G14" s="3563" t="s">
        <v>3644</v>
      </c>
    </row>
    <row r="15" spans="2:7">
      <c r="B15" s="3562"/>
      <c r="C15" s="3562"/>
      <c r="D15" s="3564"/>
      <c r="E15" s="3473" t="s">
        <v>3630</v>
      </c>
      <c r="F15" s="3473" t="s">
        <v>3631</v>
      </c>
      <c r="G15" s="3564"/>
    </row>
    <row r="16" spans="2:7">
      <c r="B16" s="3562">
        <v>2</v>
      </c>
      <c r="C16" s="3566" t="s">
        <v>3633</v>
      </c>
      <c r="D16" s="3564"/>
      <c r="E16" s="3473" t="s">
        <v>3625</v>
      </c>
      <c r="F16" s="3473" t="s">
        <v>3634</v>
      </c>
      <c r="G16" s="3564"/>
    </row>
    <row r="17" spans="2:7">
      <c r="B17" s="3562"/>
      <c r="C17" s="3562"/>
      <c r="D17" s="3564"/>
      <c r="E17" s="3473" t="s">
        <v>3635</v>
      </c>
      <c r="F17" s="3473" t="s">
        <v>3636</v>
      </c>
      <c r="G17" s="3564"/>
    </row>
    <row r="18" spans="2:7">
      <c r="B18" s="3562">
        <v>3</v>
      </c>
      <c r="C18" s="3566" t="s">
        <v>3637</v>
      </c>
      <c r="D18" s="3564"/>
      <c r="E18" s="3473" t="s">
        <v>3625</v>
      </c>
      <c r="F18" s="3473" t="s">
        <v>3638</v>
      </c>
      <c r="G18" s="3564"/>
    </row>
    <row r="19" spans="2:7">
      <c r="B19" s="3562"/>
      <c r="C19" s="3562"/>
      <c r="D19" s="3564"/>
      <c r="E19" s="3473" t="s">
        <v>3630</v>
      </c>
      <c r="F19" s="3473" t="s">
        <v>3641</v>
      </c>
      <c r="G19" s="3564"/>
    </row>
    <row r="20" spans="2:7">
      <c r="B20" s="3467">
        <v>4</v>
      </c>
      <c r="C20" s="3466" t="s">
        <v>3639</v>
      </c>
      <c r="D20" s="3564"/>
      <c r="E20" s="3473" t="s">
        <v>3625</v>
      </c>
      <c r="F20" s="3473" t="s">
        <v>3640</v>
      </c>
      <c r="G20" s="3564"/>
    </row>
    <row r="22" spans="2:7">
      <c r="B22" s="3449" t="s">
        <v>3653</v>
      </c>
    </row>
    <row r="23" spans="2:7">
      <c r="B23" s="3466" t="s">
        <v>3609</v>
      </c>
      <c r="C23" s="3466" t="s">
        <v>3594</v>
      </c>
      <c r="D23" s="3466" t="s">
        <v>3595</v>
      </c>
      <c r="E23" s="3466" t="s">
        <v>3596</v>
      </c>
      <c r="F23" s="3466" t="s">
        <v>3598</v>
      </c>
      <c r="G23" s="3466" t="s">
        <v>3599</v>
      </c>
    </row>
    <row r="24" spans="2:7">
      <c r="B24" s="3467">
        <v>1</v>
      </c>
      <c r="C24" s="3466" t="s">
        <v>3654</v>
      </c>
      <c r="D24" s="3466" t="s">
        <v>3657</v>
      </c>
      <c r="E24" s="3473" t="s">
        <v>3655</v>
      </c>
      <c r="F24" s="3473" t="s">
        <v>3656</v>
      </c>
      <c r="G24" s="3473" t="s">
        <v>3658</v>
      </c>
    </row>
    <row r="25" spans="2:7">
      <c r="B25" s="3467">
        <v>2</v>
      </c>
      <c r="C25" s="3473" t="s">
        <v>3659</v>
      </c>
      <c r="D25" s="3466" t="s">
        <v>3660</v>
      </c>
      <c r="E25" s="3473" t="s">
        <v>3655</v>
      </c>
      <c r="F25" s="3473" t="s">
        <v>3656</v>
      </c>
      <c r="G25" s="3467"/>
    </row>
    <row r="26" spans="2:7">
      <c r="B26" s="3467">
        <v>3</v>
      </c>
      <c r="C26" s="3473" t="s">
        <v>3661</v>
      </c>
      <c r="D26" s="3466" t="s">
        <v>3657</v>
      </c>
      <c r="E26" s="3473" t="s">
        <v>3655</v>
      </c>
      <c r="F26" s="3473" t="s">
        <v>3662</v>
      </c>
      <c r="G26" s="3467"/>
    </row>
  </sheetData>
  <mergeCells count="13">
    <mergeCell ref="G14:G20"/>
    <mergeCell ref="C5:C8"/>
    <mergeCell ref="C3:C4"/>
    <mergeCell ref="D3:D10"/>
    <mergeCell ref="D14:D20"/>
    <mergeCell ref="C14:C15"/>
    <mergeCell ref="C16:C17"/>
    <mergeCell ref="C18:C19"/>
    <mergeCell ref="B3:B4"/>
    <mergeCell ref="B5:B8"/>
    <mergeCell ref="B14:B15"/>
    <mergeCell ref="B16:B17"/>
    <mergeCell ref="B18:B19"/>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ROUND(45978.24*I13/105749.4,2)</f>
        <v>8768.82</v>
      </c>
      <c r="B3" s="11">
        <f>IF(C3="否",G5-AT5,G5)</f>
        <v>24235.660000000003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24235.660000000003</v>
      </c>
      <c r="H5" s="13">
        <f t="shared" ref="H5:AT5" si="0">SUM(H13:H656)</f>
        <v>24235.660000000003</v>
      </c>
      <c r="I5" s="13">
        <f t="shared" si="0"/>
        <v>20168.190000000002</v>
      </c>
      <c r="J5" s="13">
        <f t="shared" si="0"/>
        <v>0</v>
      </c>
      <c r="K5" s="13">
        <f t="shared" si="0"/>
        <v>887.47</v>
      </c>
      <c r="L5" s="13">
        <f t="shared" si="0"/>
        <v>0</v>
      </c>
      <c r="M5" s="13">
        <f t="shared" si="0"/>
        <v>3179.9999999999995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24235.660000000003</v>
      </c>
      <c r="BA5" s="15">
        <f t="shared" si="1"/>
        <v>24235.660000000003</v>
      </c>
      <c r="BB5" s="15">
        <f t="shared" si="1"/>
        <v>20168.190000000002</v>
      </c>
      <c r="BC5" s="15">
        <f t="shared" si="1"/>
        <v>887.47</v>
      </c>
      <c r="BD5" s="15">
        <f t="shared" si="1"/>
        <v>3179.9999999999995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8768.82</v>
      </c>
      <c r="F6" s="13" t="s">
        <v>0</v>
      </c>
      <c r="G6" s="13" t="s">
        <v>1</v>
      </c>
      <c r="H6" s="17">
        <f>SUMIF(I$12:AB$12,"总值",I6:AB6)</f>
        <v>8768.82</v>
      </c>
      <c r="I6" s="13">
        <f t="shared" ref="I6:AB6" si="2">ROUND($A$3*I5/$B$3,2)</f>
        <v>7297.15</v>
      </c>
      <c r="J6" s="13">
        <f t="shared" si="2"/>
        <v>0</v>
      </c>
      <c r="K6" s="13">
        <f t="shared" si="2"/>
        <v>321.10000000000002</v>
      </c>
      <c r="L6" s="13">
        <f t="shared" si="2"/>
        <v>0</v>
      </c>
      <c r="M6" s="13">
        <f t="shared" si="2"/>
        <v>1150.57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8768.82</v>
      </c>
      <c r="AZ6" s="13" t="s">
        <v>2</v>
      </c>
      <c r="BA6" s="13">
        <f>ROUND($AY$6*BA5/$AZ$5,2)</f>
        <v>8768.82</v>
      </c>
      <c r="BB6" s="13">
        <f>ROUND($AY$6*BB5/$AZ$5,2)</f>
        <v>7297.15</v>
      </c>
      <c r="BC6" s="13">
        <f t="shared" ref="BC6:BH6" si="4">ROUND($AY$6*BC5/$AZ$5,2)</f>
        <v>321.10000000000002</v>
      </c>
      <c r="BD6" s="13">
        <f t="shared" si="4"/>
        <v>1150.57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t="s">
        <v>3572</v>
      </c>
      <c r="L9" s="809"/>
      <c r="M9" s="1602" t="s">
        <v>3572</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3340</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3395</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3396</v>
      </c>
      <c r="E13" s="13">
        <f>IF($C$3="是",ROUND($A$3*G13/$B$3,2),ROUND($A$3*(G13-AT13)/$B$3,2))</f>
        <v>8768.82</v>
      </c>
      <c r="F13" s="29"/>
      <c r="G13" s="30">
        <f>H13+AC13+AT13</f>
        <v>24235.660000000003</v>
      </c>
      <c r="H13" s="17">
        <f>SUMIF(I$12:AB$12,"总值",I13:AB13)</f>
        <v>24235.660000000003</v>
      </c>
      <c r="I13" s="1625">
        <f>面积清单!C12</f>
        <v>20168.190000000002</v>
      </c>
      <c r="J13" s="1625"/>
      <c r="K13" s="1625">
        <f>面积清单!C13</f>
        <v>887.47</v>
      </c>
      <c r="L13" s="1625"/>
      <c r="M13" s="3462">
        <f>5.3*2.4/0.4*100</f>
        <v>3179.9999999999995</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8768.82</v>
      </c>
      <c r="AZ13" s="13">
        <f>BA13+BL13</f>
        <v>24235.660000000003</v>
      </c>
      <c r="BA13" s="13">
        <f>SUM(BB13:BK13)</f>
        <v>24235.660000000003</v>
      </c>
      <c r="BB13" s="13">
        <f>IF($D13="是",I13-J13,0)</f>
        <v>20168.190000000002</v>
      </c>
      <c r="BC13" s="13">
        <f>IF($D13="是",K13-L13,0)</f>
        <v>887.47</v>
      </c>
      <c r="BD13" s="13">
        <f>IF($D13="是",M13-N13,0)</f>
        <v>3179.9999999999995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8" t="s">
        <v>1131</v>
      </c>
      <c r="B2" s="3578"/>
      <c r="C2" s="3578"/>
      <c r="D2" s="796" t="s">
        <v>1107</v>
      </c>
      <c r="E2" s="1638" t="s">
        <v>1108</v>
      </c>
      <c r="F2" s="2657"/>
      <c r="G2" s="2648"/>
      <c r="H2" s="2649"/>
      <c r="I2" s="2324" t="s">
        <v>1132</v>
      </c>
      <c r="J2" s="2657"/>
      <c r="K2" s="2657"/>
      <c r="L2" s="2657"/>
      <c r="M2" s="2657"/>
      <c r="N2" s="2659"/>
      <c r="O2" s="2657"/>
      <c r="P2" s="2657"/>
    </row>
    <row r="3" spans="1:16" ht="15.75" thickBot="1">
      <c r="A3" s="3579" t="s">
        <v>1105</v>
      </c>
      <c r="B3" s="3579"/>
      <c r="C3" s="3579"/>
      <c r="D3" s="43">
        <f>'数据-基础表'!AY6</f>
        <v>8768.82</v>
      </c>
      <c r="E3" s="43">
        <f>'数据-基础表'!AZ5</f>
        <v>24235.660000000003</v>
      </c>
      <c r="F3" s="2657"/>
      <c r="G3" s="1145"/>
      <c r="H3" s="1026" t="s">
        <v>1106</v>
      </c>
      <c r="I3" s="855">
        <f>ROUND('数据-基础表'!B3/'数据-基础表'!A3,2)</f>
        <v>2.76</v>
      </c>
      <c r="J3" s="2657"/>
      <c r="K3" s="2657"/>
      <c r="L3" s="2657"/>
      <c r="M3" s="2657"/>
      <c r="N3" s="2659"/>
      <c r="O3" s="2657"/>
      <c r="P3" s="2657"/>
    </row>
    <row r="4" spans="1:16" ht="15">
      <c r="A4" s="3580"/>
      <c r="B4" s="3581"/>
      <c r="C4" s="3582"/>
      <c r="D4" s="1640" t="s">
        <v>1107</v>
      </c>
      <c r="E4" s="1641" t="s">
        <v>1108</v>
      </c>
      <c r="F4" s="2657"/>
      <c r="G4" s="2650" t="s">
        <v>1133</v>
      </c>
      <c r="H4" s="1026" t="s">
        <v>1113</v>
      </c>
      <c r="I4" s="855">
        <f>ROUND(SUMIF('数据-基础表'!I9:AS9,"地上",'数据-基础表'!I5:AS5)/'数据-基础表'!A3,2)</f>
        <v>2.2999999999999998</v>
      </c>
      <c r="J4" s="2657"/>
      <c r="K4" s="2657"/>
      <c r="L4" s="2657"/>
      <c r="M4" s="2657"/>
      <c r="N4" s="2659"/>
      <c r="O4" s="2657"/>
      <c r="P4" s="2657"/>
    </row>
    <row r="5" spans="1:16">
      <c r="A5" s="44" t="s">
        <v>1109</v>
      </c>
      <c r="B5" s="3583" t="s">
        <v>1110</v>
      </c>
      <c r="C5" s="3583"/>
      <c r="D5" s="45">
        <f>ROUND($D$3*E5/$E$3,2)</f>
        <v>0</v>
      </c>
      <c r="E5" s="46">
        <f>SUMIF('数据-基础表'!$11:$11,"住宅",'数据-基础表'!$5:$5)</f>
        <v>0</v>
      </c>
      <c r="F5" s="2657"/>
      <c r="G5" s="1145"/>
      <c r="H5" s="1026" t="s">
        <v>1106</v>
      </c>
      <c r="I5" s="855">
        <f>ROUND(E31/D31,2)</f>
        <v>2.76</v>
      </c>
      <c r="J5" s="2657"/>
      <c r="K5" s="2657"/>
      <c r="L5" s="2657"/>
      <c r="M5" s="2657"/>
      <c r="N5" s="2657"/>
      <c r="O5" s="2657"/>
      <c r="P5" s="2657"/>
    </row>
    <row r="6" spans="1:16" ht="15" thickBot="1">
      <c r="A6" s="1643"/>
      <c r="B6" s="3583" t="s">
        <v>1111</v>
      </c>
      <c r="C6" s="3583"/>
      <c r="D6" s="45">
        <f>ROUND($D$3*E6/$E$3,2)</f>
        <v>8768.82</v>
      </c>
      <c r="E6" s="46">
        <f>E3-E5</f>
        <v>24235.660000000003</v>
      </c>
      <c r="F6" s="2657"/>
      <c r="G6" s="2651" t="s">
        <v>1112</v>
      </c>
      <c r="H6" s="1146" t="s">
        <v>1113</v>
      </c>
      <c r="I6" s="2652">
        <f>ROUND(F31/D31,2)</f>
        <v>2.2999999999999998</v>
      </c>
      <c r="J6" s="2657"/>
      <c r="K6" s="2657"/>
      <c r="L6" s="2657"/>
      <c r="M6" s="2657"/>
      <c r="N6" s="2657"/>
      <c r="O6" s="2657"/>
      <c r="P6" s="2657"/>
    </row>
    <row r="7" spans="1:16" ht="15.75" thickBot="1">
      <c r="A7" s="3575"/>
      <c r="B7" s="3576"/>
      <c r="C7" s="3577"/>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7297.15</v>
      </c>
      <c r="E8" s="48">
        <f>SUMIF('数据-基础表'!BB10:BK10,"地上",'数据-基础表'!BB5:BK5)</f>
        <v>20168.190000000002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321.10000000000002</v>
      </c>
      <c r="E11" s="48">
        <f>SUMPRODUCT(('数据-基础表'!BB10:BK10="地下")*('数据-基础表'!BB11:BK11="办公")*('数据-基础表'!BB5:BK5))+'数据-基础表'!BP5</f>
        <v>887.47</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1150.57</v>
      </c>
      <c r="E13" s="48">
        <f>SUMPRODUCT(('数据-基础表'!BB10:BK10="地下")*('数据-基础表'!BB11:BK11="车库")*('数据-基础表'!BB5:BK5))</f>
        <v>3179.9999999999995</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8768.82</v>
      </c>
      <c r="E16" s="50">
        <f>SUM(E8:E15)</f>
        <v>24235.660000000003</v>
      </c>
      <c r="F16" s="2657"/>
      <c r="G16" s="2658"/>
      <c r="H16" s="1647" t="s">
        <v>1135</v>
      </c>
      <c r="I16" s="1648"/>
      <c r="J16" s="1139"/>
      <c r="K16" s="3572" t="s">
        <v>1135</v>
      </c>
      <c r="L16" s="3573"/>
      <c r="M16" s="3573"/>
      <c r="N16" s="3573"/>
      <c r="O16" s="3573"/>
      <c r="P16" s="3574"/>
    </row>
    <row r="17" spans="1:19" ht="15">
      <c r="A17" s="1649" t="s">
        <v>1136</v>
      </c>
      <c r="B17" s="1650" t="s">
        <v>1137</v>
      </c>
      <c r="C17" s="1651" t="s">
        <v>1138</v>
      </c>
      <c r="D17" s="1652" t="s">
        <v>1126</v>
      </c>
      <c r="E17" s="1653" t="s">
        <v>1127</v>
      </c>
      <c r="F17" s="1654"/>
      <c r="G17" s="1655"/>
      <c r="H17" s="1656" t="s">
        <v>1139</v>
      </c>
      <c r="I17" s="1657" t="s">
        <v>1124</v>
      </c>
      <c r="J17" s="1139"/>
      <c r="K17" s="3569" t="s">
        <v>1140</v>
      </c>
      <c r="L17" s="3570"/>
      <c r="M17" s="3571"/>
      <c r="N17" s="3569" t="s">
        <v>1141</v>
      </c>
      <c r="O17" s="3570"/>
      <c r="P17" s="357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3397</v>
      </c>
      <c r="D19" s="45">
        <f>ROUND($D$3*E19/$E$3,2)</f>
        <v>7297.15</v>
      </c>
      <c r="E19" s="53">
        <f t="shared" ref="E19:E26" si="1">SUM(F19:G19)</f>
        <v>20168.190000000002</v>
      </c>
      <c r="F19" s="2792">
        <f>'数据-基础表'!I13</f>
        <v>20168.190000000002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7297.15</v>
      </c>
      <c r="S19" s="1027">
        <f t="shared" si="5"/>
        <v>20168.190000000002</v>
      </c>
    </row>
    <row r="20" spans="1:19">
      <c r="A20" s="1669"/>
      <c r="B20" s="47" t="s">
        <v>1153</v>
      </c>
      <c r="C20" s="3414" t="s">
        <v>3574</v>
      </c>
      <c r="D20" s="45">
        <f t="shared" ref="D20:D26" si="6">ROUND($D$3*E20/$E$3,2)</f>
        <v>321.10000000000002</v>
      </c>
      <c r="E20" s="53">
        <f t="shared" si="1"/>
        <v>887.47</v>
      </c>
      <c r="F20" s="2792"/>
      <c r="G20" s="2793">
        <f>'数据-基础表'!K13</f>
        <v>887.47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321.10000000000002</v>
      </c>
      <c r="S20" s="1027">
        <f t="shared" si="5"/>
        <v>887.47</v>
      </c>
    </row>
    <row r="21" spans="1:19">
      <c r="A21" s="1669"/>
      <c r="B21" s="47" t="s">
        <v>1153</v>
      </c>
      <c r="C21" s="3414" t="s">
        <v>3575</v>
      </c>
      <c r="D21" s="45">
        <f t="shared" si="6"/>
        <v>1150.57</v>
      </c>
      <c r="E21" s="53">
        <f t="shared" si="1"/>
        <v>3179.9999999999995</v>
      </c>
      <c r="F21" s="2792"/>
      <c r="G21" s="2793">
        <f>'数据-基础表'!M13</f>
        <v>3179.9999999999995</v>
      </c>
      <c r="H21" s="670">
        <f t="shared" si="7"/>
        <v>0</v>
      </c>
      <c r="I21" s="48">
        <f t="shared" si="2"/>
        <v>0</v>
      </c>
      <c r="J21" s="1139"/>
      <c r="K21" s="1138">
        <f t="shared" si="3"/>
        <v>0</v>
      </c>
      <c r="L21" s="1026">
        <f t="shared" si="4"/>
        <v>0</v>
      </c>
      <c r="M21" s="1150">
        <f t="shared" si="8"/>
        <v>0</v>
      </c>
      <c r="N21" s="1667"/>
      <c r="O21" s="1668"/>
      <c r="P21" s="1150">
        <f t="shared" si="9"/>
        <v>0</v>
      </c>
      <c r="R21" s="1026">
        <f t="shared" si="5"/>
        <v>1150.57</v>
      </c>
      <c r="S21" s="1027">
        <f t="shared" si="5"/>
        <v>3179.9999999999995</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8768.82</v>
      </c>
      <c r="E27" s="1141">
        <f>IF(SUM(E19:E26)='数据-基础表'!BA5,SUM(E19:E26),IF(F27="地上面积有误","面积有误","地下面积有误"))</f>
        <v>24235.660000000003</v>
      </c>
      <c r="F27" s="1140">
        <f>IF(SUM(F19:F26)=E8,SUM(F19:F26),"地上面积有误")</f>
        <v>20168.190000000002</v>
      </c>
      <c r="G27" s="1142">
        <f>SUM(G19:G26)</f>
        <v>4067.4699999999993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8768.82</v>
      </c>
      <c r="S27" s="1026">
        <f>IF(SUM(S19:S26)=$E$3,SUM(S19:S26),SUM(S19:S26)&amp;"误差"&amp;ROUND(SUM(S19:S26)-E3,2))</f>
        <v>24235.660000000003</v>
      </c>
    </row>
    <row r="28" spans="1:19">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1158</v>
      </c>
      <c r="D31" s="676">
        <f>D27+D30</f>
        <v>8768.82</v>
      </c>
      <c r="E31" s="676">
        <f>E27+E30</f>
        <v>24235.660000000003</v>
      </c>
      <c r="F31" s="677">
        <f>F27+F30</f>
        <v>20168.190000000002</v>
      </c>
      <c r="G31" s="678">
        <f>G27+G30</f>
        <v>4067.4699999999993</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2.25" style="1681" customWidth="1"/>
    <col min="22" max="22" width="8.375" style="1681" customWidth="1"/>
    <col min="23" max="24" width="6.75" style="1681" customWidth="1"/>
    <col min="25" max="25" width="8.375" style="1681" customWidth="1"/>
    <col min="26" max="30" width="6.75" style="1681" customWidth="1"/>
    <col min="31" max="31" width="8" style="1681" customWidth="1"/>
    <col min="32" max="34" width="7.25" style="1681" customWidth="1"/>
    <col min="35" max="39" width="8" style="1681" customWidth="1"/>
    <col min="40" max="40" width="17.125" style="1680" customWidth="1"/>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45033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40</v>
      </c>
      <c r="E6" s="857">
        <f>IF(B6="","",SUMIF(项目基本情况!C$12:I$12,C6,项目基本情况!C$13:I$13))</f>
        <v>58921</v>
      </c>
      <c r="F6" s="64">
        <f>SUMIF(项目基本情况!C$12:I$12,C6,项目基本情况!C$15:I$15)</f>
        <v>38.04</v>
      </c>
      <c r="G6" s="65">
        <f>IF(ISERROR(ROUND(POWER(1+H6,D6-F6)*(POWER(1+H6,F6)-1)/(POWER(1+H6,D6)-1),3)),0,ROUND(POWER(1+H6,D6-F6)*(POWER(1+H6,F6)-1)/(POWER(1+H6,D6)-1),3))</f>
        <v>0.98299999999999998</v>
      </c>
      <c r="H6" s="732">
        <v>0.05</v>
      </c>
      <c r="I6" s="732">
        <v>6.5000000000000002E-2</v>
      </c>
      <c r="J6" s="66">
        <v>7.4999999999999997E-2</v>
      </c>
      <c r="K6" s="1030">
        <f>SUMIF('数据-汇总表'!C$19:C$33,A6,'数据-汇总表'!E$19:E$33)</f>
        <v>20168.190000000002</v>
      </c>
      <c r="L6" s="733">
        <v>6500</v>
      </c>
      <c r="M6" s="67">
        <f t="shared" ref="M6:M14" si="0">ROUND(K6*L6/10000,0)</f>
        <v>13109</v>
      </c>
      <c r="N6" s="731">
        <v>1</v>
      </c>
      <c r="O6" s="67" t="str">
        <f>IF($N$5="成新度","——",ROUND(M6*N6,0))</f>
        <v>——</v>
      </c>
      <c r="P6" s="68" t="str">
        <f>IF($N$5="成新度","——",M6-O6)</f>
        <v>——</v>
      </c>
      <c r="Q6" s="734">
        <v>0.2</v>
      </c>
      <c r="R6" s="69">
        <f ca="1">SUMIF('数据-汇总表'!C$19:C$33,A6,'数据-汇总表'!R$19:R$27)</f>
        <v>7297.15</v>
      </c>
      <c r="S6" s="51">
        <f>IF('数据-汇总表'!$I$17="按面积比例",SUMIF('数据-汇总表'!C$19:C$33,A6,'数据-汇总表'!K$19:K$33),SUMIF('数据-汇总表'!C$19:C$33,A6,'数据-汇总表'!N$19:N$33))</f>
        <v>0</v>
      </c>
      <c r="T6" s="1172">
        <f>ROUND($L$14*S6/10000,0)</f>
        <v>0</v>
      </c>
      <c r="U6" s="3477">
        <f>V32*10000</f>
        <v>43230000</v>
      </c>
      <c r="V6" s="70">
        <v>0.02</v>
      </c>
      <c r="W6" s="70">
        <v>0.15</v>
      </c>
      <c r="X6" s="1040"/>
      <c r="Y6" s="71">
        <f>N6</f>
        <v>1</v>
      </c>
      <c r="Z6" s="72"/>
      <c r="AA6" s="66"/>
      <c r="AB6" s="66"/>
      <c r="AC6" s="1040"/>
      <c r="AD6" s="73"/>
      <c r="AE6" s="1041">
        <f ca="1">IF(AN6="",0,SUMIF(INDIRECT("'"&amp;AN6&amp;"'"&amp;"!E:E"),$AE$5,INDIRECT("'"&amp;AN6&amp;"'"&amp;"!F:F")))</f>
        <v>38.04</v>
      </c>
      <c r="AF6" s="1347"/>
      <c r="AG6" s="138">
        <f>IF(AF6="",0,AE6-AF6)</f>
        <v>0</v>
      </c>
      <c r="AH6" s="74">
        <v>1</v>
      </c>
      <c r="AI6" s="76">
        <v>1</v>
      </c>
      <c r="AJ6" s="77"/>
      <c r="AK6" s="78">
        <v>5.0000000000000001E-3</v>
      </c>
      <c r="AL6" s="79">
        <v>1E-3</v>
      </c>
      <c r="AM6" s="80">
        <v>0.01</v>
      </c>
      <c r="AN6" s="1714" t="s">
        <v>3400</v>
      </c>
      <c r="AO6" s="52">
        <f ca="1">SUMIF(INDIRECT("'"&amp;AN6&amp;"'"&amp;"!A:A"),"总价",INDIRECT("'"&amp;AN6&amp;"'"&amp;"!B:B"))</f>
        <v>52293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地下1层</v>
      </c>
      <c r="B7" s="1712" t="str">
        <f t="shared" ref="B7:B13" si="1">IF(A7=0,"","经营性")</f>
        <v>经营性</v>
      </c>
      <c r="C7" s="1713" t="s">
        <v>21</v>
      </c>
      <c r="D7" s="858">
        <f>SUMIF(项目基本情况!C$12:I$12,C7,项目基本情况!C$14:I$14)</f>
        <v>40</v>
      </c>
      <c r="E7" s="857">
        <f>IF(B7="","",SUMIF(项目基本情况!C$12:I$12,C7,项目基本情况!C$13:I$13))</f>
        <v>58921</v>
      </c>
      <c r="F7" s="64">
        <f>SUMIF(项目基本情况!C$12:I$12,C7,项目基本情况!C$15:I$15)</f>
        <v>38.04</v>
      </c>
      <c r="G7" s="65">
        <f t="shared" ref="G7:G11" si="2">IF(ISERROR(ROUND(POWER(1+H7,D7-F7)*(POWER(1+H7,F7)-1)/(POWER(1+H7,D7)-1),3)),0,ROUND(POWER(1+H7,D7-F7)*(POWER(1+H7,F7)-1)/(POWER(1+H7,D7)-1),3))</f>
        <v>0.98299999999999998</v>
      </c>
      <c r="H7" s="3475">
        <v>0.05</v>
      </c>
      <c r="I7" s="3475">
        <f>I6</f>
        <v>6.5000000000000002E-2</v>
      </c>
      <c r="J7" s="3476">
        <f>J6</f>
        <v>7.4999999999999997E-2</v>
      </c>
      <c r="K7" s="1030">
        <f>SUMIF('数据-汇总表'!C$19:C$33,A7,'数据-汇总表'!E$19:E$33)</f>
        <v>887.47</v>
      </c>
      <c r="L7" s="733">
        <v>5000</v>
      </c>
      <c r="M7" s="67">
        <f t="shared" si="0"/>
        <v>444</v>
      </c>
      <c r="N7" s="731">
        <f>N6</f>
        <v>1</v>
      </c>
      <c r="O7" s="67" t="str">
        <f t="shared" ref="O7:O14" si="3">IF($N$5="成新度","——",ROUND(M7*N7,0))</f>
        <v>——</v>
      </c>
      <c r="P7" s="68" t="str">
        <f t="shared" ref="P7:P14" si="4">IF($N$5="成新度","——",M7-O7)</f>
        <v>——</v>
      </c>
      <c r="Q7" s="734">
        <v>0.2</v>
      </c>
      <c r="R7" s="69">
        <f ca="1">SUMIF('数据-汇总表'!C$19:C$33,A7,'数据-汇总表'!R$19:R$27)</f>
        <v>321.10000000000002</v>
      </c>
      <c r="S7" s="51">
        <f>IF('数据-汇总表'!$I$17="按面积比例",SUMIF('数据-汇总表'!C$19:C$33,A7,'数据-汇总表'!K$19:K$33),SUMIF('数据-汇总表'!C$19:C$33,A7,'数据-汇总表'!N$19:N$33))</f>
        <v>0</v>
      </c>
      <c r="T7" s="1172">
        <f t="shared" ref="T7:T13" si="5">ROUND($L$14*S7/10000,0)</f>
        <v>0</v>
      </c>
      <c r="U7" s="3425">
        <v>1.7</v>
      </c>
      <c r="V7" s="70">
        <v>0.02</v>
      </c>
      <c r="W7" s="70">
        <v>0.15</v>
      </c>
      <c r="X7" s="1040"/>
      <c r="Y7" s="71">
        <f>N7</f>
        <v>1</v>
      </c>
      <c r="Z7" s="72"/>
      <c r="AA7" s="66"/>
      <c r="AB7" s="66"/>
      <c r="AC7" s="1040"/>
      <c r="AD7" s="73"/>
      <c r="AE7" s="1041">
        <f t="shared" ref="AE7:AE13" ca="1" si="6">IF(AN7="",0,SUMIF(INDIRECT("'"&amp;AN7&amp;"'"&amp;"!E:E"),$AE$5,INDIRECT("'"&amp;AN7&amp;"'"&amp;"!F:F")))</f>
        <v>38.04</v>
      </c>
      <c r="AF7" s="1347"/>
      <c r="AG7" s="138">
        <f t="shared" ref="AG7:AG13" si="7">IF(AF7="",0,AE7-AF7)</f>
        <v>0</v>
      </c>
      <c r="AH7" s="74"/>
      <c r="AI7" s="76">
        <v>365</v>
      </c>
      <c r="AJ7" s="77"/>
      <c r="AK7" s="78">
        <v>0.01</v>
      </c>
      <c r="AL7" s="79">
        <v>1.5E-3</v>
      </c>
      <c r="AM7" s="80">
        <v>0.01</v>
      </c>
      <c r="AN7" s="1714" t="s">
        <v>3576</v>
      </c>
      <c r="AO7" s="52">
        <f t="shared" ref="AO7:AO13" ca="1" si="8">SUMIF(INDIRECT("'"&amp;AN7&amp;"'"&amp;"!A:A"),"总价",INDIRECT("'"&amp;AN7&amp;"'"&amp;"!B:B"))</f>
        <v>571</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t="s">
        <v>3340</v>
      </c>
      <c r="D8" s="858">
        <f>SUMIF(项目基本情况!C$12:I$12,C8,项目基本情况!C$14:I$14)</f>
        <v>50</v>
      </c>
      <c r="E8" s="857">
        <f>IF(B8="","",SUMIF(项目基本情况!C$12:I$12,C8,项目基本情况!C$13:I$13))</f>
        <v>62573</v>
      </c>
      <c r="F8" s="64">
        <f>SUMIF(项目基本情况!C$12:I$12,C8,项目基本情况!C$15:I$15)</f>
        <v>48.05</v>
      </c>
      <c r="G8" s="65">
        <f t="shared" si="2"/>
        <v>0.99</v>
      </c>
      <c r="H8" s="3475">
        <v>0.05</v>
      </c>
      <c r="I8" s="3475">
        <f>I6</f>
        <v>6.5000000000000002E-2</v>
      </c>
      <c r="J8" s="3476">
        <f>J6</f>
        <v>7.4999999999999997E-2</v>
      </c>
      <c r="K8" s="1030">
        <f>SUMIF('数据-汇总表'!C$19:C$33,A8,'数据-汇总表'!E$19:E$33)</f>
        <v>3179.9999999999995</v>
      </c>
      <c r="L8" s="733">
        <v>5000</v>
      </c>
      <c r="M8" s="67">
        <f>ROUND(K8*L8/10000,0)</f>
        <v>1590</v>
      </c>
      <c r="N8" s="731">
        <f>N6</f>
        <v>1</v>
      </c>
      <c r="O8" s="67" t="str">
        <f t="shared" si="3"/>
        <v>——</v>
      </c>
      <c r="P8" s="68" t="str">
        <f t="shared" si="4"/>
        <v>——</v>
      </c>
      <c r="Q8" s="734">
        <v>0.2</v>
      </c>
      <c r="R8" s="69">
        <f ca="1">SUMIF('数据-汇总表'!C$19:C$33,A8,'数据-汇总表'!R$19:R$27)</f>
        <v>1150.57</v>
      </c>
      <c r="S8" s="51">
        <f>IF('数据-汇总表'!$I$17="按面积比例",SUMIF('数据-汇总表'!C$19:C$33,A8,'数据-汇总表'!K$19:K$33),SUMIF('数据-汇总表'!C$19:C$33,A8,'数据-汇总表'!N$19:N$33))</f>
        <v>0</v>
      </c>
      <c r="T8" s="1172">
        <f t="shared" si="5"/>
        <v>0</v>
      </c>
      <c r="U8" s="3426">
        <v>600</v>
      </c>
      <c r="V8" s="735">
        <v>0.02</v>
      </c>
      <c r="W8" s="735">
        <v>0.15</v>
      </c>
      <c r="X8" s="1040"/>
      <c r="Y8" s="71">
        <f>N8</f>
        <v>1</v>
      </c>
      <c r="Z8" s="72"/>
      <c r="AA8" s="66"/>
      <c r="AB8" s="66"/>
      <c r="AC8" s="1040"/>
      <c r="AD8" s="73"/>
      <c r="AE8" s="1041">
        <f t="shared" ca="1" si="6"/>
        <v>48.05</v>
      </c>
      <c r="AF8" s="1347"/>
      <c r="AG8" s="138">
        <f t="shared" si="7"/>
        <v>0</v>
      </c>
      <c r="AH8" s="736">
        <v>100</v>
      </c>
      <c r="AI8" s="76">
        <v>12</v>
      </c>
      <c r="AJ8" s="77"/>
      <c r="AK8" s="737">
        <v>0.01</v>
      </c>
      <c r="AL8" s="738">
        <v>1.5E-3</v>
      </c>
      <c r="AM8" s="739">
        <v>0.01</v>
      </c>
      <c r="AN8" s="1714" t="s">
        <v>3578</v>
      </c>
      <c r="AO8" s="52">
        <f t="shared" ca="1" si="8"/>
        <v>451</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0.98399999999999999</v>
      </c>
      <c r="H16" s="90">
        <f>ROUND(SUMPRODUCT(H6:H13,K6:K13)/SUMPRODUCT((H6:H13&gt;0)*(K6:K13)),3)</f>
        <v>0.05</v>
      </c>
      <c r="I16" s="91"/>
      <c r="J16" s="91"/>
      <c r="K16" s="92">
        <f>SUM(K6:K15)</f>
        <v>24235.660000000003</v>
      </c>
      <c r="L16" s="93">
        <f>ROUND(M16*10000/SUM(K6:K14),0)</f>
        <v>6248</v>
      </c>
      <c r="M16" s="93">
        <f>SUM(M6:M14)</f>
        <v>15143</v>
      </c>
      <c r="N16" s="94">
        <f>ROUND(SUMPRODUCT(M6:M14,N6:N14)/M16,3)</f>
        <v>1</v>
      </c>
      <c r="O16" s="93">
        <f>SUM(O6:O14)</f>
        <v>0</v>
      </c>
      <c r="P16" s="93">
        <f>SUM(P6:P14)</f>
        <v>0</v>
      </c>
      <c r="Q16" s="95">
        <f>ROUND(SUMPRODUCT(Q6:Q13,K6:K13)/SUMPRODUCT((Q6:Q13&gt;0)*(K6:K13)),2)</f>
        <v>0.2</v>
      </c>
      <c r="R16" s="1034">
        <f ca="1">SUM(R6:R13)</f>
        <v>8768.82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t="s">
        <v>3621</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2668"/>
      <c r="N20" s="2668"/>
      <c r="O20" s="2668"/>
      <c r="P20" s="2668"/>
      <c r="Q20" s="2668"/>
      <c r="R20" s="2668"/>
      <c r="S20" s="2668" t="s">
        <v>3411</v>
      </c>
      <c r="T20" s="2668">
        <f>面积清单!C3</f>
        <v>1731.09</v>
      </c>
      <c r="U20" s="2668">
        <v>8</v>
      </c>
      <c r="V20" s="2668">
        <f>U20*T20</f>
        <v>13848.72</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f>
        <v>2</v>
      </c>
      <c r="C21" s="2670"/>
      <c r="D21" s="2673"/>
      <c r="E21" s="2670"/>
      <c r="F21" s="2670"/>
      <c r="G21" s="2670"/>
      <c r="H21" s="2670"/>
      <c r="I21" s="2670"/>
      <c r="J21" s="2670"/>
      <c r="K21" s="2669"/>
      <c r="L21" s="2669"/>
      <c r="M21" s="2668"/>
      <c r="N21" s="2668"/>
      <c r="O21" s="2668"/>
      <c r="P21" s="2668"/>
      <c r="Q21" s="2668"/>
      <c r="R21" s="2668"/>
      <c r="S21" s="2668" t="s">
        <v>3412</v>
      </c>
      <c r="T21" s="2668">
        <f>SUM(面积清单!C4:C11)</f>
        <v>18437.100000000002</v>
      </c>
      <c r="U21" s="2668">
        <v>5.5</v>
      </c>
      <c r="V21" s="2668">
        <f>U21*T21</f>
        <v>101404.05000000002</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f>T20+T21</f>
        <v>20168.190000000002</v>
      </c>
      <c r="U22" s="2668">
        <f>V22/T22</f>
        <v>5.7145817249837494</v>
      </c>
      <c r="V22" s="2668">
        <f>V20+V21</f>
        <v>115252.77000000002</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3469"/>
      <c r="S24" s="3469" t="s">
        <v>3617</v>
      </c>
      <c r="T24" s="2668" t="s">
        <v>3618</v>
      </c>
      <c r="U24" s="2668" t="s">
        <v>3620</v>
      </c>
      <c r="V24" s="2668" t="s">
        <v>3619</v>
      </c>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70">
        <v>0</v>
      </c>
      <c r="U25" s="3471">
        <v>0.03</v>
      </c>
      <c r="V25" s="3470">
        <v>0.02</v>
      </c>
      <c r="W25" s="2668">
        <f>W27/W26</f>
        <v>1.9999999999999997E-2</v>
      </c>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v>5</v>
      </c>
      <c r="U26" s="2668">
        <v>10</v>
      </c>
      <c r="V26" s="2668">
        <f>项目基本情况!E15-'数据-取费表'!T26-'数据-取费表'!U26</f>
        <v>23.04</v>
      </c>
      <c r="W26" s="2668">
        <f>SUM(T26:V26)</f>
        <v>38.04</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180</v>
      </c>
      <c r="C27" s="2798" t="s">
        <v>2307</v>
      </c>
      <c r="D27" s="2676"/>
      <c r="E27" s="2659"/>
      <c r="F27" s="2659"/>
      <c r="G27" s="2670"/>
      <c r="H27" s="2670"/>
      <c r="I27" s="2670"/>
      <c r="J27" s="2670"/>
      <c r="K27" s="2669"/>
      <c r="L27" s="2669"/>
      <c r="M27" s="2668"/>
      <c r="N27" s="2668"/>
      <c r="O27" s="2668"/>
      <c r="P27" s="2668"/>
      <c r="Q27" s="2668"/>
      <c r="R27" s="2668"/>
      <c r="S27" s="2668"/>
      <c r="T27" s="2668">
        <f>T25*T26</f>
        <v>0</v>
      </c>
      <c r="U27" s="2668">
        <f t="shared" ref="U27:V27" si="12">U25*U26</f>
        <v>0.3</v>
      </c>
      <c r="V27" s="2668">
        <f t="shared" si="12"/>
        <v>0.46079999999999999</v>
      </c>
      <c r="W27" s="2668">
        <f>SUM(T27:V27)</f>
        <v>0.76079999999999992</v>
      </c>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160</v>
      </c>
      <c r="C28" s="2677"/>
      <c r="D28" s="2676"/>
      <c r="E28" s="2659"/>
      <c r="F28" s="2659"/>
      <c r="G28" s="2670"/>
      <c r="H28" s="2670"/>
      <c r="I28" s="2670"/>
      <c r="J28" s="2670"/>
      <c r="K28" s="2669"/>
      <c r="L28" s="2669"/>
      <c r="M28" s="2668"/>
      <c r="N28" s="2668"/>
      <c r="O28" s="2668"/>
      <c r="P28" s="2668"/>
      <c r="Q28" s="2668"/>
      <c r="R28" s="2668"/>
      <c r="S28" s="3469" t="s">
        <v>3647</v>
      </c>
      <c r="T28" s="2668"/>
      <c r="U28" s="3469" t="s">
        <v>3649</v>
      </c>
      <c r="V28" s="3469" t="s">
        <v>3652</v>
      </c>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388</v>
      </c>
      <c r="C29" s="2799" t="s">
        <v>2294</v>
      </c>
      <c r="D29" s="2676"/>
      <c r="E29" s="2659"/>
      <c r="F29" s="2659"/>
      <c r="G29" s="2670"/>
      <c r="H29" s="2670"/>
      <c r="I29" s="2670"/>
      <c r="J29" s="2670"/>
      <c r="K29" s="2669"/>
      <c r="L29" s="2669"/>
      <c r="M29" s="2668"/>
      <c r="N29" s="2668"/>
      <c r="O29" s="2668"/>
      <c r="P29" s="2668"/>
      <c r="Q29" s="2668"/>
      <c r="R29" s="2668"/>
      <c r="S29" s="3469" t="s">
        <v>3648</v>
      </c>
      <c r="T29" s="2672">
        <f>K6</f>
        <v>20168.190000000002</v>
      </c>
      <c r="U29" s="2668">
        <v>5.7</v>
      </c>
      <c r="V29" s="2668">
        <f>U29*T29*365</f>
        <v>41959919.295000009</v>
      </c>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9"/>
      <c r="F30" s="2659"/>
      <c r="G30" s="2670"/>
      <c r="H30" s="2670"/>
      <c r="I30" s="2670"/>
      <c r="J30" s="2670"/>
      <c r="K30" s="2669"/>
      <c r="L30" s="2669"/>
      <c r="M30" s="2668"/>
      <c r="N30" s="2668"/>
      <c r="O30" s="2668"/>
      <c r="P30" s="2668"/>
      <c r="Q30" s="2668"/>
      <c r="R30" s="2668"/>
      <c r="S30" s="2668" t="s">
        <v>3650</v>
      </c>
      <c r="T30" s="2672">
        <f>K7</f>
        <v>887.47</v>
      </c>
      <c r="U30" s="2668">
        <v>1.7</v>
      </c>
      <c r="V30" s="2668">
        <f>U30*T30*365</f>
        <v>550675.13500000001</v>
      </c>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3469" t="s">
        <v>3651</v>
      </c>
      <c r="T31" s="2668">
        <v>100</v>
      </c>
      <c r="U31" s="2668">
        <v>600</v>
      </c>
      <c r="V31" s="2668">
        <f>U31*T31*12</f>
        <v>720000</v>
      </c>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f>ROUND(SUM(V29:V31)/10000,0)</f>
        <v>4323</v>
      </c>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0.03</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184</v>
      </c>
      <c r="C53" s="2659"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1.5</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84" t="s">
        <v>2286</v>
      </c>
      <c r="B1" s="3585"/>
      <c r="C1" s="3585"/>
      <c r="D1" s="3585"/>
      <c r="E1" s="3585"/>
      <c r="F1" s="3585"/>
      <c r="G1" s="358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河北省保定市房地产市场价值预评估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24235.660000000003</v>
      </c>
      <c r="C1" s="2683"/>
      <c r="D1" s="2683"/>
      <c r="E1" s="2683"/>
      <c r="F1" s="2683"/>
      <c r="G1" s="2684"/>
      <c r="H1" s="2685"/>
      <c r="I1" s="2685"/>
      <c r="J1" s="2685"/>
      <c r="K1" s="2685"/>
    </row>
    <row r="2" spans="1:11" ht="16.5">
      <c r="A2" s="2510" t="s">
        <v>653</v>
      </c>
      <c r="B2" s="2510">
        <f>SUM(C14:C23)</f>
        <v>8768.82</v>
      </c>
      <c r="C2" s="2683"/>
      <c r="D2" s="2683"/>
      <c r="E2" s="2683"/>
      <c r="F2" s="2683"/>
      <c r="G2" s="2684"/>
      <c r="H2" s="2685"/>
      <c r="I2" s="2685"/>
      <c r="J2" s="2685"/>
      <c r="K2" s="2685"/>
    </row>
    <row r="3" spans="1:11" ht="16.5">
      <c r="A3" s="2510" t="s">
        <v>662</v>
      </c>
      <c r="B3" s="2512">
        <f>项目基本情况!D3</f>
        <v>45033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46382</v>
      </c>
      <c r="C5" s="2510">
        <f ca="1">IF(B5=D14,结果表!H102,ROUND(B5*10000/$B$1,0))</f>
        <v>19138</v>
      </c>
      <c r="D5" s="2510">
        <f ca="1">ROUND(B5*10000/$B$2,0)</f>
        <v>52894</v>
      </c>
      <c r="E5" s="2683"/>
      <c r="F5" s="2684"/>
      <c r="G5" s="2684"/>
      <c r="H5" s="2685"/>
      <c r="I5" s="2685"/>
      <c r="J5" s="2685"/>
      <c r="K5" s="2685"/>
    </row>
    <row r="6" spans="1:11" ht="16.5">
      <c r="A6" s="2510" t="s">
        <v>656</v>
      </c>
      <c r="B6" s="2510">
        <f>SUM(G14:G23)</f>
        <v>0</v>
      </c>
      <c r="C6" s="2510">
        <f ca="1">IF(B6=G14,结果表!H108,ROUND(B6*10000/$B$1,0))</f>
        <v>19138</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3363</v>
      </c>
      <c r="D10" s="2510" t="s">
        <v>3364</v>
      </c>
      <c r="E10" s="3438"/>
      <c r="F10" s="3442" t="s">
        <v>3365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24235.660000000003</v>
      </c>
      <c r="C14" s="2516">
        <f>结果表!C118</f>
        <v>8768.82</v>
      </c>
      <c r="D14" s="2516">
        <f ca="1">结果表!H118</f>
        <v>46382</v>
      </c>
      <c r="E14" s="2516">
        <f ca="1">ROUND(D14*10000/B14,0)</f>
        <v>19138</v>
      </c>
      <c r="F14" s="2516">
        <f ca="1">ROUND(D14*10000/C14,0)</f>
        <v>52894</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t="s">
        <v>3409</v>
      </c>
    </row>
    <row r="2" spans="1:12" ht="21.75" customHeight="1" thickBot="1">
      <c r="A2" s="3620" t="str">
        <f>项目基本情况!S2</f>
        <v>河北省保定市房地产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3" t="s">
        <v>1265</v>
      </c>
      <c r="B4" s="1754" t="s">
        <v>1266</v>
      </c>
      <c r="C4" s="1755" t="s">
        <v>3410</v>
      </c>
      <c r="D4" s="1755" t="s">
        <v>3400</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31" t="s">
        <v>1269</v>
      </c>
      <c r="F5" s="1756"/>
      <c r="G5" s="1756"/>
      <c r="H5" s="1756"/>
      <c r="I5" s="1372"/>
    </row>
    <row r="6" spans="1:12" ht="12.75">
      <c r="A6" s="3600"/>
      <c r="B6" s="3587"/>
      <c r="C6" s="3604"/>
      <c r="D6" s="3623"/>
      <c r="E6" s="131" t="s">
        <v>1270</v>
      </c>
      <c r="F6" s="1756"/>
      <c r="G6" s="1756"/>
      <c r="H6" s="1756"/>
      <c r="I6" s="1372"/>
    </row>
    <row r="7" spans="1:12" ht="12.75">
      <c r="A7" s="3600"/>
      <c r="B7" s="3587"/>
      <c r="C7" s="3605"/>
      <c r="D7" s="3623"/>
      <c r="E7" s="131" t="s">
        <v>1271</v>
      </c>
      <c r="F7" s="1756"/>
      <c r="G7" s="1756"/>
      <c r="H7" s="1756"/>
      <c r="I7" s="1372"/>
    </row>
    <row r="8" spans="1:12" ht="12.75">
      <c r="A8" s="3600" t="s">
        <v>1272</v>
      </c>
      <c r="B8" s="3587">
        <v>15</v>
      </c>
      <c r="C8" s="3603"/>
      <c r="D8" s="3623"/>
      <c r="E8" s="131" t="s">
        <v>1273</v>
      </c>
      <c r="F8" s="1756"/>
      <c r="G8" s="1756"/>
      <c r="H8" s="1756"/>
      <c r="I8" s="1372"/>
    </row>
    <row r="9" spans="1:12" ht="12.75">
      <c r="A9" s="3600"/>
      <c r="B9" s="3587"/>
      <c r="C9" s="3605"/>
      <c r="D9" s="3623"/>
      <c r="E9" s="131" t="s">
        <v>1274</v>
      </c>
      <c r="F9" s="1756"/>
      <c r="G9" s="1756"/>
      <c r="H9" s="1756"/>
      <c r="I9" s="1372"/>
    </row>
    <row r="10" spans="1:12" ht="12.75">
      <c r="A10" s="3600" t="s">
        <v>1275</v>
      </c>
      <c r="B10" s="3587">
        <v>15</v>
      </c>
      <c r="C10" s="3603"/>
      <c r="D10" s="3623"/>
      <c r="E10" s="131" t="s">
        <v>1276</v>
      </c>
      <c r="F10" s="1756"/>
      <c r="G10" s="1756"/>
      <c r="H10" s="1756"/>
      <c r="I10" s="1372"/>
    </row>
    <row r="11" spans="1:12" ht="12.75">
      <c r="A11" s="3600"/>
      <c r="B11" s="3587"/>
      <c r="C11" s="3605"/>
      <c r="D11" s="3623"/>
      <c r="E11" s="131" t="s">
        <v>1277</v>
      </c>
      <c r="F11" s="1756"/>
      <c r="G11" s="1756"/>
      <c r="H11" s="1756"/>
      <c r="I11" s="1372"/>
    </row>
    <row r="12" spans="1:12" ht="12.75">
      <c r="A12" s="3600" t="s">
        <v>1278</v>
      </c>
      <c r="B12" s="3587">
        <v>15</v>
      </c>
      <c r="C12" s="3603"/>
      <c r="D12" s="3623"/>
      <c r="E12" s="131" t="s">
        <v>1279</v>
      </c>
      <c r="F12" s="1756"/>
      <c r="G12" s="1756"/>
      <c r="H12" s="1756"/>
      <c r="I12" s="1372"/>
    </row>
    <row r="13" spans="1:12" ht="12.75">
      <c r="A13" s="3600"/>
      <c r="B13" s="3587"/>
      <c r="C13" s="3605"/>
      <c r="D13" s="3623"/>
      <c r="E13" s="131" t="s">
        <v>1280</v>
      </c>
      <c r="F13" s="1756"/>
      <c r="G13" s="1756"/>
      <c r="H13" s="1756"/>
      <c r="I13" s="1372"/>
    </row>
    <row r="14" spans="1:12" ht="12.75">
      <c r="A14" s="3600" t="s">
        <v>1281</v>
      </c>
      <c r="B14" s="3587">
        <v>30</v>
      </c>
      <c r="C14" s="3603">
        <v>3</v>
      </c>
      <c r="D14" s="3623">
        <v>7</v>
      </c>
      <c r="E14" s="131" t="s">
        <v>1282</v>
      </c>
      <c r="F14" s="1756"/>
      <c r="G14" s="1756"/>
      <c r="H14" s="1756"/>
      <c r="I14" s="1372"/>
    </row>
    <row r="15" spans="1:12" ht="12.75">
      <c r="A15" s="3600"/>
      <c r="B15" s="3587"/>
      <c r="C15" s="3604"/>
      <c r="D15" s="3623"/>
      <c r="E15" s="131" t="s">
        <v>1283</v>
      </c>
      <c r="F15" s="1756"/>
      <c r="G15" s="1756"/>
      <c r="H15" s="1756"/>
      <c r="I15" s="1372"/>
    </row>
    <row r="16" spans="1:12" ht="12.75">
      <c r="A16" s="3600"/>
      <c r="B16" s="3587"/>
      <c r="C16" s="3605"/>
      <c r="D16" s="3623"/>
      <c r="E16" s="131" t="s">
        <v>1284</v>
      </c>
      <c r="F16" s="1756"/>
      <c r="G16" s="1756"/>
      <c r="H16" s="1756"/>
      <c r="I16" s="1372"/>
    </row>
    <row r="17" spans="1:36" ht="15">
      <c r="A17" s="1757" t="s">
        <v>1285</v>
      </c>
      <c r="B17" s="56"/>
      <c r="C17" s="132">
        <f>SUM(C5:C16)</f>
        <v>3</v>
      </c>
      <c r="D17" s="132">
        <f>SUM(D5:D16)</f>
        <v>7</v>
      </c>
      <c r="E17" s="129"/>
      <c r="F17" s="129"/>
      <c r="G17" s="129"/>
      <c r="H17" s="129"/>
      <c r="I17" s="129"/>
      <c r="K17" s="302"/>
      <c r="L17" s="302" t="s">
        <v>1286</v>
      </c>
      <c r="M17" s="302" t="s">
        <v>1287</v>
      </c>
    </row>
    <row r="18" spans="1:36" ht="31.9" customHeight="1" thickBot="1">
      <c r="A18" s="1758" t="s">
        <v>1288</v>
      </c>
      <c r="B18" s="1759"/>
      <c r="C18" s="133">
        <f>ROUND(C17/SUM(C17:D17),2)</f>
        <v>0.3</v>
      </c>
      <c r="D18" s="133">
        <f>1-C18</f>
        <v>0.7</v>
      </c>
      <c r="E18" s="3610" t="s">
        <v>2131</v>
      </c>
      <c r="F18" s="3611"/>
      <c r="G18" s="3611"/>
      <c r="H18" s="3611"/>
      <c r="I18" s="3611"/>
      <c r="K18" s="302" t="s">
        <v>1289</v>
      </c>
      <c r="L18" s="302">
        <f>IF(C1="",'数据-汇总表'!E3,SUMIF(项目类型,C1,'数据-汇总表'!E17:E26)+SUMIF(项目类型,C1,'数据-汇总表'!I17:I26))</f>
        <v>24235.660000000003</v>
      </c>
      <c r="M18" s="302">
        <f>IF(C1="",'数据-汇总表'!E3,SUMIF(项目类型,C1,'数据-汇总表'!E17:E26))</f>
        <v>24235.660000000003</v>
      </c>
    </row>
    <row r="19" spans="1:36" ht="15">
      <c r="A19" s="1760" t="s">
        <v>1290</v>
      </c>
      <c r="B19" s="1761" t="s">
        <v>1291</v>
      </c>
      <c r="C19" s="134">
        <f ca="1">SUMIF(INDIRECT("'"&amp;C4&amp;"'"&amp;"!A:A"),结果表!B19,INDIRECT("'"&amp;C4&amp;"'"&amp;"!B:B"))</f>
        <v>32589</v>
      </c>
      <c r="D19" s="135">
        <f ca="1">SUMIF(INDIRECT("'"&amp;D4&amp;"'"&amp;"!A:A"),结果表!B19,INDIRECT("'"&amp;D4&amp;"'"&amp;"!B:B"))</f>
        <v>52293</v>
      </c>
      <c r="E19" s="1760" t="s">
        <v>1292</v>
      </c>
      <c r="F19" s="1761" t="s">
        <v>1291</v>
      </c>
      <c r="G19" s="136">
        <f ca="1">ROUND(C19*$C$18+D19*$D$18,0)</f>
        <v>46382</v>
      </c>
      <c r="H19" s="1762" t="s">
        <v>1293</v>
      </c>
      <c r="I19" s="129"/>
      <c r="K19" s="302" t="s">
        <v>1294</v>
      </c>
      <c r="L19" s="302">
        <f>IF(C1="",'数据-汇总表'!D3,SUMIF(项目类型,C1,'数据-汇总表'!D17:D26)+SUMIF(项目类型,C1,'数据-汇总表'!H17:H27))</f>
        <v>8768.82</v>
      </c>
      <c r="M19" s="302">
        <f>IF(C1="",'数据-汇总表'!D3,SUMIF(项目类型,C1,'数据-汇总表'!D17:D26))</f>
        <v>8768.82</v>
      </c>
    </row>
    <row r="20" spans="1:36" ht="15">
      <c r="A20" s="1763"/>
      <c r="B20" s="1026" t="s">
        <v>1295</v>
      </c>
      <c r="C20" s="137">
        <f ca="1">SUMIF(INDIRECT("'"&amp;C4&amp;"'"&amp;"!A:A"),结果表!B20,INDIRECT("'"&amp;C4&amp;"'"&amp;"!B:B"))</f>
        <v>13447</v>
      </c>
      <c r="D20" s="138">
        <f ca="1">SUMIF(INDIRECT("'"&amp;D4&amp;"'"&amp;"!A:A"),结果表!B20,INDIRECT("'"&amp;D4&amp;"'"&amp;"!B:B"))</f>
        <v>25928</v>
      </c>
      <c r="E20" s="1763"/>
      <c r="F20" s="1026" t="s">
        <v>1295</v>
      </c>
      <c r="G20" s="139">
        <f ca="1">ROUND(C20*$C$18+D20*$D$18,0)</f>
        <v>22184</v>
      </c>
      <c r="H20" s="808" t="s">
        <v>1296</v>
      </c>
      <c r="I20" s="129"/>
    </row>
    <row r="21" spans="1:36" ht="15" customHeight="1" thickBot="1">
      <c r="A21" s="828"/>
      <c r="B21" s="1764" t="s">
        <v>1297</v>
      </c>
      <c r="C21" s="719">
        <f ca="1">ROUND(C19*10000/L19,0)</f>
        <v>37165</v>
      </c>
      <c r="D21" s="720">
        <f ca="1">ROUND(D19*10000/L19,0)</f>
        <v>59635</v>
      </c>
      <c r="E21" s="828"/>
      <c r="F21" s="1764" t="s">
        <v>1297</v>
      </c>
      <c r="G21" s="140">
        <f ca="1">ROUND(G19*10000/L19,0)</f>
        <v>52894</v>
      </c>
      <c r="H21" s="1765" t="s">
        <v>1296</v>
      </c>
      <c r="I21" s="129"/>
    </row>
    <row r="22" spans="1:36" ht="15" thickBot="1">
      <c r="A22" s="1687" t="s">
        <v>1298</v>
      </c>
      <c r="B22" s="1766"/>
      <c r="C22" s="1767"/>
      <c r="D22" s="721">
        <f ca="1">IF(C19&lt;D19,D19/C19-1,C19/D19-1)</f>
        <v>0.60462119119948454</v>
      </c>
      <c r="E22" s="129"/>
      <c r="F22" s="129"/>
      <c r="G22" s="129"/>
      <c r="H22" s="129"/>
      <c r="I22" s="129"/>
    </row>
    <row r="23" spans="1:36" ht="13.5" thickBot="1">
      <c r="A23" s="1746"/>
      <c r="B23" s="1746"/>
      <c r="C23" s="1746"/>
      <c r="D23" s="1746"/>
      <c r="E23" s="129"/>
      <c r="F23" s="129"/>
      <c r="G23" s="129"/>
      <c r="H23" s="129">
        <f ca="1">G19/(面积清单!E15/10000)</f>
        <v>1.0005597521537</v>
      </c>
      <c r="I23" s="129"/>
    </row>
    <row r="24" spans="1:36" ht="14.25">
      <c r="A24" s="3594" t="s">
        <v>1299</v>
      </c>
      <c r="B24" s="1761" t="s">
        <v>1291</v>
      </c>
      <c r="C24" s="136">
        <f>IF(B30=0,0,D30)</f>
        <v>0</v>
      </c>
      <c r="D24" s="1768"/>
      <c r="E24" s="129"/>
      <c r="F24" s="129"/>
      <c r="G24" s="129"/>
      <c r="H24" s="129"/>
      <c r="I24" s="129"/>
    </row>
    <row r="25" spans="1:36" ht="14.25">
      <c r="A25" s="359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46382</v>
      </c>
      <c r="D32" s="1774" t="s">
        <v>3569</v>
      </c>
      <c r="E32" s="129"/>
      <c r="F32" s="129"/>
      <c r="G32" s="129"/>
      <c r="H32" s="129"/>
      <c r="I32" s="129"/>
    </row>
    <row r="33" spans="1:15" ht="15">
      <c r="A33" s="786" t="s">
        <v>1306</v>
      </c>
      <c r="B33" s="1775"/>
      <c r="C33" s="1776" t="s">
        <v>3571</v>
      </c>
      <c r="D33" s="1777" t="s">
        <v>3410</v>
      </c>
      <c r="E33" s="1778" t="s">
        <v>1307</v>
      </c>
      <c r="F33" s="1779" t="str">
        <f>IF(D32="楼面单价","取值（单价）","取值（总价）")</f>
        <v>取值（总价）</v>
      </c>
      <c r="G33" s="129"/>
      <c r="H33" s="129"/>
      <c r="I33" s="129"/>
    </row>
    <row r="34" spans="1:15" ht="15">
      <c r="A34" s="1780"/>
      <c r="B34" s="1781" t="s">
        <v>1308</v>
      </c>
      <c r="C34" s="148">
        <f ca="1">IF(C33="自定义",F34,C32-C35)</f>
        <v>13172</v>
      </c>
      <c r="D34" s="861">
        <f ca="1">IF(C33="自定义",ROUND(C34/C32,3),IF(C33="收益比率",SUMIF(INDIRECT("'"&amp;D33&amp;"'"&amp;"!b:b"),"土地收益比率",INDIRECT("'"&amp;D33&amp;"'"&amp;"!c:c")),SUMIF(INDIRECT("'"&amp;D33&amp;"'"&amp;"!b:b"),"土地成本比率",INDIRECT("'"&amp;D33&amp;"'"&amp;"!c:c"))))</f>
        <v>0.28400000000000003</v>
      </c>
      <c r="E34" s="1782" t="s">
        <v>1309</v>
      </c>
      <c r="F34" s="1329">
        <f ca="1">G19-F35</f>
        <v>23049</v>
      </c>
      <c r="G34" s="129"/>
      <c r="H34" s="129"/>
      <c r="I34" s="129"/>
    </row>
    <row r="35" spans="1:15" ht="15.75" thickBot="1">
      <c r="A35" s="1783"/>
      <c r="B35" s="1784" t="s">
        <v>1310</v>
      </c>
      <c r="C35" s="1170">
        <f ca="1">IF(C33="自定义",F35,ROUND(C32*D35,0))</f>
        <v>33210</v>
      </c>
      <c r="D35" s="1171">
        <f ca="1">IF(C33="自定义",ROUND(C35/C32,3),IF(C33="收益比率",SUMIF(INDIRECT("'"&amp;D33&amp;"'"&amp;"!b:b"),"建筑物收益比率",INDIRECT("'"&amp;D33&amp;"'"&amp;"!c:c")),SUMIF(INDIRECT("'"&amp;D33&amp;"'"&amp;"!b:b"),"建筑物成本比率",INDIRECT("'"&amp;D33&amp;"'"&amp;"!c:c"))))</f>
        <v>0.71599999999999997</v>
      </c>
      <c r="E35" s="1785" t="s">
        <v>1311</v>
      </c>
      <c r="F35" s="154">
        <f ca="1">成本法!C51</f>
        <v>23333</v>
      </c>
      <c r="G35" s="129"/>
      <c r="H35" s="129"/>
      <c r="I35" s="129"/>
    </row>
    <row r="36" spans="1:15" ht="15.75" thickBot="1">
      <c r="A36" s="3614" t="s">
        <v>1312</v>
      </c>
      <c r="B36" s="1786" t="s">
        <v>1313</v>
      </c>
      <c r="C36" s="145"/>
      <c r="D36" s="1787"/>
      <c r="E36" s="1788"/>
      <c r="F36" s="1789"/>
      <c r="G36" s="129"/>
      <c r="H36" s="129"/>
      <c r="I36" s="129"/>
    </row>
    <row r="37" spans="1:15" ht="15.75" thickBot="1">
      <c r="A37" s="3615"/>
      <c r="B37" s="1673" t="s">
        <v>1314</v>
      </c>
      <c r="C37" s="147"/>
      <c r="D37" s="1139"/>
      <c r="E37" s="1139"/>
      <c r="F37" s="1789"/>
      <c r="G37" s="129"/>
      <c r="H37" s="129"/>
      <c r="I37" s="129"/>
    </row>
    <row r="38" spans="1:15" ht="15.75" thickBot="1">
      <c r="A38" s="3616"/>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1" t="s">
        <v>1326</v>
      </c>
      <c r="B45" s="3592"/>
      <c r="C45" s="3593"/>
      <c r="D45" s="155">
        <f ca="1">ROUND(H101*F45,0)</f>
        <v>46382</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5"/>
      <c r="I46" s="159"/>
      <c r="J46" s="2521">
        <v>1</v>
      </c>
      <c r="K46" s="3650" t="s">
        <v>1331</v>
      </c>
      <c r="L46" s="3650"/>
      <c r="M46" s="3670"/>
      <c r="N46" s="3670"/>
      <c r="O46" s="3670"/>
    </row>
    <row r="47" spans="1:15" ht="12" customHeight="1">
      <c r="A47" s="160" t="s">
        <v>1332</v>
      </c>
      <c r="B47" s="161"/>
      <c r="C47" s="162"/>
      <c r="D47" s="1087" t="s">
        <v>1333</v>
      </c>
      <c r="E47" s="302" t="s">
        <v>1334</v>
      </c>
      <c r="F47" s="163" t="s">
        <v>1335</v>
      </c>
      <c r="G47" s="2544" t="s">
        <v>1336</v>
      </c>
      <c r="H47" s="2545"/>
      <c r="I47" s="159"/>
      <c r="J47" s="2521">
        <v>2</v>
      </c>
      <c r="K47" s="3650" t="s">
        <v>1337</v>
      </c>
      <c r="L47" s="3650"/>
      <c r="M47" s="3671">
        <f>'数据-取费表'!B2</f>
        <v>45033</v>
      </c>
      <c r="N47" s="3671"/>
      <c r="O47" s="3671"/>
    </row>
    <row r="48" spans="1:15" ht="25.5">
      <c r="A48" s="3619" t="s">
        <v>1338</v>
      </c>
      <c r="B48" s="3602"/>
      <c r="C48" s="3602"/>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50" t="s">
        <v>1340</v>
      </c>
      <c r="L48" s="3650"/>
      <c r="M48" s="3672">
        <f ca="1">H101</f>
        <v>46382</v>
      </c>
      <c r="N48" s="3672"/>
      <c r="O48" s="3672"/>
    </row>
    <row r="49" spans="1:35" ht="25.5" customHeight="1">
      <c r="A49" s="2332" t="s">
        <v>1341</v>
      </c>
      <c r="B49" s="3586" t="s">
        <v>1342</v>
      </c>
      <c r="C49" s="3586"/>
      <c r="D49" s="1589">
        <v>0</v>
      </c>
      <c r="E49" s="324" t="s">
        <v>1343</v>
      </c>
      <c r="F49" s="2422" t="s">
        <v>28</v>
      </c>
      <c r="G49" s="3656"/>
      <c r="H49" s="2309" t="s">
        <v>2134</v>
      </c>
      <c r="I49" s="2310"/>
      <c r="J49" s="2521">
        <v>4</v>
      </c>
      <c r="K49" s="3650" t="str">
        <f>IF(项目基本情况!E8="房地产抵押价值","房地产抵押价值","抵押担保权已注销时的房地产抵押价值")</f>
        <v>抵押担保权已注销时的房地产抵押价值</v>
      </c>
      <c r="L49" s="3650"/>
      <c r="M49" s="3672" t="str">
        <f>IF(项目基本情况!E8="房地产抵押价值",H107,H109)</f>
        <v>——</v>
      </c>
      <c r="N49" s="3672"/>
      <c r="O49" s="3672"/>
    </row>
    <row r="50" spans="1:35" ht="25.5" customHeight="1">
      <c r="A50" s="2549"/>
      <c r="B50" s="3586" t="s">
        <v>1344</v>
      </c>
      <c r="C50" s="3586"/>
      <c r="D50" s="2550"/>
      <c r="E50" s="332"/>
      <c r="F50" s="2422"/>
      <c r="G50" s="3657"/>
      <c r="H50" s="2311" t="s">
        <v>2135</v>
      </c>
      <c r="I50" s="2310"/>
      <c r="J50" s="3669" t="s">
        <v>1345</v>
      </c>
      <c r="K50" s="3669"/>
      <c r="L50" s="3669"/>
      <c r="M50" s="3669"/>
      <c r="N50" s="3669"/>
      <c r="O50" s="3669"/>
    </row>
    <row r="51" spans="1:35" ht="20.45" customHeight="1">
      <c r="A51" s="2551"/>
      <c r="B51" s="3586" t="s">
        <v>1346</v>
      </c>
      <c r="C51" s="3586"/>
      <c r="D51" s="1087"/>
      <c r="E51" s="327"/>
      <c r="F51" s="2422"/>
      <c r="G51" s="3658"/>
      <c r="H51" s="2311" t="s">
        <v>2136</v>
      </c>
      <c r="I51" s="2310"/>
      <c r="J51" s="2522" t="s">
        <v>1347</v>
      </c>
      <c r="K51" s="3650" t="s">
        <v>1348</v>
      </c>
      <c r="L51" s="3650"/>
      <c r="M51" s="2522" t="s">
        <v>1349</v>
      </c>
      <c r="N51" s="2522" t="s">
        <v>1350</v>
      </c>
      <c r="O51" s="2522" t="s">
        <v>1351</v>
      </c>
    </row>
    <row r="52" spans="1:35" ht="24" customHeight="1">
      <c r="A52" s="2334" t="s">
        <v>1352</v>
      </c>
      <c r="B52" s="3586" t="s">
        <v>1353</v>
      </c>
      <c r="C52" s="3586"/>
      <c r="D52" s="1087">
        <f ca="1">ROUND(D45*'数据-取费表'!B41/(1+'数据-取费表'!C42),0)</f>
        <v>2430</v>
      </c>
      <c r="E52" s="2333" t="s">
        <v>1354</v>
      </c>
      <c r="F52" s="2552">
        <f>'数据-取费表'!B41</f>
        <v>5.5000000000000007E-2</v>
      </c>
      <c r="G52" s="2553"/>
      <c r="H52" s="2542"/>
      <c r="I52" s="1806"/>
      <c r="J52" s="2521">
        <v>1</v>
      </c>
      <c r="K52" s="3651" t="s">
        <v>1355</v>
      </c>
      <c r="L52" s="3651"/>
      <c r="M52" s="2523" t="b">
        <f>D48</f>
        <v>0</v>
      </c>
      <c r="N52" s="2521" t="str">
        <f>E48</f>
        <v>销售额×税（费）率</v>
      </c>
      <c r="O52" s="2524">
        <f>F48</f>
        <v>5.5000000000000007E-2</v>
      </c>
    </row>
    <row r="53" spans="1:35" ht="12" customHeight="1">
      <c r="A53" s="2334" t="s">
        <v>1356</v>
      </c>
      <c r="B53" s="3612" t="s">
        <v>2291</v>
      </c>
      <c r="C53" s="3613"/>
      <c r="D53" s="1087">
        <f ca="1">ROUND(D45*'数据-取费表'!B41/(1+'数据-取费表'!C42),0)</f>
        <v>2430</v>
      </c>
      <c r="E53" s="2333" t="s">
        <v>1354</v>
      </c>
      <c r="F53" s="2552">
        <f>'数据-取费表'!B41</f>
        <v>5.5000000000000007E-2</v>
      </c>
      <c r="G53" s="2553"/>
      <c r="H53" s="2542"/>
      <c r="I53" s="1806"/>
      <c r="J53" s="2521">
        <v>2</v>
      </c>
      <c r="K53" s="3651" t="s">
        <v>1357</v>
      </c>
      <c r="L53" s="3651"/>
      <c r="M53" s="2523">
        <f t="shared" ref="M53:O54" ca="1" si="0">D55</f>
        <v>23</v>
      </c>
      <c r="N53" s="2521" t="str">
        <f t="shared" si="0"/>
        <v>销售额×税（费）率</v>
      </c>
      <c r="O53" s="2524" t="str">
        <f t="shared" si="0"/>
        <v>免征</v>
      </c>
    </row>
    <row r="54" spans="1:35" ht="12" customHeight="1">
      <c r="A54" s="2334" t="s">
        <v>1358</v>
      </c>
      <c r="B54" s="3612" t="s">
        <v>2292</v>
      </c>
      <c r="C54" s="3613"/>
      <c r="D54" s="1087">
        <f ca="1">C68</f>
        <v>2430</v>
      </c>
      <c r="E54" s="327" t="s">
        <v>1359</v>
      </c>
      <c r="F54" s="2552">
        <f>'数据-取费表'!B41</f>
        <v>5.5000000000000007E-2</v>
      </c>
      <c r="G54" s="2553"/>
      <c r="H54" s="2554"/>
      <c r="I54" s="1806"/>
      <c r="J54" s="2521">
        <v>3</v>
      </c>
      <c r="K54" s="3651" t="s">
        <v>1360</v>
      </c>
      <c r="L54" s="3651"/>
      <c r="M54" s="2523">
        <f t="shared" ca="1" si="0"/>
        <v>26294</v>
      </c>
      <c r="N54" s="2521" t="str">
        <f t="shared" si="0"/>
        <v>增值额×税（费）率</v>
      </c>
      <c r="O54" s="2525" t="str">
        <f t="shared" si="0"/>
        <v>免征</v>
      </c>
    </row>
    <row r="55" spans="1:35" ht="24" customHeight="1">
      <c r="A55" s="3601" t="s">
        <v>1361</v>
      </c>
      <c r="B55" s="3602"/>
      <c r="C55" s="3602"/>
      <c r="D55" s="2323">
        <f ca="1">IF(H55="个人住宅",0,ROUND(D45*I55,0))</f>
        <v>23</v>
      </c>
      <c r="E55" s="2333" t="s">
        <v>1362</v>
      </c>
      <c r="F55" s="2552" t="str">
        <f>IF(H55="正常",I55,"免征")</f>
        <v>免征</v>
      </c>
      <c r="G55" s="2553"/>
      <c r="H55" s="2548"/>
      <c r="I55" s="165">
        <f>'数据-取费表'!B49</f>
        <v>5.0000000000000001E-4</v>
      </c>
      <c r="J55" s="2521">
        <f>IF(H59="非个人房产","",4)</f>
        <v>4</v>
      </c>
      <c r="K55" s="3651" t="str">
        <f>IF(H59="非个人房产","——","个人所得税")</f>
        <v>个人所得税</v>
      </c>
      <c r="L55" s="3651"/>
      <c r="M55" s="2526">
        <f ca="1">D59</f>
        <v>442</v>
      </c>
      <c r="N55" s="2039" t="str">
        <f>E59</f>
        <v>差额计税</v>
      </c>
      <c r="O55" s="2527">
        <f>F59</f>
        <v>0.01</v>
      </c>
    </row>
    <row r="56" spans="1:35" ht="24.75">
      <c r="A56" s="3601" t="s">
        <v>1363</v>
      </c>
      <c r="B56" s="3602"/>
      <c r="C56" s="3602"/>
      <c r="D56" s="2323">
        <f ca="1">IF(H56="个人住宅",D57,D58)</f>
        <v>26294</v>
      </c>
      <c r="E56" s="2333" t="s">
        <v>1364</v>
      </c>
      <c r="F56" s="2552" t="str">
        <f>IF(H56="正常",F58,"免征")</f>
        <v>免征</v>
      </c>
      <c r="G56" s="2555" t="s">
        <v>1365</v>
      </c>
      <c r="H56" s="2556"/>
      <c r="I56" s="1807"/>
      <c r="J56" s="2521" t="str">
        <f>IF(项目基本情况!K6="上海银行",IF(J55="",4,J55+1),"")</f>
        <v/>
      </c>
      <c r="K56" s="3674" t="str">
        <f>IF(项目基本情况!K6="上海银行","其他处置费用","")</f>
        <v/>
      </c>
      <c r="L56" s="3675"/>
      <c r="M56" s="2523" t="str">
        <f>IF(项目基本情况!K6="上海银行",M69,"")</f>
        <v/>
      </c>
      <c r="N56" s="3674" t="str">
        <f>IF(项目基本情况!K6="上海银行","包含处置中涉及的律师、诉讼、拍卖、评估等费用","")</f>
        <v/>
      </c>
      <c r="O56" s="3677"/>
    </row>
    <row r="57" spans="1:35" ht="12.75">
      <c r="A57" s="2334" t="s">
        <v>1341</v>
      </c>
      <c r="B57" s="3612" t="s">
        <v>1366</v>
      </c>
      <c r="C57" s="3613"/>
      <c r="D57" s="1589">
        <v>0</v>
      </c>
      <c r="E57" s="324" t="s">
        <v>1343</v>
      </c>
      <c r="F57" s="302"/>
      <c r="G57" s="2553"/>
      <c r="H57" s="2557"/>
      <c r="I57" s="1807"/>
      <c r="J57" s="3651">
        <f>IF(AND(J55="",J56=""),4,IF(项目基本情况!K6="上海银行",结果表!J56+1,结果表!J55+1))</f>
        <v>5</v>
      </c>
      <c r="K57" s="3651" t="s">
        <v>1367</v>
      </c>
      <c r="L57" s="2528" t="s">
        <v>1368</v>
      </c>
      <c r="M57" s="2529"/>
      <c r="N57" s="2530">
        <f ca="1">SUMIF(M52:M56,"&lt;9e307")</f>
        <v>26759</v>
      </c>
      <c r="O57" s="2531"/>
      <c r="P57" s="2687" t="e">
        <f ca="1">N57/M49</f>
        <v>#VALUE!</v>
      </c>
    </row>
    <row r="58" spans="1:35" ht="24.75">
      <c r="A58" s="2334" t="s">
        <v>1352</v>
      </c>
      <c r="B58" s="3612" t="s">
        <v>1369</v>
      </c>
      <c r="C58" s="3586"/>
      <c r="D58" s="2323">
        <f ca="1">IF(H58="转让取得",C81,C97)</f>
        <v>26294</v>
      </c>
      <c r="E58" s="2333" t="s">
        <v>1364</v>
      </c>
      <c r="F58" s="302" t="s">
        <v>28</v>
      </c>
      <c r="G58" s="2553"/>
      <c r="H58" s="2556"/>
      <c r="I58" s="1807"/>
      <c r="J58" s="3651"/>
      <c r="K58" s="3651"/>
      <c r="L58" s="2528" t="s">
        <v>1370</v>
      </c>
      <c r="M58" s="2532"/>
      <c r="N58" s="2533" t="str">
        <f ca="1">NUMBERSTRING(INT(N57*10000),2)&amp;"元整"</f>
        <v>贰亿陆仟柒佰伍拾玖万元整</v>
      </c>
      <c r="O58" s="2534"/>
    </row>
    <row r="59" spans="1:35" ht="24.75" thickBot="1">
      <c r="A59" s="3654" t="s">
        <v>1371</v>
      </c>
      <c r="B59" s="3655"/>
      <c r="C59" s="3655"/>
      <c r="D59" s="2558">
        <f ca="1">IF(H59="非个人房产","——",IF(H59="个人住宅（满五唯一有凭证）",0,IF(H59="个人其他（无凭证）",ROUND(D45*F59,0),ROUND(C67*F59,0))))</f>
        <v>442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52">
        <f>J57+1</f>
        <v>6</v>
      </c>
      <c r="K59" s="3651" t="s">
        <v>1372</v>
      </c>
      <c r="L59" s="2521" t="s">
        <v>1368</v>
      </c>
      <c r="M59" s="2535"/>
      <c r="N59" s="2536" t="e">
        <f ca="1">M49-N57</f>
        <v>#VALUE!</v>
      </c>
      <c r="O59" s="2537"/>
    </row>
    <row r="60" spans="1:35" ht="12" customHeight="1">
      <c r="A60" s="1808"/>
      <c r="B60" s="1746"/>
      <c r="C60" s="1746"/>
      <c r="D60" s="1746"/>
      <c r="E60" s="1577"/>
      <c r="F60" s="1807"/>
      <c r="G60" s="1807"/>
      <c r="H60" s="1809"/>
      <c r="I60" s="129"/>
      <c r="J60" s="3653"/>
      <c r="K60" s="3651"/>
      <c r="L60" s="2528" t="s">
        <v>1370</v>
      </c>
      <c r="M60" s="2532"/>
      <c r="N60" s="2533" t="e">
        <f ca="1">NUMBERSTRING(INT(N59*10000),2)&amp;"元整"</f>
        <v>#VALUE!</v>
      </c>
      <c r="O60" s="2534"/>
    </row>
    <row r="61" spans="1:35" ht="13.5" thickBot="1">
      <c r="A61" s="3599" t="s">
        <v>1373</v>
      </c>
      <c r="B61" s="3599"/>
      <c r="C61" s="3599"/>
      <c r="D61" s="3599"/>
      <c r="E61" s="3599"/>
      <c r="F61" s="1807"/>
      <c r="G61" s="1807"/>
      <c r="H61" s="1809"/>
      <c r="I61" s="129"/>
      <c r="J61" s="2521">
        <f>J59+1</f>
        <v>7</v>
      </c>
      <c r="K61" s="3651" t="s">
        <v>1374</v>
      </c>
      <c r="L61" s="3651"/>
      <c r="M61" s="2538"/>
      <c r="N61" s="2539" t="e">
        <f ca="1">ROUND(N59*10000/'数据-汇总表'!E3,0)</f>
        <v>#VALUE!</v>
      </c>
      <c r="O61" s="2540"/>
    </row>
    <row r="62" spans="1:35" ht="12.75">
      <c r="A62" s="3617" t="s">
        <v>1375</v>
      </c>
      <c r="B62" s="3618"/>
      <c r="C62" s="2020"/>
      <c r="D62" s="2020" t="s">
        <v>1376</v>
      </c>
      <c r="E62" s="166" t="s">
        <v>1377</v>
      </c>
      <c r="F62" s="1807"/>
      <c r="G62" s="1807"/>
      <c r="H62" s="1809"/>
      <c r="I62" s="129"/>
    </row>
    <row r="63" spans="1:35" ht="12.75">
      <c r="A63" s="173" t="s">
        <v>330</v>
      </c>
      <c r="B63" s="167" t="s">
        <v>1378</v>
      </c>
      <c r="C63" s="2562">
        <f ca="1">ROUND((C64+C65)/(1+'数据-取费表'!C42),0)</f>
        <v>44173</v>
      </c>
      <c r="D63" s="167"/>
      <c r="E63" s="168"/>
      <c r="F63" s="1807"/>
      <c r="G63" s="1807"/>
      <c r="H63" s="1809"/>
      <c r="I63" s="129"/>
      <c r="J63" s="3676"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46382</v>
      </c>
      <c r="D64" s="170" t="s">
        <v>26</v>
      </c>
      <c r="E64" s="172"/>
      <c r="F64" s="1807"/>
      <c r="G64" s="1807"/>
      <c r="H64" s="1809"/>
      <c r="I64" s="129"/>
      <c r="J64" s="367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76"/>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76"/>
      <c r="K66" s="1331" t="s">
        <v>1387</v>
      </c>
      <c r="L66" s="1331" t="e">
        <f>M49*0.5%</f>
        <v>#VALUE!</v>
      </c>
      <c r="M66" s="302" t="e">
        <f>IF(L66&gt;0.5,0.5,ROUND(L66,0))</f>
        <v>#VALUE!</v>
      </c>
      <c r="N66" s="2542" t="s">
        <v>1388</v>
      </c>
      <c r="Z66" s="1751"/>
      <c r="AI66" s="1752"/>
    </row>
    <row r="67" spans="1:35" ht="14.25" customHeight="1">
      <c r="A67" s="173" t="s">
        <v>328</v>
      </c>
      <c r="B67" s="174" t="s">
        <v>1389</v>
      </c>
      <c r="C67" s="2566">
        <f ca="1">C63-C66</f>
        <v>44173</v>
      </c>
      <c r="D67" s="170" t="s">
        <v>26</v>
      </c>
      <c r="E67" s="172"/>
      <c r="F67" s="1807"/>
      <c r="G67" s="1807"/>
      <c r="H67" s="1809"/>
      <c r="I67" s="129"/>
      <c r="J67" s="367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2430</v>
      </c>
      <c r="D68" s="2568">
        <f>'数据-取费表'!B41</f>
        <v>5.5000000000000007E-2</v>
      </c>
      <c r="E68" s="178"/>
      <c r="F68" s="1807"/>
      <c r="G68" s="1807"/>
      <c r="H68" s="1809"/>
      <c r="I68" s="129"/>
      <c r="J68" s="3676"/>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76"/>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8" t="s">
        <v>1394</v>
      </c>
      <c r="B70" s="3639"/>
      <c r="C70" s="3639"/>
      <c r="D70" s="3639"/>
      <c r="E70" s="3639"/>
      <c r="F70" s="3639"/>
      <c r="G70" s="3639"/>
      <c r="H70" s="3639"/>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1375</v>
      </c>
      <c r="B71" s="3618"/>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44173</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2" t="s">
        <v>1402</v>
      </c>
      <c r="F76" s="3586"/>
      <c r="G76" s="3586"/>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221</v>
      </c>
      <c r="D78" s="2575">
        <f>'数据-取费表'!B43</f>
        <v>5.000000000000001E-3</v>
      </c>
      <c r="E78" s="3596" t="s">
        <v>1406</v>
      </c>
      <c r="F78" s="3597"/>
      <c r="G78" s="3597"/>
      <c r="H78" s="360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43952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198.87782805429865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26294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8" t="s">
        <v>1410</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1375</v>
      </c>
      <c r="B84" s="361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44173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221</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78" t="s">
        <v>2129</v>
      </c>
      <c r="H90" s="3679"/>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6" t="s">
        <v>1422</v>
      </c>
      <c r="F92" s="3597"/>
      <c r="G92" s="3597"/>
      <c r="H92" s="3606"/>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221</v>
      </c>
      <c r="D93" s="2575">
        <f>'数据-取费表'!B43</f>
        <v>5.000000000000001E-3</v>
      </c>
      <c r="E93" s="3596" t="s">
        <v>1406</v>
      </c>
      <c r="F93" s="3597"/>
      <c r="G93" s="3597"/>
      <c r="H93" s="360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07" t="s">
        <v>1426</v>
      </c>
      <c r="F94" s="3608"/>
      <c r="G94" s="3608"/>
      <c r="H94" s="360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43952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198.87782805429865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26294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3" t="str">
        <f>C4</f>
        <v>成本法</v>
      </c>
      <c r="D101" s="2584" t="str">
        <f>D4</f>
        <v>收益法</v>
      </c>
      <c r="E101" s="3673" t="s">
        <v>1431</v>
      </c>
      <c r="F101" s="3630"/>
      <c r="G101" s="1826" t="s">
        <v>1432</v>
      </c>
      <c r="H101" s="2593">
        <f ca="1">H118</f>
        <v>46382</v>
      </c>
      <c r="I101" s="129"/>
    </row>
    <row r="102" spans="1:35" ht="18.75" customHeight="1">
      <c r="A102" s="3632" t="s">
        <v>1433</v>
      </c>
      <c r="B102" s="2582" t="s">
        <v>1432</v>
      </c>
      <c r="C102" s="2583">
        <f ca="1">IF(D32="楼面单价",ROUND(C19,0),C19)</f>
        <v>32589</v>
      </c>
      <c r="D102" s="2584">
        <f ca="1">IF(D32="楼面单价",ROUND(D19,0),D19)</f>
        <v>52293</v>
      </c>
      <c r="E102" s="3673"/>
      <c r="F102" s="3630"/>
      <c r="G102" s="1826" t="s">
        <v>1434</v>
      </c>
      <c r="H102" s="2553">
        <f ca="1">I118</f>
        <v>19138</v>
      </c>
      <c r="I102" s="129"/>
    </row>
    <row r="103" spans="1:35" ht="42.75" customHeight="1">
      <c r="A103" s="3632"/>
      <c r="B103" s="2582" t="s">
        <v>1434</v>
      </c>
      <c r="C103" s="2585">
        <f ca="1">C20</f>
        <v>13447</v>
      </c>
      <c r="D103" s="2586">
        <f ca="1">D20</f>
        <v>25928</v>
      </c>
      <c r="E103" s="3667" t="s">
        <v>1435</v>
      </c>
      <c r="F103" s="3668"/>
      <c r="G103" s="1827" t="s">
        <v>1436</v>
      </c>
      <c r="H103" s="2593">
        <f>IF(D36="正常操作",H104+H105+H106,H105+H106)</f>
        <v>0</v>
      </c>
      <c r="I103" s="129"/>
    </row>
    <row r="104" spans="1:35" ht="18.75" customHeight="1">
      <c r="A104" s="3632" t="s">
        <v>1437</v>
      </c>
      <c r="B104" s="2587" t="s">
        <v>1432</v>
      </c>
      <c r="C104" s="2588">
        <f ca="1">H118</f>
        <v>46382</v>
      </c>
      <c r="D104" s="2589"/>
      <c r="E104" s="1673" t="s">
        <v>1438</v>
      </c>
      <c r="F104" s="1665"/>
      <c r="G104" s="1827" t="s">
        <v>1436</v>
      </c>
      <c r="H104" s="2594">
        <f>IF(D36="同一抵押权人同一抵押物续贷",C36&amp;"（续贷，未扣减，详见特别提示）",C36)</f>
        <v>0</v>
      </c>
      <c r="I104" s="129"/>
    </row>
    <row r="105" spans="1:35" ht="18.75" customHeight="1" thickBot="1">
      <c r="A105" s="3633"/>
      <c r="B105" s="2590" t="s">
        <v>1434</v>
      </c>
      <c r="C105" s="2591">
        <f ca="1">I118</f>
        <v>19138</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29" t="str">
        <f>IF(项目基本情况!E8="已注销","——","3.房地产抵押价值")</f>
        <v>3.房地产抵押价值</v>
      </c>
      <c r="F107" s="3630"/>
      <c r="G107" s="1826" t="s">
        <v>1432</v>
      </c>
      <c r="H107" s="2593">
        <f ca="1">IF(E107="——","——",H101-H103)</f>
        <v>46382</v>
      </c>
      <c r="I107" s="129"/>
    </row>
    <row r="108" spans="1:35" ht="18.75" customHeight="1">
      <c r="A108" s="129"/>
      <c r="B108" s="129"/>
      <c r="C108" s="129"/>
      <c r="D108" s="129"/>
      <c r="E108" s="3629"/>
      <c r="F108" s="3630"/>
      <c r="G108" s="1826" t="s">
        <v>1434</v>
      </c>
      <c r="H108" s="2553">
        <f ca="1">IF(H107=H101,H102,ROUND(H107*10000/'数据-汇总表'!E3,0))</f>
        <v>19138</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6" t="s">
        <v>1432</v>
      </c>
      <c r="H109" s="2596" t="str">
        <f>IF(E109="——","——",H101-H105-H106)</f>
        <v>——</v>
      </c>
      <c r="I109" s="129"/>
    </row>
    <row r="110" spans="1:35" ht="18.75" customHeight="1">
      <c r="A110" s="129"/>
      <c r="B110" s="129"/>
      <c r="C110" s="129"/>
      <c r="D110" s="129"/>
      <c r="E110" s="3629"/>
      <c r="F110" s="3630"/>
      <c r="G110" s="1826" t="s">
        <v>1434</v>
      </c>
      <c r="H110" s="2553"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6" t="s">
        <v>1432</v>
      </c>
      <c r="H111" s="2593" t="str">
        <f>IF(E111="——","——",N59)</f>
        <v>——</v>
      </c>
      <c r="I111" s="129"/>
    </row>
    <row r="112" spans="1:35" ht="18.75" customHeight="1" thickBot="1">
      <c r="A112" s="129"/>
      <c r="B112" s="129"/>
      <c r="C112" s="129"/>
      <c r="D112" s="129"/>
      <c r="E112" s="3662"/>
      <c r="F112" s="3663"/>
      <c r="G112" s="1829" t="s">
        <v>1434</v>
      </c>
      <c r="H112" s="2597" t="str">
        <f>IF(E111="——","——",N61)</f>
        <v>——</v>
      </c>
      <c r="I112" s="129"/>
    </row>
    <row r="113" spans="1:27" ht="18.75" customHeight="1">
      <c r="A113" s="129"/>
      <c r="B113" s="129"/>
      <c r="C113" s="129"/>
      <c r="D113" s="129"/>
      <c r="E113" s="3634" t="s">
        <v>1440</v>
      </c>
      <c r="F113" s="3634"/>
      <c r="G113" s="3634"/>
      <c r="H113" s="3634"/>
      <c r="I113" s="129"/>
    </row>
    <row r="114" spans="1:27" ht="3.75" customHeight="1">
      <c r="A114" s="1746"/>
      <c r="B114" s="1746"/>
      <c r="C114" s="1746"/>
      <c r="D114" s="1746"/>
      <c r="E114" s="1808"/>
      <c r="F114" s="1808"/>
      <c r="G114" s="1808"/>
      <c r="H114" s="1808"/>
      <c r="I114" s="1746"/>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2328" t="s">
        <v>1449</v>
      </c>
      <c r="E117" s="2328" t="s">
        <v>1450</v>
      </c>
      <c r="F117" s="2328" t="s">
        <v>1449</v>
      </c>
      <c r="G117" s="2328" t="s">
        <v>1451</v>
      </c>
      <c r="H117" s="2328" t="s">
        <v>1449</v>
      </c>
      <c r="I117" s="2328" t="s">
        <v>1451</v>
      </c>
    </row>
    <row r="118" spans="1:27" ht="24.75" customHeight="1">
      <c r="A118" s="2598" t="str">
        <f>项目基本情况!S2</f>
        <v>河北省保定市房地产</v>
      </c>
      <c r="B118" s="2328">
        <f>M18</f>
        <v>24235.660000000003</v>
      </c>
      <c r="C118" s="2328">
        <f>M19</f>
        <v>8768.82</v>
      </c>
      <c r="D118" s="2328">
        <f ca="1">ROUND(IF(D32="总价",C34,E118*B118/10000),0)</f>
        <v>13172</v>
      </c>
      <c r="E118" s="2328">
        <f ca="1">ROUND(IF(C33="自定义",IF(D32="楼面单价",C34,D118*10000/B118),I118-G118),0)</f>
        <v>5435</v>
      </c>
      <c r="F118" s="2328">
        <f ca="1">ROUND(IF(D32="总价",C35,G118*B118/10000),0)</f>
        <v>33210</v>
      </c>
      <c r="G118" s="2328">
        <f ca="1">ROUND(IF(D32="楼面单价",C35,F118*10000/B118),0)</f>
        <v>13703</v>
      </c>
      <c r="H118" s="2328">
        <f ca="1">ROUND(IF(D32="总价",C32,I118*B118/10000),0)</f>
        <v>46382</v>
      </c>
      <c r="I118" s="2328">
        <f ca="1">ROUND(IF(D32="楼面单价",C32,H118*10000/B118),0)</f>
        <v>19138</v>
      </c>
      <c r="J118" s="725">
        <f ca="1">D118/C118*666.67</f>
        <v>1001.4320330443549</v>
      </c>
    </row>
    <row r="119" spans="1:27" ht="18.75" customHeight="1">
      <c r="A119" s="3600" t="s">
        <v>1452</v>
      </c>
      <c r="B119" s="3600"/>
      <c r="C119" s="3600"/>
      <c r="D119" s="3640" t="str">
        <f ca="1">NUMBERSTRING(INT(D118*10000),2)&amp;"元整"</f>
        <v>壹亿叁仟壹佰柒拾贰万元整</v>
      </c>
      <c r="E119" s="3642"/>
      <c r="F119" s="3640" t="str">
        <f ca="1">NUMBERSTRING(INT(F118*10000),2)&amp;"元整"</f>
        <v>叁亿叁仟贰佰壹拾万元整</v>
      </c>
      <c r="G119" s="3642"/>
      <c r="H119" s="3640" t="str">
        <f ca="1">NUMBERSTRING(INT(H118*10000),2)&amp;"元整"</f>
        <v>肆亿陆仟叁佰捌拾贰万元整</v>
      </c>
      <c r="I119" s="3642"/>
    </row>
    <row r="120" spans="1:27" ht="18.75" customHeight="1">
      <c r="A120" s="3664" t="str">
        <f>IF(项目基本情况!B9="房地产市场价值","",MID(E103,3,LEN(E103)-2))</f>
        <v/>
      </c>
      <c r="B120" s="3665"/>
      <c r="C120" s="3666"/>
      <c r="D120" s="3664">
        <f>H103</f>
        <v>0</v>
      </c>
      <c r="E120" s="3665"/>
      <c r="F120" s="3665"/>
      <c r="G120" s="3665"/>
      <c r="H120" s="3665"/>
      <c r="I120" s="366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40" t="s">
        <v>1452</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
      </c>
      <c r="B122" s="3631"/>
      <c r="C122" s="3631"/>
      <c r="D122" s="3664">
        <f ca="1">H107</f>
        <v>46382</v>
      </c>
      <c r="E122" s="3665"/>
      <c r="F122" s="3665"/>
      <c r="G122" s="3665"/>
      <c r="H122" s="3665"/>
      <c r="I122" s="3666"/>
      <c r="AA122" s="725"/>
    </row>
    <row r="123" spans="1:27" ht="18.75" customHeight="1">
      <c r="A123" s="3600" t="s">
        <v>1452</v>
      </c>
      <c r="B123" s="3600"/>
      <c r="C123" s="3600"/>
      <c r="D123" s="3640" t="str">
        <f ca="1">NUMBERSTRING(INT(D122*10000),2)&amp;"元整"</f>
        <v>肆亿陆仟叁佰捌拾贰万元整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1452</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1452</v>
      </c>
      <c r="B127" s="3600"/>
      <c r="C127" s="3600"/>
      <c r="D127" s="3640" t="e">
        <f>NUMBERSTRING(INT(D126*10000),2)&amp;"元整"</f>
        <v>#VALUE!</v>
      </c>
      <c r="E127" s="3641"/>
      <c r="F127" s="3641"/>
      <c r="G127" s="3641"/>
      <c r="H127" s="3641"/>
      <c r="I127" s="3642"/>
      <c r="AA127" s="725"/>
    </row>
    <row r="128" spans="1:27" ht="21.75" customHeight="1">
      <c r="A128" s="3647" t="s">
        <v>1453</v>
      </c>
      <c r="B128" s="3647"/>
      <c r="C128" s="3647"/>
      <c r="D128" s="3647"/>
      <c r="E128" s="3647"/>
      <c r="F128" s="3647"/>
      <c r="G128" s="3647"/>
      <c r="H128" s="3647"/>
      <c r="I128" s="364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32589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13447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6375</v>
      </c>
      <c r="D5" s="211" t="s">
        <v>1469</v>
      </c>
      <c r="E5" s="212" t="s">
        <v>1470</v>
      </c>
      <c r="F5" s="212" t="s">
        <v>1471</v>
      </c>
      <c r="G5" s="213"/>
    </row>
    <row r="6" spans="1:9" s="214" customFormat="1" ht="13.5" customHeight="1">
      <c r="A6" s="778" t="s">
        <v>1472</v>
      </c>
      <c r="B6" s="215" t="s">
        <v>1473</v>
      </c>
      <c r="C6" s="216">
        <f>'土地比较法-住宅、综合'!B2</f>
        <v>5810</v>
      </c>
      <c r="D6" s="217"/>
      <c r="E6" s="218"/>
      <c r="F6" s="218"/>
      <c r="G6" s="219"/>
    </row>
    <row r="7" spans="1:9" s="214" customFormat="1" ht="13.5" customHeight="1">
      <c r="A7" s="778" t="s">
        <v>1474</v>
      </c>
      <c r="B7" s="215" t="s">
        <v>1475</v>
      </c>
      <c r="C7" s="220">
        <f>ROUND(C6*F7,0)</f>
        <v>177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5"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180</v>
      </c>
      <c r="F9" s="221"/>
      <c r="G9" s="1856" t="s">
        <v>3406</v>
      </c>
      <c r="H9" s="1137"/>
      <c r="I9" s="1857"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24235.660000000003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24235.660000000003</v>
      </c>
      <c r="E19" s="211">
        <f>'数据-取费表'!B31</f>
        <v>200</v>
      </c>
      <c r="F19" s="231"/>
      <c r="G19" s="1855" t="s">
        <v>3407</v>
      </c>
    </row>
    <row r="20" spans="1:7" s="214" customFormat="1" ht="13.5" customHeight="1">
      <c r="A20" s="255" t="s">
        <v>1493</v>
      </c>
      <c r="B20" s="210" t="s">
        <v>1494</v>
      </c>
      <c r="C20" s="232">
        <f ca="1">ROUND((C5+C19)*F20,0)</f>
        <v>191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548</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1313</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1313</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16612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15143</v>
      </c>
      <c r="D34" s="217"/>
      <c r="E34" s="220"/>
      <c r="F34" s="257">
        <f ca="1">IF('数据-取费表'!B24=0,1,IF(B1="",'数据-取费表'!N16,INDIRECT("'数据-取费表'!n"&amp;$G$1)))</f>
        <v>1</v>
      </c>
      <c r="G34" s="219" t="s">
        <v>1526</v>
      </c>
    </row>
    <row r="35" spans="1:7" ht="13.5" customHeight="1">
      <c r="A35" s="780" t="s">
        <v>351</v>
      </c>
      <c r="B35" s="215" t="s">
        <v>1527</v>
      </c>
      <c r="C35" s="220">
        <f ca="1">ROUND(C34*F35,0)</f>
        <v>757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485</v>
      </c>
      <c r="D37" s="217">
        <f ca="1">D19</f>
        <v>24235.660000000003</v>
      </c>
      <c r="E37" s="249">
        <f>'数据-取费表'!B35</f>
        <v>200</v>
      </c>
      <c r="F37" s="259"/>
      <c r="G37" s="261" t="s">
        <v>1532</v>
      </c>
    </row>
    <row r="38" spans="1:7" ht="13.5" customHeight="1">
      <c r="A38" s="780" t="s">
        <v>354</v>
      </c>
      <c r="B38" s="215" t="s">
        <v>1533</v>
      </c>
      <c r="C38" s="220">
        <f ca="1">ROUND(C34*F38,0)</f>
        <v>227</v>
      </c>
      <c r="D38" s="220"/>
      <c r="E38" s="220"/>
      <c r="F38" s="259">
        <f>'数据-取费表'!B36</f>
        <v>1.4999999999999999E-2</v>
      </c>
      <c r="G38" s="219" t="s">
        <v>1528</v>
      </c>
    </row>
    <row r="39" spans="1:7" s="214" customFormat="1" ht="13.5" customHeight="1">
      <c r="A39" s="255" t="s">
        <v>1534</v>
      </c>
      <c r="B39" s="210" t="s">
        <v>1535</v>
      </c>
      <c r="C39" s="232">
        <f ca="1">ROUND(C33*F20,0)</f>
        <v>498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710</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689</v>
      </c>
      <c r="D42" s="238"/>
      <c r="E42" s="238"/>
      <c r="F42" s="239"/>
      <c r="G42" s="3680" t="s">
        <v>1544</v>
      </c>
    </row>
    <row r="43" spans="1:7" ht="13.5" customHeight="1">
      <c r="A43" s="780" t="s">
        <v>347</v>
      </c>
      <c r="B43" s="215" t="s">
        <v>1545</v>
      </c>
      <c r="C43" s="238">
        <f ca="1">ROUND(IF('数据-取费表'!B22&lt;=1,C39*F22*'数据-取费表'!B21/2,C39*(POWER((1+F22),'数据-取费表'!B21/2)-1)),0)</f>
        <v>21</v>
      </c>
      <c r="D43" s="238"/>
      <c r="E43" s="238"/>
      <c r="F43" s="239"/>
      <c r="G43" s="3681"/>
    </row>
    <row r="44" spans="1:7" ht="13.5" customHeight="1">
      <c r="A44" s="780" t="s">
        <v>348</v>
      </c>
      <c r="B44" s="215" t="s">
        <v>1546</v>
      </c>
      <c r="C44" s="238">
        <f ca="1">ROUND(IF('数据-取费表'!B22&lt;=1,C40*F22*'数据-取费表'!B21/2,C40*(POWER((1+F22),'数据-取费表'!B21/2)-1)),4)</f>
        <v>1.1999999999999999E-3</v>
      </c>
      <c r="D44" s="238"/>
      <c r="E44" s="238"/>
      <c r="F44" s="239"/>
      <c r="G44" s="3682"/>
    </row>
    <row r="45" spans="1:7" s="214" customFormat="1" ht="13.5" customHeight="1">
      <c r="A45" s="255" t="s">
        <v>1547</v>
      </c>
      <c r="B45" s="244" t="s">
        <v>1513</v>
      </c>
      <c r="C45" s="245">
        <f ca="1">C46</f>
        <v>3422</v>
      </c>
      <c r="D45" s="235">
        <f ca="1">C47</f>
        <v>6.0000000000000001E-3</v>
      </c>
      <c r="E45" s="236" t="s">
        <v>1539</v>
      </c>
      <c r="F45" s="246">
        <f ca="1">F27</f>
        <v>0.2</v>
      </c>
      <c r="G45" s="247" t="s">
        <v>1548</v>
      </c>
    </row>
    <row r="46" spans="1:7" s="214" customFormat="1" ht="13.5" customHeight="1">
      <c r="A46" s="780" t="s">
        <v>346</v>
      </c>
      <c r="B46" s="248" t="s">
        <v>1549</v>
      </c>
      <c r="C46" s="249">
        <f ca="1">ROUND((C33+C39)*F27,0)</f>
        <v>3422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23333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23333</v>
      </c>
      <c r="D51" s="232"/>
      <c r="E51" s="232"/>
      <c r="F51" s="264"/>
      <c r="G51" s="234" t="s">
        <v>1560</v>
      </c>
    </row>
    <row r="52" spans="1:7" s="208" customFormat="1" ht="16.5" thickBot="1">
      <c r="A52" s="265" t="s">
        <v>1561</v>
      </c>
      <c r="B52" s="266"/>
      <c r="C52" s="267">
        <f ca="1">C31+C51</f>
        <v>32589</v>
      </c>
      <c r="D52" s="266"/>
      <c r="E52" s="266"/>
      <c r="F52" s="266"/>
      <c r="G52" s="268"/>
    </row>
    <row r="55" spans="1:7" ht="15">
      <c r="B55" s="270" t="s">
        <v>1562</v>
      </c>
      <c r="C55" s="271"/>
    </row>
    <row r="56" spans="1:7">
      <c r="B56" s="273" t="s">
        <v>802</v>
      </c>
      <c r="C56" s="275">
        <f ca="1">1-C57</f>
        <v>0.28400000000000003</v>
      </c>
    </row>
    <row r="57" spans="1:7">
      <c r="B57" s="273" t="s">
        <v>803</v>
      </c>
      <c r="C57" s="274">
        <f ca="1">ROUND(C51/C52,3)</f>
        <v>0.71599999999999997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2" sqref="J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1">
        <f ca="1">ROUND(IF(D2="——",C52/10000,C52/10000-E2),4)</f>
        <v>24600.172399999999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10150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3877706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3877706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180</v>
      </c>
      <c r="F9" s="221"/>
      <c r="G9" s="226"/>
    </row>
    <row r="10" spans="1:8" s="214" customFormat="1" ht="13.5" customHeight="1">
      <c r="A10" s="779" t="s">
        <v>356</v>
      </c>
      <c r="B10" s="224" t="s">
        <v>1480</v>
      </c>
      <c r="C10" s="225">
        <f ca="1">ROUND(D10*E10,0)</f>
        <v>3877706</v>
      </c>
      <c r="D10" s="845">
        <f ca="1">IF(B1="",'数据-汇总表'!E6,IF(INDIRECT("'数据-取费表'!c"&amp;$G$1)="住宅",INDIRECT("'数据-取费表'!s"&amp;$G$1),INDIRECT("'数据-取费表'!k"&amp;$G$1)+INDIRECT("'数据-取费表'!s"&amp;$G$1)))</f>
        <v>24235.660000000003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4847132</v>
      </c>
      <c r="D19" s="849">
        <f ca="1">D9+D10</f>
        <v>24235.660000000003</v>
      </c>
      <c r="E19" s="211">
        <f>'数据-取费表'!B31</f>
        <v>200</v>
      </c>
      <c r="F19" s="231"/>
      <c r="G19" s="1855"/>
    </row>
    <row r="20" spans="1:7" s="214" customFormat="1" ht="13.5" customHeight="1">
      <c r="A20" s="255" t="s">
        <v>1574</v>
      </c>
      <c r="B20" s="210" t="s">
        <v>1575</v>
      </c>
      <c r="C20" s="232">
        <f ca="1">ROUND((C5+C19)*F20,0)</f>
        <v>261745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750050</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328528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410660</v>
      </c>
      <c r="D24" s="238"/>
      <c r="E24" s="238"/>
      <c r="F24" s="239"/>
      <c r="G24" s="240" t="s">
        <v>1586</v>
      </c>
    </row>
    <row r="25" spans="1:7" s="214" customFormat="1" ht="24">
      <c r="A25" s="780" t="s">
        <v>1476</v>
      </c>
      <c r="B25" s="215" t="s">
        <v>1587</v>
      </c>
      <c r="C25" s="1128">
        <f ca="1">ROUND(IF('数据-取费表'!B22&lt;=1,C20*F22*'数据-取费表'!B22/2,C20*(POWER((1+F22),'数据-取费表'!B22/2)-1)),0)</f>
        <v>10862</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1797317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1797317</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12669101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166120705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151430585</v>
      </c>
      <c r="D34" s="217"/>
      <c r="E34" s="220"/>
      <c r="F34" s="257"/>
      <c r="G34" s="219"/>
    </row>
    <row r="35" spans="1:7" ht="13.5" customHeight="1">
      <c r="A35" s="780" t="s">
        <v>351</v>
      </c>
      <c r="B35" s="215" t="s">
        <v>1527</v>
      </c>
      <c r="C35" s="220">
        <f ca="1">ROUND(C34*F35,0)</f>
        <v>7571529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4847132</v>
      </c>
      <c r="D37" s="217">
        <f ca="1">D19</f>
        <v>24235.660000000003</v>
      </c>
      <c r="E37" s="249">
        <f>'数据-取费表'!B35</f>
        <v>200</v>
      </c>
      <c r="F37" s="259"/>
      <c r="G37" s="261"/>
    </row>
    <row r="38" spans="1:7" ht="13.5" customHeight="1">
      <c r="A38" s="780" t="s">
        <v>354</v>
      </c>
      <c r="B38" s="215" t="s">
        <v>1533</v>
      </c>
      <c r="C38" s="220">
        <f ca="1">ROUND(C34*F38,0)</f>
        <v>2271459</v>
      </c>
      <c r="D38" s="220"/>
      <c r="E38" s="220"/>
      <c r="F38" s="259">
        <f>'数据-取费表'!B36</f>
        <v>1.4999999999999999E-2</v>
      </c>
      <c r="G38" s="219" t="s">
        <v>1528</v>
      </c>
    </row>
    <row r="39" spans="1:7" s="214" customFormat="1" ht="13.5" customHeight="1">
      <c r="A39" s="255" t="s">
        <v>1534</v>
      </c>
      <c r="B39" s="210" t="s">
        <v>1535</v>
      </c>
      <c r="C39" s="232">
        <f ca="1">ROUND(C33*F20,0)</f>
        <v>4983621</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7100829</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6894009</v>
      </c>
      <c r="D42" s="238"/>
      <c r="E42" s="238"/>
      <c r="F42" s="239"/>
      <c r="G42" s="3680" t="s">
        <v>1591</v>
      </c>
    </row>
    <row r="43" spans="1:7" ht="13.5" customHeight="1">
      <c r="A43" s="780" t="s">
        <v>347</v>
      </c>
      <c r="B43" s="215" t="s">
        <v>1545</v>
      </c>
      <c r="C43" s="238">
        <f ca="1">ROUND(IF('数据-取费表'!B22&lt;=1,C39*F22*'数据-取费表'!B20/2,C39*(POWER((1+F22),'数据-取费表'!B20/2)-1)),0)</f>
        <v>206820</v>
      </c>
      <c r="D43" s="238"/>
      <c r="E43" s="238"/>
      <c r="F43" s="239"/>
      <c r="G43" s="3681"/>
    </row>
    <row r="44" spans="1:7" ht="13.5" customHeight="1">
      <c r="A44" s="780" t="s">
        <v>348</v>
      </c>
      <c r="B44" s="215" t="s">
        <v>1546</v>
      </c>
      <c r="C44" s="238">
        <f ca="1">ROUND(IF('数据-取费表'!B22&lt;=1,C40*F22*'数据-取费表'!B20/2,C40*(POWER((1+F22),'数据-取费表'!B20/2)-1)),4)</f>
        <v>1.1999999999999999E-3</v>
      </c>
      <c r="D44" s="238"/>
      <c r="E44" s="238"/>
      <c r="F44" s="239"/>
      <c r="G44" s="3682"/>
    </row>
    <row r="45" spans="1:7" s="214" customFormat="1" ht="13.5" customHeight="1">
      <c r="A45" s="255" t="s">
        <v>1547</v>
      </c>
      <c r="B45" s="244" t="s">
        <v>1513</v>
      </c>
      <c r="C45" s="245">
        <f ca="1">C46</f>
        <v>34220865</v>
      </c>
      <c r="D45" s="235">
        <f ca="1">C47</f>
        <v>6.0000000000000001E-3</v>
      </c>
      <c r="E45" s="236" t="s">
        <v>1539</v>
      </c>
      <c r="F45" s="246">
        <f ca="1">F27</f>
        <v>0.2</v>
      </c>
      <c r="G45" s="247" t="s">
        <v>1548</v>
      </c>
    </row>
    <row r="46" spans="1:7" s="214" customFormat="1" ht="13.5" customHeight="1">
      <c r="A46" s="780" t="s">
        <v>346</v>
      </c>
      <c r="B46" s="248" t="s">
        <v>1549</v>
      </c>
      <c r="C46" s="249">
        <f ca="1">ROUND((C33+C39)*F27,0)</f>
        <v>34220865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233332623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233332623</v>
      </c>
      <c r="D51" s="232"/>
      <c r="E51" s="232"/>
      <c r="F51" s="264"/>
      <c r="G51" s="234" t="s">
        <v>1560</v>
      </c>
    </row>
    <row r="52" spans="1:7" s="208" customFormat="1" ht="16.5" thickBot="1">
      <c r="A52" s="265" t="s">
        <v>1561</v>
      </c>
      <c r="B52" s="266"/>
      <c r="C52" s="267">
        <f ca="1">C31+C51</f>
        <v>246001724</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2" sqref="J4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9</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24235.660000000003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24235.660000000003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180</v>
      </c>
      <c r="F19" s="804"/>
      <c r="G19" s="12"/>
      <c r="H19" s="1188"/>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24235.660000000003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F56" sqref="F5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5.62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5810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2397</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87" t="s">
        <v>1770</v>
      </c>
      <c r="D4" s="3699"/>
      <c r="E4" s="3700" t="s">
        <v>1771</v>
      </c>
      <c r="F4" s="3701"/>
      <c r="G4" s="3687" t="s">
        <v>1772</v>
      </c>
      <c r="H4" s="3699"/>
      <c r="I4" s="3687" t="s">
        <v>1773</v>
      </c>
      <c r="J4" s="3699"/>
      <c r="K4" s="559" t="s">
        <v>1774</v>
      </c>
      <c r="L4" s="2712"/>
      <c r="M4" s="2713"/>
      <c r="N4" s="2713"/>
      <c r="O4" s="2713"/>
      <c r="P4" s="3702" t="s">
        <v>1775</v>
      </c>
      <c r="Q4" s="3703"/>
      <c r="R4" s="3708" t="s">
        <v>1771</v>
      </c>
      <c r="S4" s="3709"/>
      <c r="T4" s="3708" t="s">
        <v>1772</v>
      </c>
      <c r="U4" s="3709"/>
      <c r="V4" s="3695" t="s">
        <v>1773</v>
      </c>
      <c r="W4" s="3695"/>
      <c r="X4" s="1354"/>
      <c r="Y4" s="3708" t="s">
        <v>1775</v>
      </c>
      <c r="Z4" s="3709"/>
      <c r="AA4" s="3696" t="s">
        <v>1771</v>
      </c>
      <c r="AB4" s="3697" t="s">
        <v>1772</v>
      </c>
      <c r="AC4" s="3696" t="s">
        <v>1773</v>
      </c>
    </row>
    <row r="5" spans="1:30" ht="62.25" customHeight="1">
      <c r="A5" s="358"/>
      <c r="B5" s="359"/>
      <c r="C5" s="3716" t="s">
        <v>1673</v>
      </c>
      <c r="D5" s="3717"/>
      <c r="E5" s="3723" t="str">
        <f>土地案例!A4</f>
        <v>启动区西北居住片区,四至范围:东至城市道路NC2,南至城市道路ED12,西至城市道路ND12和ND13,北至城市道路EB2。</v>
      </c>
      <c r="F5" s="3724"/>
      <c r="G5" s="3716" t="str">
        <f>土地案例!A23</f>
        <v>容东片区西南部</v>
      </c>
      <c r="H5" s="3717"/>
      <c r="I5" s="3716" t="str">
        <f>土地案例!A14</f>
        <v>容东片区金湖公园北侧</v>
      </c>
      <c r="J5" s="3717"/>
      <c r="K5" s="559"/>
      <c r="L5" s="2712"/>
      <c r="M5" s="2713"/>
      <c r="N5" s="2713"/>
      <c r="O5" s="2713"/>
      <c r="P5" s="3704"/>
      <c r="Q5" s="3705"/>
      <c r="R5" s="3710"/>
      <c r="S5" s="3711"/>
      <c r="T5" s="3710"/>
      <c r="U5" s="3711"/>
      <c r="V5" s="3695"/>
      <c r="W5" s="3695"/>
      <c r="X5" s="1354"/>
      <c r="Y5" s="3710"/>
      <c r="Z5" s="3711"/>
      <c r="AA5" s="3697"/>
      <c r="AB5" s="3697"/>
      <c r="AC5" s="3697"/>
    </row>
    <row r="6" spans="1:30" ht="15.75" thickBot="1">
      <c r="A6" s="360"/>
      <c r="B6" s="361"/>
      <c r="C6" s="3714" t="s">
        <v>1677</v>
      </c>
      <c r="D6" s="3715"/>
      <c r="E6" s="3721" t="s">
        <v>1677</v>
      </c>
      <c r="F6" s="3722"/>
      <c r="G6" s="3714" t="s">
        <v>1677</v>
      </c>
      <c r="H6" s="3715"/>
      <c r="I6" s="3714" t="s">
        <v>1677</v>
      </c>
      <c r="J6" s="3715"/>
      <c r="K6" s="559" t="s">
        <v>1678</v>
      </c>
      <c r="L6" s="2712"/>
      <c r="M6" s="2713"/>
      <c r="N6" s="2713"/>
      <c r="O6" s="2713"/>
      <c r="P6" s="3706"/>
      <c r="Q6" s="3707"/>
      <c r="R6" s="3710"/>
      <c r="S6" s="3711"/>
      <c r="T6" s="3712"/>
      <c r="U6" s="3713"/>
      <c r="V6" s="3695"/>
      <c r="W6" s="3695"/>
      <c r="X6" s="1354"/>
      <c r="Y6" s="3712"/>
      <c r="Z6" s="3713"/>
      <c r="AA6" s="3698"/>
      <c r="AB6" s="3698"/>
      <c r="AC6" s="3698"/>
    </row>
    <row r="7" spans="1:30" s="108" customFormat="1" ht="15.75" thickBot="1">
      <c r="A7" s="362" t="s">
        <v>1679</v>
      </c>
      <c r="B7" s="363"/>
      <c r="C7" s="364">
        <f>'数据-取费表'!B2</f>
        <v>45033</v>
      </c>
      <c r="D7" s="365">
        <v>100</v>
      </c>
      <c r="E7" s="366">
        <f>土地案例!L4</f>
        <v>44925.000497685185</v>
      </c>
      <c r="F7" s="367">
        <f>SUMIF(69:69,YEAR(E7)&amp;"-"&amp;INT((MONTH(E7)+2)/3),70:70)</f>
        <v>100</v>
      </c>
      <c r="G7" s="1973">
        <f>土地案例!L23</f>
        <v>44172.000497685185</v>
      </c>
      <c r="H7" s="365">
        <f>SUMIF(69:69,YEAR(G7)&amp;"-"&amp;INT((MONTH(G7)+2)/3),70:70)</f>
        <v>100</v>
      </c>
      <c r="I7" s="1973">
        <f>土地案例!L14</f>
        <v>44172.000497685185</v>
      </c>
      <c r="J7" s="365">
        <f>SUMIF(69:69,YEAR(I7)&amp;"-"&amp;INT((MONTH(I7)+2)/3),70:70)</f>
        <v>100</v>
      </c>
      <c r="K7" s="560"/>
      <c r="L7" s="2714"/>
      <c r="M7" s="2715"/>
      <c r="N7" s="2715"/>
      <c r="O7" s="2715"/>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4"/>
      <c r="M8" s="2715"/>
      <c r="N8" s="2715"/>
      <c r="O8" s="2715"/>
      <c r="P8" s="3718" t="s">
        <v>1683</v>
      </c>
      <c r="Q8" s="3719"/>
      <c r="R8" s="701" t="s">
        <v>14</v>
      </c>
      <c r="S8" s="702">
        <f t="shared" si="0"/>
        <v>100</v>
      </c>
      <c r="T8" s="701" t="s">
        <v>14</v>
      </c>
      <c r="U8" s="702">
        <f t="shared" si="1"/>
        <v>100</v>
      </c>
      <c r="V8" s="701" t="s">
        <v>14</v>
      </c>
      <c r="W8" s="702">
        <f t="shared" si="2"/>
        <v>100</v>
      </c>
      <c r="X8" s="703"/>
      <c r="Y8" s="3718" t="s">
        <v>1683</v>
      </c>
      <c r="Z8" s="3719"/>
      <c r="AA8" s="704">
        <f t="shared" ref="AA8:AA45" si="3">D8/F8</f>
        <v>1</v>
      </c>
      <c r="AB8" s="704">
        <f t="shared" ref="AB8:AB45" si="4">D8/H8</f>
        <v>1</v>
      </c>
      <c r="AC8" s="704">
        <f t="shared" ref="AC8:AC45" si="5">D8/J8</f>
        <v>1</v>
      </c>
    </row>
    <row r="9" spans="1:30" s="108" customFormat="1">
      <c r="A9" s="369" t="s">
        <v>1684</v>
      </c>
      <c r="B9" s="63" t="s">
        <v>1685</v>
      </c>
      <c r="C9" s="1976" t="s">
        <v>3580</v>
      </c>
      <c r="D9" s="126">
        <v>100</v>
      </c>
      <c r="E9" s="1976" t="s">
        <v>3580</v>
      </c>
      <c r="F9" s="126">
        <f>SUMIF(74:74,E9,75:75)-SUMIF(74:74,C9,75:75)+100</f>
        <v>100</v>
      </c>
      <c r="G9" s="1976" t="s">
        <v>3580</v>
      </c>
      <c r="H9" s="126">
        <f>SUMIF(74:74,G9,75:75)-SUMIF(74:74,C9,75:75)+100</f>
        <v>100</v>
      </c>
      <c r="I9" s="1976" t="s">
        <v>3580</v>
      </c>
      <c r="J9" s="126">
        <f>SUMIF(74:74,I9,75:75)-SUMIF(74:74,C9,75:75)+100</f>
        <v>100</v>
      </c>
      <c r="K9" s="560"/>
      <c r="L9" s="2714"/>
      <c r="M9" s="2715"/>
      <c r="N9" s="2715"/>
      <c r="O9" s="2769"/>
      <c r="P9" s="3690"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30" s="378" customFormat="1" ht="27">
      <c r="A10" s="374"/>
      <c r="B10" s="375" t="s">
        <v>1688</v>
      </c>
      <c r="C10" s="383">
        <f>项目基本情况!E15</f>
        <v>38.04</v>
      </c>
      <c r="D10" s="127">
        <v>100</v>
      </c>
      <c r="E10" s="416" t="s">
        <v>3582</v>
      </c>
      <c r="F10" s="127">
        <f>ROUND(100/'数据-取费表'!G16,0)</f>
        <v>102</v>
      </c>
      <c r="G10" s="414" t="s">
        <v>3582</v>
      </c>
      <c r="H10" s="127">
        <f>ROUND(100/'数据-取费表'!G16,0)</f>
        <v>102</v>
      </c>
      <c r="I10" s="414" t="s">
        <v>3582</v>
      </c>
      <c r="J10" s="127">
        <f>ROUND(100/'数据-取费表'!G16,0)</f>
        <v>102</v>
      </c>
      <c r="K10" s="620"/>
      <c r="L10" s="2716"/>
      <c r="M10" s="2717"/>
      <c r="N10" s="2717"/>
      <c r="O10" s="2770"/>
      <c r="P10" s="3690"/>
      <c r="Q10" s="1342" t="str">
        <f t="shared" si="6"/>
        <v>土地使用年限（年）</v>
      </c>
      <c r="R10" s="701" t="s">
        <v>14</v>
      </c>
      <c r="S10" s="702">
        <f t="shared" si="0"/>
        <v>102</v>
      </c>
      <c r="T10" s="701" t="s">
        <v>14</v>
      </c>
      <c r="U10" s="702">
        <f t="shared" si="1"/>
        <v>102</v>
      </c>
      <c r="V10" s="701" t="s">
        <v>14</v>
      </c>
      <c r="W10" s="702">
        <f t="shared" si="2"/>
        <v>102</v>
      </c>
      <c r="X10" s="703"/>
      <c r="Y10" s="3587"/>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f>'数据-汇总表'!I6</f>
        <v>2.2999999999999998</v>
      </c>
      <c r="D11" s="127">
        <v>100</v>
      </c>
      <c r="E11" s="380">
        <v>2.5</v>
      </c>
      <c r="F11" s="127">
        <f>LOOKUP(E11,79:79,80:80)-LOOKUP(C11,79:79,80:80)+100</f>
        <v>95</v>
      </c>
      <c r="G11" s="381">
        <v>1.02</v>
      </c>
      <c r="H11" s="127">
        <f>LOOKUP(G11,79:79,80:80)-LOOKUP(C11,79:79,80:80)+100</f>
        <v>110</v>
      </c>
      <c r="I11" s="380">
        <v>2.7</v>
      </c>
      <c r="J11" s="127">
        <f>LOOKUP(I11,79:79,80:80)-LOOKUP(C11,79:79,80:80)+100</f>
        <v>95</v>
      </c>
      <c r="K11" s="621">
        <v>5</v>
      </c>
      <c r="L11" s="2718"/>
      <c r="M11" s="2713"/>
      <c r="N11" s="2713"/>
      <c r="O11" s="2771"/>
      <c r="P11" s="3690"/>
      <c r="Q11" s="1342" t="str">
        <f t="shared" si="6"/>
        <v>容积率</v>
      </c>
      <c r="R11" s="701" t="s">
        <v>14</v>
      </c>
      <c r="S11" s="702">
        <f t="shared" si="0"/>
        <v>95</v>
      </c>
      <c r="T11" s="701" t="s">
        <v>14</v>
      </c>
      <c r="U11" s="702">
        <f t="shared" si="1"/>
        <v>110</v>
      </c>
      <c r="V11" s="701" t="s">
        <v>14</v>
      </c>
      <c r="W11" s="702">
        <f t="shared" si="2"/>
        <v>95</v>
      </c>
      <c r="X11" s="703"/>
      <c r="Y11" s="3587"/>
      <c r="Z11" s="52" t="str">
        <f t="shared" si="7"/>
        <v>容积率</v>
      </c>
      <c r="AA11" s="704">
        <f t="shared" si="3"/>
        <v>1.0526315789473684</v>
      </c>
      <c r="AB11" s="704">
        <f t="shared" si="4"/>
        <v>0.90909090909090906</v>
      </c>
      <c r="AC11" s="704">
        <f t="shared" si="5"/>
        <v>1.0526315789473684</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0"/>
      <c r="Q12" s="1342" t="str">
        <f t="shared" si="6"/>
        <v>配建</v>
      </c>
      <c r="R12" s="701" t="s">
        <v>14</v>
      </c>
      <c r="S12" s="702">
        <f t="shared" si="0"/>
        <v>100</v>
      </c>
      <c r="T12" s="701" t="s">
        <v>14</v>
      </c>
      <c r="U12" s="702">
        <f t="shared" si="1"/>
        <v>100</v>
      </c>
      <c r="V12" s="701" t="s">
        <v>14</v>
      </c>
      <c r="W12" s="702">
        <f t="shared" si="2"/>
        <v>100</v>
      </c>
      <c r="X12" s="703"/>
      <c r="Y12" s="3587"/>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0"/>
      <c r="Q13" s="1342">
        <f t="shared" si="6"/>
        <v>111</v>
      </c>
      <c r="R13" s="701" t="s">
        <v>14</v>
      </c>
      <c r="S13" s="702">
        <f t="shared" si="0"/>
        <v>100</v>
      </c>
      <c r="T13" s="701" t="s">
        <v>14</v>
      </c>
      <c r="U13" s="702">
        <f t="shared" si="1"/>
        <v>100</v>
      </c>
      <c r="V13" s="701" t="s">
        <v>14</v>
      </c>
      <c r="W13" s="702">
        <f t="shared" si="2"/>
        <v>100</v>
      </c>
      <c r="X13" s="703"/>
      <c r="Y13" s="3587"/>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0"/>
      <c r="Q14" s="1342">
        <f t="shared" si="6"/>
        <v>111</v>
      </c>
      <c r="R14" s="701" t="s">
        <v>14</v>
      </c>
      <c r="S14" s="702">
        <f t="shared" si="0"/>
        <v>100</v>
      </c>
      <c r="T14" s="701" t="s">
        <v>14</v>
      </c>
      <c r="U14" s="702">
        <f t="shared" si="1"/>
        <v>100</v>
      </c>
      <c r="V14" s="701" t="s">
        <v>14</v>
      </c>
      <c r="W14" s="702">
        <f t="shared" si="2"/>
        <v>100</v>
      </c>
      <c r="X14" s="703"/>
      <c r="Y14" s="3587"/>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1" t="s">
        <v>1691</v>
      </c>
      <c r="Q15" s="1351" t="str">
        <f t="shared" si="6"/>
        <v>居住社区成熟度</v>
      </c>
      <c r="R15" s="705" t="s">
        <v>14</v>
      </c>
      <c r="S15" s="706">
        <f t="shared" si="0"/>
        <v>100</v>
      </c>
      <c r="T15" s="705" t="s">
        <v>14</v>
      </c>
      <c r="U15" s="706">
        <f t="shared" si="1"/>
        <v>100</v>
      </c>
      <c r="V15" s="705" t="s">
        <v>14</v>
      </c>
      <c r="W15" s="706">
        <f t="shared" si="2"/>
        <v>100</v>
      </c>
      <c r="X15" s="1354"/>
      <c r="Y15" s="3691"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9"/>
      <c r="M16" s="2713"/>
      <c r="N16" s="2713"/>
      <c r="O16" s="2771"/>
      <c r="P16" s="3692"/>
      <c r="Q16" s="1351"/>
      <c r="R16" s="705"/>
      <c r="S16" s="706"/>
      <c r="T16" s="705"/>
      <c r="U16" s="706"/>
      <c r="V16" s="705"/>
      <c r="W16" s="706"/>
      <c r="X16" s="1354"/>
      <c r="Y16" s="3692"/>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2"/>
      <c r="Q17" s="1351" t="str">
        <f>B17</f>
        <v>商业繁华度</v>
      </c>
      <c r="R17" s="705" t="s">
        <v>14</v>
      </c>
      <c r="S17" s="706">
        <f>F17</f>
        <v>100</v>
      </c>
      <c r="T17" s="705" t="s">
        <v>14</v>
      </c>
      <c r="U17" s="706">
        <f>H17</f>
        <v>100</v>
      </c>
      <c r="V17" s="705" t="s">
        <v>14</v>
      </c>
      <c r="W17" s="706">
        <f>J17</f>
        <v>100</v>
      </c>
      <c r="X17" s="1354"/>
      <c r="Y17" s="3692"/>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9"/>
      <c r="M18" s="2713"/>
      <c r="N18" s="2713"/>
      <c r="O18" s="2771"/>
      <c r="P18" s="3692"/>
      <c r="Q18" s="1351"/>
      <c r="R18" s="705"/>
      <c r="S18" s="706"/>
      <c r="T18" s="705"/>
      <c r="U18" s="706"/>
      <c r="V18" s="705"/>
      <c r="W18" s="706"/>
      <c r="X18" s="1354"/>
      <c r="Y18" s="369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95</v>
      </c>
      <c r="I19" s="410"/>
      <c r="J19" s="401">
        <f>SUMIF(91:91,I20,92:92)-SUMIF(91:91,C20,92:92)+100</f>
        <v>95</v>
      </c>
      <c r="K19" s="621">
        <v>5</v>
      </c>
      <c r="L19" s="3474" t="s">
        <v>3646</v>
      </c>
      <c r="M19" s="2713"/>
      <c r="N19" s="2713"/>
      <c r="O19" s="2771"/>
      <c r="P19" s="3692"/>
      <c r="Q19" s="1351" t="str">
        <f>B19</f>
        <v>办公集聚程度</v>
      </c>
      <c r="R19" s="705" t="s">
        <v>14</v>
      </c>
      <c r="S19" s="706">
        <f>F19</f>
        <v>100</v>
      </c>
      <c r="T19" s="705" t="s">
        <v>14</v>
      </c>
      <c r="U19" s="706">
        <f>H19</f>
        <v>95</v>
      </c>
      <c r="V19" s="705" t="s">
        <v>14</v>
      </c>
      <c r="W19" s="706">
        <f>J19</f>
        <v>95</v>
      </c>
      <c r="X19" s="1354"/>
      <c r="Y19" s="3692"/>
      <c r="Z19" s="1355" t="str">
        <f>Q19</f>
        <v>办公集聚程度</v>
      </c>
      <c r="AA19" s="1352">
        <f t="shared" si="3"/>
        <v>1</v>
      </c>
      <c r="AB19" s="1352">
        <f t="shared" si="4"/>
        <v>1.0526315789473684</v>
      </c>
      <c r="AC19" s="1352">
        <f t="shared" si="5"/>
        <v>1.0526315789473684</v>
      </c>
    </row>
    <row r="20" spans="1:29" ht="15">
      <c r="A20" s="379"/>
      <c r="B20" s="407"/>
      <c r="C20" s="398" t="s">
        <v>3583</v>
      </c>
      <c r="D20" s="399"/>
      <c r="E20" s="1897" t="s">
        <v>3583</v>
      </c>
      <c r="F20" s="399"/>
      <c r="G20" s="1897" t="s">
        <v>3584</v>
      </c>
      <c r="H20" s="399"/>
      <c r="I20" s="1896" t="s">
        <v>3584</v>
      </c>
      <c r="J20" s="399"/>
      <c r="K20" s="620"/>
      <c r="L20" s="2719"/>
      <c r="M20" s="2713"/>
      <c r="N20" s="2713"/>
      <c r="O20" s="2771"/>
      <c r="P20" s="3692"/>
      <c r="Q20" s="1351"/>
      <c r="R20" s="705"/>
      <c r="S20" s="706"/>
      <c r="T20" s="705"/>
      <c r="U20" s="706"/>
      <c r="V20" s="705"/>
      <c r="W20" s="706"/>
      <c r="X20" s="1354"/>
      <c r="Y20" s="369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5</v>
      </c>
      <c r="L21" s="2719"/>
      <c r="M21" s="2713"/>
      <c r="N21" s="2713"/>
      <c r="O21" s="2771"/>
      <c r="P21" s="3692"/>
      <c r="Q21" s="1351" t="str">
        <f>B21</f>
        <v>交通便捷度</v>
      </c>
      <c r="R21" s="705" t="s">
        <v>14</v>
      </c>
      <c r="S21" s="706">
        <f>F21</f>
        <v>100</v>
      </c>
      <c r="T21" s="705" t="s">
        <v>14</v>
      </c>
      <c r="U21" s="706">
        <f>H21</f>
        <v>100</v>
      </c>
      <c r="V21" s="705" t="s">
        <v>14</v>
      </c>
      <c r="W21" s="706">
        <f>J21</f>
        <v>100</v>
      </c>
      <c r="X21" s="1354"/>
      <c r="Y21" s="3692"/>
      <c r="Z21" s="1355" t="str">
        <f>Q21</f>
        <v>交通便捷度</v>
      </c>
      <c r="AA21" s="1352">
        <f t="shared" si="3"/>
        <v>1</v>
      </c>
      <c r="AB21" s="1352">
        <f t="shared" si="4"/>
        <v>1</v>
      </c>
      <c r="AC21" s="1352">
        <f t="shared" si="5"/>
        <v>1</v>
      </c>
    </row>
    <row r="22" spans="1:29" ht="15">
      <c r="A22" s="379"/>
      <c r="B22" s="1131"/>
      <c r="C22" s="398" t="s">
        <v>3583</v>
      </c>
      <c r="D22" s="401"/>
      <c r="E22" s="1897" t="s">
        <v>3583</v>
      </c>
      <c r="F22" s="399"/>
      <c r="G22" s="1897" t="s">
        <v>3583</v>
      </c>
      <c r="H22" s="399"/>
      <c r="I22" s="1896" t="s">
        <v>3583</v>
      </c>
      <c r="J22" s="399"/>
      <c r="K22" s="620"/>
      <c r="L22" s="2719"/>
      <c r="M22" s="2713"/>
      <c r="N22" s="2713"/>
      <c r="O22" s="2771"/>
      <c r="P22" s="3692"/>
      <c r="Q22" s="1351"/>
      <c r="R22" s="705"/>
      <c r="S22" s="706"/>
      <c r="T22" s="705"/>
      <c r="U22" s="706"/>
      <c r="V22" s="705"/>
      <c r="W22" s="706"/>
      <c r="X22" s="1354"/>
      <c r="Y22" s="369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9"/>
      <c r="M23" s="2713"/>
      <c r="N23" s="2713"/>
      <c r="O23" s="2771"/>
      <c r="P23" s="3692"/>
      <c r="Q23" s="1351" t="str">
        <f t="shared" ref="Q23:Q37" si="8">B23</f>
        <v>区域土地利用方向</v>
      </c>
      <c r="R23" s="705" t="s">
        <v>14</v>
      </c>
      <c r="S23" s="706">
        <f>F23</f>
        <v>100</v>
      </c>
      <c r="T23" s="705" t="s">
        <v>14</v>
      </c>
      <c r="U23" s="706">
        <f>H23</f>
        <v>100</v>
      </c>
      <c r="V23" s="705" t="s">
        <v>14</v>
      </c>
      <c r="W23" s="706">
        <f>J23</f>
        <v>100</v>
      </c>
      <c r="X23" s="1354"/>
      <c r="Y23" s="3692"/>
      <c r="Z23" s="1355" t="str">
        <f>Q23</f>
        <v>区域土地利用方向</v>
      </c>
      <c r="AA23" s="1352">
        <f t="shared" si="3"/>
        <v>1</v>
      </c>
      <c r="AB23" s="1352">
        <f t="shared" si="4"/>
        <v>1</v>
      </c>
      <c r="AC23" s="1352">
        <f t="shared" si="5"/>
        <v>1</v>
      </c>
    </row>
    <row r="24" spans="1:29" ht="15">
      <c r="A24" s="358"/>
      <c r="B24" s="407"/>
      <c r="C24" s="565" t="s">
        <v>3583</v>
      </c>
      <c r="D24" s="399"/>
      <c r="E24" s="1897" t="s">
        <v>3583</v>
      </c>
      <c r="F24" s="399"/>
      <c r="G24" s="1896" t="s">
        <v>3583</v>
      </c>
      <c r="H24" s="399"/>
      <c r="I24" s="1896" t="s">
        <v>3583</v>
      </c>
      <c r="J24" s="399"/>
      <c r="K24" s="740"/>
      <c r="L24" s="2719"/>
      <c r="M24" s="2713"/>
      <c r="N24" s="2713"/>
      <c r="O24" s="2771"/>
      <c r="P24" s="3692"/>
      <c r="Q24" s="1351"/>
      <c r="R24" s="705"/>
      <c r="S24" s="706"/>
      <c r="T24" s="705"/>
      <c r="U24" s="706"/>
      <c r="V24" s="705"/>
      <c r="W24" s="706"/>
      <c r="X24" s="1354"/>
      <c r="Y24" s="369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9"/>
      <c r="M25" s="2713"/>
      <c r="N25" s="2713"/>
      <c r="O25" s="2771"/>
      <c r="P25" s="3692"/>
      <c r="Q25" s="1351" t="str">
        <f t="shared" si="8"/>
        <v>自然及人文环境状况</v>
      </c>
      <c r="R25" s="705" t="s">
        <v>14</v>
      </c>
      <c r="S25" s="706">
        <f>F25</f>
        <v>100</v>
      </c>
      <c r="T25" s="705" t="s">
        <v>14</v>
      </c>
      <c r="U25" s="706">
        <f>H25</f>
        <v>100</v>
      </c>
      <c r="V25" s="705" t="s">
        <v>14</v>
      </c>
      <c r="W25" s="706">
        <f>J25</f>
        <v>100</v>
      </c>
      <c r="X25" s="1354"/>
      <c r="Y25" s="3692"/>
      <c r="Z25" s="1355" t="str">
        <f>Q25</f>
        <v>自然及人文环境状况</v>
      </c>
      <c r="AA25" s="1352">
        <f t="shared" si="3"/>
        <v>1</v>
      </c>
      <c r="AB25" s="1352">
        <f t="shared" si="4"/>
        <v>1</v>
      </c>
      <c r="AC25" s="1352">
        <f t="shared" si="5"/>
        <v>1</v>
      </c>
    </row>
    <row r="26" spans="1:29" ht="15">
      <c r="A26" s="358"/>
      <c r="B26" s="407"/>
      <c r="C26" s="398" t="s">
        <v>3583</v>
      </c>
      <c r="D26" s="399"/>
      <c r="E26" s="1903" t="s">
        <v>3583</v>
      </c>
      <c r="F26" s="399"/>
      <c r="G26" s="1903" t="s">
        <v>3583</v>
      </c>
      <c r="H26" s="399"/>
      <c r="I26" s="398" t="s">
        <v>3583</v>
      </c>
      <c r="J26" s="399"/>
      <c r="K26" s="620"/>
      <c r="L26" s="2719"/>
      <c r="M26" s="2713"/>
      <c r="N26" s="2713"/>
      <c r="O26" s="2771"/>
      <c r="P26" s="3692"/>
      <c r="Q26" s="1351"/>
      <c r="R26" s="705"/>
      <c r="S26" s="706"/>
      <c r="T26" s="705"/>
      <c r="U26" s="706"/>
      <c r="V26" s="705"/>
      <c r="W26" s="706"/>
      <c r="X26" s="1354"/>
      <c r="Y26" s="369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95</v>
      </c>
      <c r="I27" s="405"/>
      <c r="J27" s="401">
        <f>SUMIF(99:99,I28,100:100)-SUMIF(99:99,C28,100:100)+100</f>
        <v>95</v>
      </c>
      <c r="K27" s="621">
        <v>5</v>
      </c>
      <c r="L27" s="2714"/>
      <c r="M27" s="2715"/>
      <c r="N27" s="2715"/>
      <c r="O27" s="2769"/>
      <c r="P27" s="3692"/>
      <c r="Q27" s="1342" t="str">
        <f t="shared" si="8"/>
        <v>公共配套设施</v>
      </c>
      <c r="R27" s="701" t="s">
        <v>14</v>
      </c>
      <c r="S27" s="702">
        <f>F27</f>
        <v>100</v>
      </c>
      <c r="T27" s="701" t="s">
        <v>14</v>
      </c>
      <c r="U27" s="702">
        <f>H27</f>
        <v>95</v>
      </c>
      <c r="V27" s="701" t="s">
        <v>14</v>
      </c>
      <c r="W27" s="702">
        <f>J27</f>
        <v>95</v>
      </c>
      <c r="X27" s="703"/>
      <c r="Y27" s="3692"/>
      <c r="Z27" s="52" t="str">
        <f>Q27</f>
        <v>公共配套设施</v>
      </c>
      <c r="AA27" s="1352">
        <f>D27/F27</f>
        <v>1</v>
      </c>
      <c r="AB27" s="1352">
        <f>D27/H27</f>
        <v>1.0526315789473684</v>
      </c>
      <c r="AC27" s="1352">
        <f>D27/J27</f>
        <v>1.0526315789473684</v>
      </c>
    </row>
    <row r="28" spans="1:29" s="108" customFormat="1" ht="15">
      <c r="A28" s="597"/>
      <c r="B28" s="407"/>
      <c r="C28" s="1977" t="s">
        <v>3583</v>
      </c>
      <c r="D28" s="399"/>
      <c r="E28" s="1903" t="s">
        <v>3583</v>
      </c>
      <c r="F28" s="399"/>
      <c r="G28" s="1903" t="s">
        <v>3584</v>
      </c>
      <c r="H28" s="399"/>
      <c r="I28" s="398" t="s">
        <v>3584</v>
      </c>
      <c r="J28" s="399"/>
      <c r="K28" s="620"/>
      <c r="L28" s="2714"/>
      <c r="M28" s="2715"/>
      <c r="N28" s="2715"/>
      <c r="O28" s="2769"/>
      <c r="P28" s="3692"/>
      <c r="Q28" s="1342"/>
      <c r="R28" s="701"/>
      <c r="S28" s="702"/>
      <c r="T28" s="701"/>
      <c r="U28" s="702"/>
      <c r="V28" s="701"/>
      <c r="W28" s="702"/>
      <c r="X28" s="703"/>
      <c r="Y28" s="369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692"/>
      <c r="Q29" s="1342"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2">
        <f>D29/F29</f>
        <v>1</v>
      </c>
      <c r="AB29" s="1352">
        <f>D29/H29</f>
        <v>1</v>
      </c>
      <c r="AC29" s="1352">
        <f>D29/J29</f>
        <v>1</v>
      </c>
    </row>
    <row r="30" spans="1:29" s="108" customFormat="1" ht="15.75" thickBot="1">
      <c r="A30" s="597"/>
      <c r="B30" s="407"/>
      <c r="C30" s="1977" t="s">
        <v>3585</v>
      </c>
      <c r="D30" s="399"/>
      <c r="E30" s="1977" t="s">
        <v>3585</v>
      </c>
      <c r="F30" s="399"/>
      <c r="G30" s="1978" t="s">
        <v>3585</v>
      </c>
      <c r="H30" s="399"/>
      <c r="I30" s="1978" t="s">
        <v>3585</v>
      </c>
      <c r="J30" s="399"/>
      <c r="K30" s="620"/>
      <c r="L30" s="2714"/>
      <c r="M30" s="2715"/>
      <c r="N30" s="2715"/>
      <c r="O30" s="2769"/>
      <c r="P30" s="3692"/>
      <c r="Q30" s="1342"/>
      <c r="R30" s="701"/>
      <c r="S30" s="702"/>
      <c r="T30" s="701"/>
      <c r="U30" s="702"/>
      <c r="V30" s="701"/>
      <c r="W30" s="702"/>
      <c r="X30" s="703"/>
      <c r="Y30" s="3692"/>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2"/>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2"/>
      <c r="Q32" s="1351" t="str">
        <f t="shared" si="8"/>
        <v>毗邻道路的类型与等级</v>
      </c>
      <c r="R32" s="705" t="s">
        <v>14</v>
      </c>
      <c r="S32" s="706">
        <f t="shared" si="10"/>
        <v>100</v>
      </c>
      <c r="T32" s="705" t="s">
        <v>14</v>
      </c>
      <c r="U32" s="706">
        <f t="shared" si="11"/>
        <v>100</v>
      </c>
      <c r="V32" s="705" t="s">
        <v>14</v>
      </c>
      <c r="W32" s="706">
        <f t="shared" si="12"/>
        <v>100</v>
      </c>
      <c r="X32" s="1354"/>
      <c r="Y32" s="3692"/>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9"/>
      <c r="M33" s="2713"/>
      <c r="N33" s="2713"/>
      <c r="O33" s="2771"/>
      <c r="P33" s="3692"/>
      <c r="Q33" s="1351"/>
      <c r="R33" s="705"/>
      <c r="S33" s="706"/>
      <c r="T33" s="705"/>
      <c r="U33" s="706"/>
      <c r="V33" s="705"/>
      <c r="W33" s="706"/>
      <c r="X33" s="1354"/>
      <c r="Y33" s="3692"/>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2"/>
      <c r="Q34" s="1351" t="str">
        <f t="shared" si="8"/>
        <v>土地级别</v>
      </c>
      <c r="R34" s="705" t="s">
        <v>14</v>
      </c>
      <c r="S34" s="706">
        <f t="shared" si="10"/>
        <v>100</v>
      </c>
      <c r="T34" s="705" t="s">
        <v>14</v>
      </c>
      <c r="U34" s="706">
        <f t="shared" si="11"/>
        <v>100</v>
      </c>
      <c r="V34" s="705" t="s">
        <v>14</v>
      </c>
      <c r="W34" s="706">
        <f t="shared" si="12"/>
        <v>100</v>
      </c>
      <c r="X34" s="1354"/>
      <c r="Y34" s="3692"/>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2"/>
      <c r="Q35" s="1351">
        <f t="shared" si="8"/>
        <v>111</v>
      </c>
      <c r="R35" s="705" t="s">
        <v>14</v>
      </c>
      <c r="S35" s="706">
        <f t="shared" si="10"/>
        <v>100</v>
      </c>
      <c r="T35" s="705" t="s">
        <v>14</v>
      </c>
      <c r="U35" s="706">
        <f t="shared" si="11"/>
        <v>100</v>
      </c>
      <c r="V35" s="705" t="s">
        <v>14</v>
      </c>
      <c r="W35" s="706">
        <f t="shared" si="12"/>
        <v>100</v>
      </c>
      <c r="X35" s="1354"/>
      <c r="Y35" s="3692"/>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93" t="s">
        <v>1696</v>
      </c>
      <c r="Q36" s="1351">
        <f t="shared" si="8"/>
        <v>111</v>
      </c>
      <c r="R36" s="705" t="s">
        <v>14</v>
      </c>
      <c r="S36" s="706">
        <f t="shared" si="10"/>
        <v>100</v>
      </c>
      <c r="T36" s="705" t="s">
        <v>14</v>
      </c>
      <c r="U36" s="706">
        <f t="shared" si="11"/>
        <v>100</v>
      </c>
      <c r="V36" s="705" t="s">
        <v>14</v>
      </c>
      <c r="W36" s="706">
        <f t="shared" si="12"/>
        <v>100</v>
      </c>
      <c r="X36" s="1354"/>
      <c r="Y36" s="3694"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4"/>
      <c r="Q37" s="1351">
        <f t="shared" si="8"/>
        <v>111</v>
      </c>
      <c r="R37" s="708" t="s">
        <v>14</v>
      </c>
      <c r="S37" s="709">
        <f t="shared" si="10"/>
        <v>100</v>
      </c>
      <c r="T37" s="708" t="s">
        <v>14</v>
      </c>
      <c r="U37" s="709">
        <f t="shared" si="11"/>
        <v>100</v>
      </c>
      <c r="V37" s="708" t="s">
        <v>14</v>
      </c>
      <c r="W37" s="709">
        <f t="shared" si="12"/>
        <v>100</v>
      </c>
      <c r="X37" s="710"/>
      <c r="Y37" s="3694"/>
      <c r="Z37" s="711">
        <f t="shared" si="13"/>
        <v>111</v>
      </c>
      <c r="AA37" s="1352">
        <f t="shared" si="3"/>
        <v>1</v>
      </c>
      <c r="AB37" s="1352">
        <f t="shared" si="4"/>
        <v>1</v>
      </c>
      <c r="AC37" s="1352">
        <f t="shared" si="5"/>
        <v>1</v>
      </c>
    </row>
    <row r="38" spans="1:29" ht="15">
      <c r="A38" s="423" t="s">
        <v>1694</v>
      </c>
      <c r="B38" s="407" t="s">
        <v>1874</v>
      </c>
      <c r="C38" s="627">
        <v>45978</v>
      </c>
      <c r="D38" s="418">
        <v>100</v>
      </c>
      <c r="E38" s="627">
        <f>土地案例!I4</f>
        <v>61597.760000000002</v>
      </c>
      <c r="F38" s="418">
        <f>LOOKUP(E38,116:116,117:117)-LOOKUP(C38,116:116,117:117)+100</f>
        <v>100</v>
      </c>
      <c r="G38" s="627">
        <f>土地案例!I23</f>
        <v>28694</v>
      </c>
      <c r="H38" s="418">
        <f>LOOKUP(G38,116:116,117:117)-LOOKUP(C38,116:116,117:117)+100</f>
        <v>98</v>
      </c>
      <c r="I38" s="479">
        <f>土地案例!I14</f>
        <v>22009</v>
      </c>
      <c r="J38" s="418">
        <f>LOOKUP(I38,116:116,117:117)-LOOKUP(C38,116:116,117:117)+100</f>
        <v>98</v>
      </c>
      <c r="K38" s="562"/>
      <c r="L38" s="2719"/>
      <c r="M38" s="2713"/>
      <c r="N38" s="2713"/>
      <c r="O38" s="2771"/>
      <c r="P38" s="3694"/>
      <c r="Q38" s="1351" t="str">
        <f>B38</f>
        <v>宗地面积</v>
      </c>
      <c r="R38" s="705" t="s">
        <v>14</v>
      </c>
      <c r="S38" s="706">
        <f t="shared" si="10"/>
        <v>100</v>
      </c>
      <c r="T38" s="705" t="s">
        <v>14</v>
      </c>
      <c r="U38" s="706">
        <f t="shared" si="11"/>
        <v>98</v>
      </c>
      <c r="V38" s="705" t="s">
        <v>14</v>
      </c>
      <c r="W38" s="706">
        <f t="shared" si="12"/>
        <v>98</v>
      </c>
      <c r="X38" s="1354"/>
      <c r="Y38" s="3694"/>
      <c r="Z38" s="1355" t="str">
        <f t="shared" si="13"/>
        <v>宗地面积</v>
      </c>
      <c r="AA38" s="1352">
        <f t="shared" si="3"/>
        <v>1</v>
      </c>
      <c r="AB38" s="1352">
        <f t="shared" si="4"/>
        <v>1.0204081632653061</v>
      </c>
      <c r="AC38" s="1352">
        <f t="shared" si="5"/>
        <v>1.0204081632653061</v>
      </c>
    </row>
    <row r="39" spans="1:29" ht="15">
      <c r="A39" s="423"/>
      <c r="B39" s="375" t="s">
        <v>1875</v>
      </c>
      <c r="C39" s="1905" t="s">
        <v>3586</v>
      </c>
      <c r="D39" s="386">
        <v>100</v>
      </c>
      <c r="E39" s="1905" t="s">
        <v>3586</v>
      </c>
      <c r="F39" s="386">
        <f>SUMIF(118:118,E39,119:119)-SUMIF(118:118,C39,119:119)+100</f>
        <v>100</v>
      </c>
      <c r="G39" s="1905" t="s">
        <v>3586</v>
      </c>
      <c r="H39" s="386">
        <f>SUMIF(118:118,G39,119:119)-SUMIF(118:118,C39,119:119)+100</f>
        <v>100</v>
      </c>
      <c r="I39" s="1905" t="s">
        <v>3586</v>
      </c>
      <c r="J39" s="386">
        <f>SUMIF(118:118,I39,119:119)-SUMIF(118:118,C39,119:119)+100</f>
        <v>100</v>
      </c>
      <c r="K39" s="561">
        <v>2</v>
      </c>
      <c r="L39" s="2719"/>
      <c r="M39" s="2713"/>
      <c r="N39" s="2713"/>
      <c r="O39" s="2771"/>
      <c r="P39" s="3694"/>
      <c r="Q39" s="1351" t="str">
        <f t="shared" ref="Q39:Q45" si="14">B39</f>
        <v>宗地形状</v>
      </c>
      <c r="R39" s="705" t="s">
        <v>14</v>
      </c>
      <c r="S39" s="706">
        <f t="shared" si="10"/>
        <v>100</v>
      </c>
      <c r="T39" s="705" t="s">
        <v>14</v>
      </c>
      <c r="U39" s="706">
        <f t="shared" si="11"/>
        <v>100</v>
      </c>
      <c r="V39" s="705" t="s">
        <v>14</v>
      </c>
      <c r="W39" s="706">
        <f t="shared" si="12"/>
        <v>100</v>
      </c>
      <c r="X39" s="1354"/>
      <c r="Y39" s="3694"/>
      <c r="Z39" s="1355" t="str">
        <f t="shared" si="13"/>
        <v>宗地形状</v>
      </c>
      <c r="AA39" s="1352">
        <f t="shared" si="3"/>
        <v>1</v>
      </c>
      <c r="AB39" s="1352">
        <f t="shared" si="4"/>
        <v>1</v>
      </c>
      <c r="AC39" s="1352">
        <f t="shared" si="5"/>
        <v>1</v>
      </c>
    </row>
    <row r="40" spans="1:29" ht="15">
      <c r="A40" s="423"/>
      <c r="B40" s="375" t="s">
        <v>1876</v>
      </c>
      <c r="C40" s="1905" t="s">
        <v>3588</v>
      </c>
      <c r="D40" s="386">
        <v>100</v>
      </c>
      <c r="E40" s="1905" t="s">
        <v>3588</v>
      </c>
      <c r="F40" s="386">
        <f>SUMIF(120:120,E40,121:121)-SUMIF(120:120,C40,121:121)+100</f>
        <v>100</v>
      </c>
      <c r="G40" s="1905" t="s">
        <v>3588</v>
      </c>
      <c r="H40" s="386">
        <f>SUMIF(120:120,G40,121:121)-SUMIF(120:120,C40,121:121)+100</f>
        <v>100</v>
      </c>
      <c r="I40" s="1905" t="s">
        <v>3588</v>
      </c>
      <c r="J40" s="386">
        <f>SUMIF(120:120,I40,121:121)-SUMIF(120:120,C40,121:121)+100</f>
        <v>100</v>
      </c>
      <c r="K40" s="561">
        <v>2</v>
      </c>
      <c r="L40" s="2719"/>
      <c r="M40" s="2713"/>
      <c r="N40" s="2713"/>
      <c r="O40" s="2771"/>
      <c r="P40" s="3694"/>
      <c r="Q40" s="1351" t="str">
        <f t="shared" si="14"/>
        <v>临街宽度及深度</v>
      </c>
      <c r="R40" s="705" t="s">
        <v>14</v>
      </c>
      <c r="S40" s="706">
        <f t="shared" si="10"/>
        <v>100</v>
      </c>
      <c r="T40" s="705" t="s">
        <v>14</v>
      </c>
      <c r="U40" s="706">
        <f t="shared" si="11"/>
        <v>100</v>
      </c>
      <c r="V40" s="705" t="s">
        <v>14</v>
      </c>
      <c r="W40" s="706">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t="s">
        <v>3590</v>
      </c>
      <c r="D41" s="127">
        <v>100</v>
      </c>
      <c r="E41" s="1979" t="s">
        <v>3590</v>
      </c>
      <c r="F41" s="386">
        <f>SUMIF(122:122,E41,123:123)-SUMIF(122:122,C41,123:123)+100</f>
        <v>100</v>
      </c>
      <c r="G41" s="1979" t="s">
        <v>3590</v>
      </c>
      <c r="H41" s="386">
        <f>SUMIF(122:122,G41,123:123)-SUMIF(122:122,C41,123:123)+100</f>
        <v>100</v>
      </c>
      <c r="I41" s="1979" t="s">
        <v>3590</v>
      </c>
      <c r="J41" s="386">
        <f>SUMIF(122:122,I41,123:123)-SUMIF(122:122,C41,123:123)+100</f>
        <v>100</v>
      </c>
      <c r="K41" s="561">
        <v>1</v>
      </c>
      <c r="L41" s="2714"/>
      <c r="M41" s="2715"/>
      <c r="N41" s="2715"/>
      <c r="O41" s="2769"/>
      <c r="P41" s="3694"/>
      <c r="Q41" s="1351"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75" thickBot="1">
      <c r="A42" s="423"/>
      <c r="B42" s="375" t="s">
        <v>1878</v>
      </c>
      <c r="C42" s="1905" t="s">
        <v>3583</v>
      </c>
      <c r="D42" s="386">
        <v>100</v>
      </c>
      <c r="E42" s="1905" t="s">
        <v>3583</v>
      </c>
      <c r="F42" s="386">
        <f>SUMIF(124:124,E42,125:125)-SUMIF(124:124,C42,125:125)+100</f>
        <v>100</v>
      </c>
      <c r="G42" s="1905" t="s">
        <v>3583</v>
      </c>
      <c r="H42" s="386">
        <f>SUMIF(124:124,G42,125:125)-SUMIF(124:124,C42,125:125)+100</f>
        <v>100</v>
      </c>
      <c r="I42" s="1905" t="s">
        <v>3583</v>
      </c>
      <c r="J42" s="386">
        <f>SUMIF(124:124,I42,125:125)-SUMIF(124:124,C42,125:125)+100</f>
        <v>100</v>
      </c>
      <c r="K42" s="561">
        <v>1</v>
      </c>
      <c r="L42" s="2719"/>
      <c r="M42" s="2713"/>
      <c r="N42" s="2713"/>
      <c r="O42" s="2771"/>
      <c r="P42" s="3694" t="s">
        <v>1696</v>
      </c>
      <c r="Q42" s="1351" t="str">
        <f t="shared" si="14"/>
        <v>工程地质条件</v>
      </c>
      <c r="R42" s="705" t="s">
        <v>14</v>
      </c>
      <c r="S42" s="706">
        <f t="shared" si="10"/>
        <v>100</v>
      </c>
      <c r="T42" s="705" t="s">
        <v>14</v>
      </c>
      <c r="U42" s="706">
        <f t="shared" si="11"/>
        <v>100</v>
      </c>
      <c r="V42" s="705" t="s">
        <v>14</v>
      </c>
      <c r="W42" s="706">
        <f t="shared" si="12"/>
        <v>100</v>
      </c>
      <c r="X42" s="1354"/>
      <c r="Y42" s="3694"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4"/>
      <c r="Q43" s="1351">
        <f t="shared" si="14"/>
        <v>111</v>
      </c>
      <c r="R43" s="705" t="s">
        <v>14</v>
      </c>
      <c r="S43" s="706">
        <f t="shared" si="10"/>
        <v>100</v>
      </c>
      <c r="T43" s="705" t="s">
        <v>14</v>
      </c>
      <c r="U43" s="706">
        <f t="shared" si="11"/>
        <v>100</v>
      </c>
      <c r="V43" s="705" t="s">
        <v>14</v>
      </c>
      <c r="W43" s="706">
        <f t="shared" si="12"/>
        <v>100</v>
      </c>
      <c r="X43" s="1354"/>
      <c r="Y43" s="3694"/>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4"/>
      <c r="Q44" s="1351">
        <f t="shared" si="14"/>
        <v>111</v>
      </c>
      <c r="R44" s="705" t="s">
        <v>14</v>
      </c>
      <c r="S44" s="706">
        <f t="shared" si="10"/>
        <v>100</v>
      </c>
      <c r="T44" s="705" t="s">
        <v>14</v>
      </c>
      <c r="U44" s="706">
        <f t="shared" si="11"/>
        <v>100</v>
      </c>
      <c r="V44" s="705" t="s">
        <v>14</v>
      </c>
      <c r="W44" s="706">
        <f t="shared" si="12"/>
        <v>100</v>
      </c>
      <c r="X44" s="1354"/>
      <c r="Y44" s="3694"/>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4"/>
      <c r="Q45" s="1351">
        <f t="shared" si="14"/>
        <v>111</v>
      </c>
      <c r="R45" s="708" t="s">
        <v>14</v>
      </c>
      <c r="S45" s="709">
        <f t="shared" si="10"/>
        <v>100</v>
      </c>
      <c r="T45" s="708" t="s">
        <v>14</v>
      </c>
      <c r="U45" s="709">
        <f t="shared" si="11"/>
        <v>100</v>
      </c>
      <c r="V45" s="708" t="s">
        <v>14</v>
      </c>
      <c r="W45" s="709">
        <f t="shared" si="12"/>
        <v>100</v>
      </c>
      <c r="X45" s="710"/>
      <c r="Y45" s="3694"/>
      <c r="Z45" s="711">
        <f t="shared" si="13"/>
        <v>111</v>
      </c>
      <c r="AA45" s="1352">
        <f t="shared" si="3"/>
        <v>1</v>
      </c>
      <c r="AB45" s="1352">
        <f t="shared" si="4"/>
        <v>1</v>
      </c>
      <c r="AC45" s="1352">
        <f t="shared" si="5"/>
        <v>1</v>
      </c>
    </row>
    <row r="46" spans="1:29" ht="15">
      <c r="A46" s="430" t="s">
        <v>1844</v>
      </c>
      <c r="B46" s="1981" t="s">
        <v>1879</v>
      </c>
      <c r="C46" s="630" t="s">
        <v>0</v>
      </c>
      <c r="D46" s="432"/>
      <c r="E46" s="433">
        <f>土地案例!N4</f>
        <v>2820</v>
      </c>
      <c r="F46" s="434"/>
      <c r="G46" s="435">
        <f>土地案例!N23</f>
        <v>3131</v>
      </c>
      <c r="H46" s="436"/>
      <c r="I46" s="433">
        <f>土地案例!N14</f>
        <v>2209</v>
      </c>
      <c r="J46" s="436"/>
      <c r="K46" s="714"/>
      <c r="L46" s="2721"/>
      <c r="M46" s="2722"/>
      <c r="N46" s="2713"/>
      <c r="O46" s="2722"/>
      <c r="P46" s="3690" t="str">
        <f>A46</f>
        <v>成交单价</v>
      </c>
      <c r="Q46" s="3690"/>
      <c r="R46" s="3695">
        <f>E46</f>
        <v>2820</v>
      </c>
      <c r="S46" s="3695"/>
      <c r="T46" s="3695">
        <f>G46</f>
        <v>3131</v>
      </c>
      <c r="U46" s="3695"/>
      <c r="V46" s="3695">
        <f>I46</f>
        <v>2209</v>
      </c>
      <c r="W46" s="3695"/>
      <c r="X46" s="690"/>
      <c r="Y46" s="712"/>
      <c r="Z46" s="690"/>
      <c r="AA46" s="690"/>
      <c r="AB46" s="690"/>
      <c r="AC46" s="690"/>
    </row>
    <row r="47" spans="1:29" ht="15.75" thickBot="1">
      <c r="A47" s="437" t="s">
        <v>1793</v>
      </c>
      <c r="B47" s="631"/>
      <c r="C47" s="440">
        <f>R48</f>
        <v>2881</v>
      </c>
      <c r="D47" s="2316" t="s">
        <v>2138</v>
      </c>
      <c r="E47" s="440">
        <f>R47</f>
        <v>2910</v>
      </c>
      <c r="F47" s="2317"/>
      <c r="G47" s="439">
        <f>T47</f>
        <v>3155</v>
      </c>
      <c r="H47" s="2317"/>
      <c r="I47" s="440">
        <f>V47</f>
        <v>2577</v>
      </c>
      <c r="J47" s="2317"/>
      <c r="K47" s="2319">
        <f>F47+H47+J47</f>
        <v>0</v>
      </c>
      <c r="L47" s="2721"/>
      <c r="M47" s="2722"/>
      <c r="N47" s="2722"/>
      <c r="O47" s="2722"/>
      <c r="P47" s="3690" t="str">
        <f>A47</f>
        <v>比较价值（元/平方米）</v>
      </c>
      <c r="Q47" s="3690"/>
      <c r="R47" s="3683">
        <f>ROUND(PRODUCT(R46,AA7:AA45),0)</f>
        <v>2910</v>
      </c>
      <c r="S47" s="3683"/>
      <c r="T47" s="3683">
        <f>ROUND(PRODUCT(T46,AB7:AB45),0)</f>
        <v>3155</v>
      </c>
      <c r="U47" s="3683"/>
      <c r="V47" s="3683">
        <f>ROUND(PRODUCT(V46,AC7:AC45),0)</f>
        <v>2577</v>
      </c>
      <c r="W47" s="3683"/>
      <c r="X47" s="690"/>
      <c r="Y47" s="690"/>
      <c r="Z47" s="690"/>
      <c r="AA47" s="690"/>
      <c r="AB47" s="690"/>
      <c r="AC47" s="690"/>
    </row>
    <row r="48" spans="1:29" ht="15.75" thickBot="1">
      <c r="A48" s="441" t="s">
        <v>1880</v>
      </c>
      <c r="B48" s="442"/>
      <c r="C48" s="443">
        <f>R48</f>
        <v>2881</v>
      </c>
      <c r="D48" s="443"/>
      <c r="E48" s="443"/>
      <c r="F48" s="443"/>
      <c r="G48" s="443"/>
      <c r="H48" s="443"/>
      <c r="I48" s="443"/>
      <c r="J48" s="443"/>
      <c r="K48" s="715"/>
      <c r="L48" s="2721"/>
      <c r="M48" s="2722"/>
      <c r="N48" s="2722"/>
      <c r="O48" s="2722"/>
      <c r="P48" s="3684" t="str">
        <f>A48</f>
        <v>估价对象XX用房的比较价值（楼面单价，元/平方米）</v>
      </c>
      <c r="Q48" s="3685"/>
      <c r="R48" s="3686">
        <f>ROUND(IF(D47="简单平均",AVERAGE(R47:W47),R47*F47+T47*H47+V47*J47),0)</f>
        <v>2881</v>
      </c>
      <c r="S48" s="3686"/>
      <c r="T48" s="3686"/>
      <c r="U48" s="3686"/>
      <c r="V48" s="3686"/>
      <c r="W48" s="368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3.1914893617021267E-2</v>
      </c>
      <c r="F51" s="449" t="str">
        <f>IF(OR(E51&gt;=0.3,E51&lt;=-0.3),"超过30%","")</f>
        <v/>
      </c>
      <c r="G51" s="448">
        <f>IF(G46&lt;G47,G47/G46-1,G46/G47-1)</f>
        <v>7.6652826572980448E-3</v>
      </c>
      <c r="H51" s="449" t="str">
        <f>IF(OR(G51&gt;=0.3,G51&lt;=-0.3),"超过30%","")</f>
        <v/>
      </c>
      <c r="I51" s="448">
        <f>IF(I46&lt;I47,I47/I46-1,I46/I47-1)</f>
        <v>0.16659121774558616</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8.4192439862542878E-2</v>
      </c>
      <c r="F52" s="449" t="str">
        <f>IF(OR(E52&gt;=0.2,E52&lt;=-0.2),"超过20%","")</f>
        <v/>
      </c>
      <c r="G52" s="448">
        <f>IF(G47&lt;I47,I47/G47-1,G47/I47-1)</f>
        <v>0.22429181218471084</v>
      </c>
      <c r="H52" s="449" t="str">
        <f>IF(OR(G52&gt;=0.2,G52&lt;=-0.2),"超过20%","")</f>
        <v>超过20%</v>
      </c>
      <c r="I52" s="448">
        <f>IF(I47&lt;E47,E47/I47-1,I47/E47-1)</f>
        <v>0.12922002328288706</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0.11028368794326249</v>
      </c>
      <c r="F53" s="449" t="str">
        <f>IF(OR(E53&gt;=0.3,E53&lt;=-0.3),"超过30%","")</f>
        <v/>
      </c>
      <c r="G53" s="448">
        <f>IF(G46&lt;I46,I46/G46-1,G46/I46-1)</f>
        <v>0.41738343141693068</v>
      </c>
      <c r="H53" s="449" t="str">
        <f>IF(OR(G53&gt;=0.3,G53&lt;=-0.3),"超过30%","")</f>
        <v>超过30%</v>
      </c>
      <c r="I53" s="448">
        <f>IF(I46&lt;E46,E46/I46-1,I46/E46-1)</f>
        <v>0.27659574468085113</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687" t="s">
        <v>1887</v>
      </c>
      <c r="H55" s="3688"/>
      <c r="I55" s="135" t="s">
        <v>1888</v>
      </c>
      <c r="J55" s="1984" t="str">
        <f>项目基本情况!F35</f>
        <v>河北省</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f>C48</f>
        <v>2881</v>
      </c>
      <c r="C56" s="638">
        <v>1</v>
      </c>
      <c r="D56" s="944">
        <v>1</v>
      </c>
      <c r="E56" s="638">
        <f>'数据-汇总表'!E8+'数据-汇总表'!E9</f>
        <v>20168.190000000002</v>
      </c>
      <c r="F56" s="886">
        <f t="shared" ref="F56:F64" si="15">ROUND(B56*E56/10000,0)</f>
        <v>5810</v>
      </c>
      <c r="G56" s="3689"/>
      <c r="H56" s="369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f>ROUND($C$48*C57*D57,0)</f>
        <v>0</v>
      </c>
      <c r="C57" s="171">
        <f t="shared" ref="C57:C64" si="16">IF($C$55="北京市系数",I57,J57)</f>
        <v>0</v>
      </c>
      <c r="D57" s="945">
        <v>0.25</v>
      </c>
      <c r="E57" s="642"/>
      <c r="F57" s="886">
        <f t="shared" si="15"/>
        <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f t="shared" si="17"/>
        <v>0</v>
      </c>
      <c r="C60" s="171">
        <f t="shared" si="16"/>
        <v>0</v>
      </c>
      <c r="D60" s="945">
        <v>0.25</v>
      </c>
      <c r="E60" s="217">
        <f>'数据-汇总表'!E11</f>
        <v>887.47</v>
      </c>
      <c r="F60" s="886">
        <f t="shared" si="15"/>
        <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f t="shared" si="17"/>
        <v>0</v>
      </c>
      <c r="C62" s="171">
        <f t="shared" si="16"/>
        <v>0</v>
      </c>
      <c r="D62" s="945">
        <v>0.25</v>
      </c>
      <c r="E62" s="217">
        <f>'数据-汇总表'!E13</f>
        <v>3179.9999999999995</v>
      </c>
      <c r="F62" s="886">
        <f t="shared" si="15"/>
        <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24235.660000000003</v>
      </c>
      <c r="F65" s="645">
        <f>IF(B46="楼面地价",SUM(F56:F64),ROUND(C48*E65/10000,0))</f>
        <v>5810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f>C70</f>
        <v>100</v>
      </c>
      <c r="E70" s="544">
        <f t="shared" ref="E70:O70" si="20">D70</f>
        <v>100</v>
      </c>
      <c r="F70" s="544">
        <f t="shared" si="20"/>
        <v>100</v>
      </c>
      <c r="G70" s="544">
        <f t="shared" si="20"/>
        <v>100</v>
      </c>
      <c r="H70" s="544">
        <f t="shared" si="20"/>
        <v>100</v>
      </c>
      <c r="I70" s="544">
        <f t="shared" si="20"/>
        <v>100</v>
      </c>
      <c r="J70" s="544">
        <f t="shared" si="20"/>
        <v>100</v>
      </c>
      <c r="K70" s="544">
        <f t="shared" si="20"/>
        <v>100</v>
      </c>
      <c r="L70" s="544">
        <f t="shared" si="20"/>
        <v>100</v>
      </c>
      <c r="M70" s="544">
        <f t="shared" si="20"/>
        <v>100</v>
      </c>
      <c r="N70" s="544">
        <f t="shared" si="20"/>
        <v>100</v>
      </c>
      <c r="O70" s="544">
        <f t="shared" si="20"/>
        <v>100</v>
      </c>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3463" t="s">
        <v>3581</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21">D79&amp;"（含）"&amp;"-"&amp;E79</f>
        <v>1（含）-1.5</v>
      </c>
      <c r="E78" s="496" t="str">
        <f t="shared" si="21"/>
        <v>1.5（含）-2</v>
      </c>
      <c r="F78" s="496" t="str">
        <f t="shared" si="21"/>
        <v>2（含）-2.5</v>
      </c>
      <c r="G78" s="496" t="str">
        <f t="shared" si="21"/>
        <v>2.5（含）-3</v>
      </c>
      <c r="H78" s="496" t="str">
        <f t="shared" si="21"/>
        <v>3（含）-3.5</v>
      </c>
      <c r="I78" s="496" t="str">
        <f t="shared" si="21"/>
        <v>3.5（含）-4</v>
      </c>
      <c r="J78" s="496" t="str">
        <f t="shared" si="21"/>
        <v>4（含）-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v>0</v>
      </c>
      <c r="D79" s="498">
        <v>1</v>
      </c>
      <c r="E79" s="498">
        <v>1.5</v>
      </c>
      <c r="F79" s="498">
        <v>2</v>
      </c>
      <c r="G79" s="498">
        <v>2.5</v>
      </c>
      <c r="H79" s="498">
        <v>3</v>
      </c>
      <c r="I79" s="498">
        <v>3.5</v>
      </c>
      <c r="J79" s="498">
        <v>4</v>
      </c>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95</v>
      </c>
      <c r="E92" s="493">
        <f>D92-$K19</f>
        <v>90</v>
      </c>
      <c r="F92" s="493">
        <f>E92-$K19</f>
        <v>85</v>
      </c>
      <c r="G92" s="493">
        <f>F92-$K19</f>
        <v>80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95</v>
      </c>
      <c r="E94" s="493">
        <f>D94-$K21</f>
        <v>90</v>
      </c>
      <c r="F94" s="493">
        <f>E94-$K21</f>
        <v>85</v>
      </c>
      <c r="G94" s="493">
        <f>F94-$K21</f>
        <v>80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28.5">
      <c r="A115" s="476" t="s">
        <v>1694</v>
      </c>
      <c r="B115" s="477" t="s">
        <v>1913</v>
      </c>
      <c r="C115" s="478" t="str">
        <f>C116&amp;"(含)"&amp;"-"&amp;D116</f>
        <v>0(含)-40000</v>
      </c>
      <c r="D115" s="478" t="str">
        <f t="shared" ref="D115:M115" si="26">D116&amp;"(含)"&amp;"-"&amp;E116</f>
        <v>40000(含)-80000</v>
      </c>
      <c r="E115" s="478" t="str">
        <f t="shared" si="26"/>
        <v>80000(含)-120000</v>
      </c>
      <c r="F115" s="478" t="str">
        <f t="shared" si="26"/>
        <v>120000(含)-160000</v>
      </c>
      <c r="G115" s="478" t="str">
        <f t="shared" si="26"/>
        <v>160000(含)-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40000</v>
      </c>
      <c r="E116" s="544">
        <v>80000</v>
      </c>
      <c r="F116" s="544">
        <v>120000</v>
      </c>
      <c r="G116" s="544">
        <v>160000</v>
      </c>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96</v>
      </c>
      <c r="D117" s="540">
        <v>98</v>
      </c>
      <c r="E117" s="540">
        <v>100</v>
      </c>
      <c r="F117" s="540">
        <v>98</v>
      </c>
      <c r="G117" s="540">
        <v>96</v>
      </c>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3464" t="s">
        <v>3587</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3465" t="s">
        <v>3589</v>
      </c>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3465" t="s">
        <v>3591</v>
      </c>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3465" t="s">
        <v>3592</v>
      </c>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6"/>
  <sheetViews>
    <sheetView zoomScaleNormal="100" workbookViewId="0">
      <selection activeCell="N21" sqref="N21"/>
    </sheetView>
  </sheetViews>
  <sheetFormatPr defaultRowHeight="13.5"/>
  <cols>
    <col min="1" max="1" width="22.375" customWidth="1"/>
    <col min="2" max="2" width="17.875" customWidth="1"/>
    <col min="5" max="5" width="9.25" customWidth="1"/>
    <col min="6" max="6" width="11.75" customWidth="1"/>
    <col min="12" max="12" width="12" customWidth="1"/>
    <col min="16" max="16" width="17" customWidth="1"/>
  </cols>
  <sheetData>
    <row r="1" spans="1:17" ht="14.25">
      <c r="A1" s="3725" t="s">
        <v>3413</v>
      </c>
      <c r="B1" s="3725" t="s">
        <v>3414</v>
      </c>
      <c r="C1" s="3725" t="s">
        <v>3415</v>
      </c>
      <c r="D1" s="3725" t="s">
        <v>3416</v>
      </c>
      <c r="E1" s="3725" t="s">
        <v>3417</v>
      </c>
      <c r="F1" s="3725" t="s">
        <v>3418</v>
      </c>
      <c r="G1" s="3725" t="s">
        <v>3419</v>
      </c>
      <c r="H1" s="3725" t="s">
        <v>3420</v>
      </c>
      <c r="I1" s="3725" t="s">
        <v>3421</v>
      </c>
      <c r="J1" s="3725" t="s">
        <v>3422</v>
      </c>
      <c r="K1" s="3725" t="s">
        <v>3423</v>
      </c>
      <c r="L1" s="3725" t="s">
        <v>3424</v>
      </c>
      <c r="M1" s="3725" t="s">
        <v>3425</v>
      </c>
      <c r="N1" s="3725" t="s">
        <v>3426</v>
      </c>
      <c r="O1" s="3725" t="s">
        <v>3427</v>
      </c>
      <c r="P1" s="3725" t="s">
        <v>3428</v>
      </c>
      <c r="Q1" s="3725" t="s">
        <v>3429</v>
      </c>
    </row>
    <row r="2" spans="1:17" ht="14.25">
      <c r="A2" s="3725" t="s">
        <v>3430</v>
      </c>
      <c r="B2" s="3725" t="s">
        <v>3431</v>
      </c>
      <c r="C2" s="3725" t="s">
        <v>3432</v>
      </c>
      <c r="D2" s="3725" t="s">
        <v>3433</v>
      </c>
      <c r="E2" s="3725" t="s">
        <v>3434</v>
      </c>
      <c r="F2" s="3725" t="s">
        <v>3435</v>
      </c>
      <c r="G2" s="3725" t="s">
        <v>3436</v>
      </c>
      <c r="H2" s="3725">
        <v>65376.42</v>
      </c>
      <c r="I2" s="3725">
        <v>23348.720000000001</v>
      </c>
      <c r="J2" s="3725" t="s">
        <v>3437</v>
      </c>
      <c r="K2" s="3725">
        <v>11472</v>
      </c>
      <c r="L2" s="3726">
        <v>44980.000497685185</v>
      </c>
      <c r="M2" s="3725">
        <v>11472</v>
      </c>
      <c r="N2" s="3725">
        <v>1755</v>
      </c>
      <c r="O2" s="3725">
        <v>0</v>
      </c>
      <c r="P2" s="3725" t="s">
        <v>3438</v>
      </c>
      <c r="Q2" s="3725">
        <v>5736</v>
      </c>
    </row>
    <row r="3" spans="1:17" ht="14.25">
      <c r="A3" s="3725" t="s">
        <v>3439</v>
      </c>
      <c r="B3" s="3725" t="s">
        <v>3440</v>
      </c>
      <c r="C3" s="3725" t="s">
        <v>3441</v>
      </c>
      <c r="D3" s="3725" t="s">
        <v>3433</v>
      </c>
      <c r="E3" s="3725" t="s">
        <v>3434</v>
      </c>
      <c r="F3" s="3725" t="s">
        <v>3442</v>
      </c>
      <c r="G3" s="3725" t="s">
        <v>3443</v>
      </c>
      <c r="H3" s="3725">
        <v>9266.7000000000007</v>
      </c>
      <c r="I3" s="3725">
        <v>4542.5</v>
      </c>
      <c r="J3" s="3725" t="s">
        <v>3444</v>
      </c>
      <c r="K3" s="3725">
        <v>4144</v>
      </c>
      <c r="L3" s="3726">
        <v>44973.000497685185</v>
      </c>
      <c r="M3" s="3725">
        <v>4144</v>
      </c>
      <c r="N3" s="3725">
        <v>4472</v>
      </c>
      <c r="O3" s="3725">
        <v>0</v>
      </c>
      <c r="P3" s="3725" t="s">
        <v>3445</v>
      </c>
      <c r="Q3" s="3725">
        <v>830</v>
      </c>
    </row>
    <row r="4" spans="1:17" s="3450" customFormat="1" ht="14.25">
      <c r="A4" s="3727" t="s">
        <v>3446</v>
      </c>
      <c r="B4" s="3727" t="s">
        <v>3447</v>
      </c>
      <c r="C4" s="3727" t="s">
        <v>3441</v>
      </c>
      <c r="D4" s="3727" t="s">
        <v>3433</v>
      </c>
      <c r="E4" s="3727" t="s">
        <v>3434</v>
      </c>
      <c r="F4" s="3727" t="s">
        <v>3448</v>
      </c>
      <c r="G4" s="3727" t="s">
        <v>3449</v>
      </c>
      <c r="H4" s="3727">
        <v>153994.4</v>
      </c>
      <c r="I4" s="3727">
        <v>61597.760000000002</v>
      </c>
      <c r="J4" s="3727" t="s">
        <v>3450</v>
      </c>
      <c r="K4" s="3727">
        <v>43421</v>
      </c>
      <c r="L4" s="3728">
        <v>44925.000497685185</v>
      </c>
      <c r="M4" s="3727">
        <v>43421</v>
      </c>
      <c r="N4" s="3727">
        <v>2820</v>
      </c>
      <c r="O4" s="3727">
        <v>0</v>
      </c>
      <c r="P4" s="3727" t="s">
        <v>3451</v>
      </c>
      <c r="Q4" s="3727">
        <v>8685</v>
      </c>
    </row>
    <row r="5" spans="1:17" ht="14.25">
      <c r="A5" s="3725" t="s">
        <v>3452</v>
      </c>
      <c r="B5" s="3725" t="s">
        <v>3453</v>
      </c>
      <c r="C5" s="3725" t="s">
        <v>3441</v>
      </c>
      <c r="D5" s="3725" t="s">
        <v>3433</v>
      </c>
      <c r="E5" s="3725" t="s">
        <v>3434</v>
      </c>
      <c r="F5" s="3725" t="s">
        <v>3454</v>
      </c>
      <c r="G5" s="3725" t="s">
        <v>3436</v>
      </c>
      <c r="H5" s="3725">
        <v>198194.79</v>
      </c>
      <c r="I5" s="3725">
        <v>32490.95</v>
      </c>
      <c r="J5" s="3725" t="s">
        <v>3455</v>
      </c>
      <c r="K5" s="3725">
        <v>35806</v>
      </c>
      <c r="L5" s="3726">
        <v>44935.000497685185</v>
      </c>
      <c r="M5" s="3725">
        <v>35806</v>
      </c>
      <c r="N5" s="3725">
        <v>1807</v>
      </c>
      <c r="O5" s="3725">
        <v>0</v>
      </c>
      <c r="P5" s="3725" t="s">
        <v>3456</v>
      </c>
      <c r="Q5" s="3725">
        <v>7162</v>
      </c>
    </row>
    <row r="6" spans="1:17" ht="14.25">
      <c r="A6" s="3725" t="s">
        <v>3457</v>
      </c>
      <c r="B6" s="3725" t="s">
        <v>3458</v>
      </c>
      <c r="C6" s="3725" t="s">
        <v>3441</v>
      </c>
      <c r="D6" s="3725" t="s">
        <v>3433</v>
      </c>
      <c r="E6" s="3725" t="s">
        <v>3434</v>
      </c>
      <c r="F6" s="3725" t="s">
        <v>3459</v>
      </c>
      <c r="G6" s="3725" t="s">
        <v>3449</v>
      </c>
      <c r="H6" s="3725">
        <v>63981.5</v>
      </c>
      <c r="I6" s="3725">
        <v>29082.5</v>
      </c>
      <c r="J6" s="3725" t="s">
        <v>3460</v>
      </c>
      <c r="K6" s="3725">
        <v>7000</v>
      </c>
      <c r="L6" s="3726">
        <v>44846.000497685185</v>
      </c>
      <c r="M6" s="3725">
        <v>7000</v>
      </c>
      <c r="N6" s="3725">
        <v>1094</v>
      </c>
      <c r="O6" s="3725">
        <v>0</v>
      </c>
      <c r="P6" s="3725" t="s">
        <v>3461</v>
      </c>
      <c r="Q6" s="3725">
        <v>1500</v>
      </c>
    </row>
    <row r="7" spans="1:17" ht="14.25">
      <c r="A7" s="3725" t="s">
        <v>3462</v>
      </c>
      <c r="B7" s="3725" t="s">
        <v>3463</v>
      </c>
      <c r="C7" s="3725" t="s">
        <v>3432</v>
      </c>
      <c r="D7" s="3725" t="s">
        <v>3433</v>
      </c>
      <c r="E7" s="3725" t="s">
        <v>3434</v>
      </c>
      <c r="F7" s="3725" t="s">
        <v>3464</v>
      </c>
      <c r="G7" s="3725" t="s">
        <v>3449</v>
      </c>
      <c r="H7" s="3725">
        <v>986157.46</v>
      </c>
      <c r="I7" s="3725">
        <v>162196.95000000001</v>
      </c>
      <c r="J7" s="3725" t="s">
        <v>3465</v>
      </c>
      <c r="K7" s="3725">
        <v>20175</v>
      </c>
      <c r="L7" s="3726">
        <v>44711.000497685185</v>
      </c>
      <c r="M7" s="3725">
        <v>20175</v>
      </c>
      <c r="N7" s="3725">
        <v>205</v>
      </c>
      <c r="O7" s="3725">
        <v>0</v>
      </c>
      <c r="P7" s="3725" t="s">
        <v>3466</v>
      </c>
      <c r="Q7" s="3725">
        <v>20175</v>
      </c>
    </row>
    <row r="8" spans="1:17" ht="14.25">
      <c r="A8" s="3725" t="s">
        <v>3467</v>
      </c>
      <c r="B8" s="3725" t="s">
        <v>3468</v>
      </c>
      <c r="C8" s="3725" t="s">
        <v>3441</v>
      </c>
      <c r="D8" s="3725" t="s">
        <v>3433</v>
      </c>
      <c r="E8" s="3725" t="s">
        <v>3434</v>
      </c>
      <c r="F8" s="3725" t="s">
        <v>3469</v>
      </c>
      <c r="G8" s="3725" t="s">
        <v>3449</v>
      </c>
      <c r="H8" s="3725">
        <v>202.82</v>
      </c>
      <c r="I8" s="3725">
        <v>2028.16</v>
      </c>
      <c r="J8" s="3725" t="s">
        <v>3470</v>
      </c>
      <c r="K8" s="3725">
        <v>751</v>
      </c>
      <c r="L8" s="3726">
        <v>44662.000497685185</v>
      </c>
      <c r="M8" s="3725">
        <v>751</v>
      </c>
      <c r="N8" s="3725">
        <v>37028</v>
      </c>
      <c r="O8" s="3725">
        <v>0</v>
      </c>
      <c r="P8" s="3725" t="s">
        <v>3471</v>
      </c>
      <c r="Q8" s="3725">
        <v>751</v>
      </c>
    </row>
    <row r="9" spans="1:17" ht="14.25">
      <c r="A9" s="3725" t="s">
        <v>3472</v>
      </c>
      <c r="B9" s="3725" t="s">
        <v>3473</v>
      </c>
      <c r="C9" s="3725" t="s">
        <v>3441</v>
      </c>
      <c r="D9" s="3725" t="s">
        <v>3433</v>
      </c>
      <c r="E9" s="3725" t="s">
        <v>3434</v>
      </c>
      <c r="F9" s="3725" t="s">
        <v>3469</v>
      </c>
      <c r="G9" s="3725" t="s">
        <v>3449</v>
      </c>
      <c r="H9" s="3725">
        <v>190</v>
      </c>
      <c r="I9" s="3725">
        <v>1900</v>
      </c>
      <c r="J9" s="3725" t="s">
        <v>3470</v>
      </c>
      <c r="K9" s="3725">
        <v>805</v>
      </c>
      <c r="L9" s="3726">
        <v>44662.000497685185</v>
      </c>
      <c r="M9" s="3725">
        <v>805</v>
      </c>
      <c r="N9" s="3725">
        <v>42368</v>
      </c>
      <c r="O9" s="3725">
        <v>0</v>
      </c>
      <c r="P9" s="3725" t="s">
        <v>3474</v>
      </c>
      <c r="Q9" s="3725">
        <v>805</v>
      </c>
    </row>
    <row r="10" spans="1:17" ht="14.25">
      <c r="A10" s="3725" t="s">
        <v>3475</v>
      </c>
      <c r="B10" s="3725" t="s">
        <v>3476</v>
      </c>
      <c r="C10" s="3725" t="s">
        <v>3441</v>
      </c>
      <c r="D10" s="3725" t="s">
        <v>3433</v>
      </c>
      <c r="E10" s="3725" t="s">
        <v>3434</v>
      </c>
      <c r="F10" s="3725" t="s">
        <v>3477</v>
      </c>
      <c r="G10" s="3725" t="s">
        <v>3436</v>
      </c>
      <c r="H10" s="3725">
        <v>91331.1</v>
      </c>
      <c r="I10" s="3725">
        <v>13047.3</v>
      </c>
      <c r="J10" s="3725" t="s">
        <v>3478</v>
      </c>
      <c r="K10" s="3725">
        <v>9265</v>
      </c>
      <c r="L10" s="3726">
        <v>44547.000497685185</v>
      </c>
      <c r="M10" s="3725">
        <v>9265</v>
      </c>
      <c r="N10" s="3725">
        <v>1014</v>
      </c>
      <c r="O10" s="3725">
        <v>0</v>
      </c>
      <c r="P10" s="3725" t="s">
        <v>3479</v>
      </c>
      <c r="Q10" s="3725">
        <v>1855</v>
      </c>
    </row>
    <row r="11" spans="1:17" ht="14.25">
      <c r="A11" s="3725" t="s">
        <v>3475</v>
      </c>
      <c r="B11" s="3725" t="s">
        <v>3480</v>
      </c>
      <c r="C11" s="3725" t="s">
        <v>3441</v>
      </c>
      <c r="D11" s="3725" t="s">
        <v>3433</v>
      </c>
      <c r="E11" s="3725" t="s">
        <v>3434</v>
      </c>
      <c r="F11" s="3725" t="s">
        <v>3481</v>
      </c>
      <c r="G11" s="3725" t="s">
        <v>3436</v>
      </c>
      <c r="H11" s="3725">
        <v>298260.21999999997</v>
      </c>
      <c r="I11" s="3725">
        <v>53740.58</v>
      </c>
      <c r="J11" s="3725" t="s">
        <v>3478</v>
      </c>
      <c r="K11" s="3725">
        <v>40004</v>
      </c>
      <c r="L11" s="3726">
        <v>44547.000497685185</v>
      </c>
      <c r="M11" s="3725">
        <v>40004</v>
      </c>
      <c r="N11" s="3725">
        <v>1341</v>
      </c>
      <c r="O11" s="3725">
        <v>0</v>
      </c>
      <c r="P11" s="3725" t="s">
        <v>3482</v>
      </c>
      <c r="Q11" s="3725">
        <v>8005</v>
      </c>
    </row>
    <row r="12" spans="1:17" ht="14.25">
      <c r="A12" s="3725" t="s">
        <v>3483</v>
      </c>
      <c r="B12" s="3725" t="s">
        <v>3484</v>
      </c>
      <c r="C12" s="3725" t="s">
        <v>3441</v>
      </c>
      <c r="D12" s="3725" t="s">
        <v>3433</v>
      </c>
      <c r="E12" s="3725" t="s">
        <v>3434</v>
      </c>
      <c r="F12" s="3725" t="s">
        <v>3485</v>
      </c>
      <c r="G12" s="3725" t="s">
        <v>3443</v>
      </c>
      <c r="H12" s="3725">
        <v>81050.960000000006</v>
      </c>
      <c r="I12" s="3725">
        <v>198168.6</v>
      </c>
      <c r="J12" s="3725" t="s">
        <v>3486</v>
      </c>
      <c r="K12" s="3725" t="s">
        <v>3487</v>
      </c>
      <c r="L12" s="3726">
        <v>44230.000497685185</v>
      </c>
      <c r="M12" s="3725">
        <v>50558</v>
      </c>
      <c r="N12" s="3725">
        <v>6238</v>
      </c>
      <c r="O12" s="3725">
        <v>0</v>
      </c>
      <c r="P12" s="3725" t="s">
        <v>3488</v>
      </c>
      <c r="Q12" s="3725">
        <v>12000</v>
      </c>
    </row>
    <row r="13" spans="1:17" ht="14.25">
      <c r="A13" s="3725" t="s">
        <v>3489</v>
      </c>
      <c r="B13" s="3725" t="s">
        <v>3490</v>
      </c>
      <c r="C13" s="3725" t="s">
        <v>3441</v>
      </c>
      <c r="D13" s="3725" t="s">
        <v>3433</v>
      </c>
      <c r="E13" s="3725" t="s">
        <v>3434</v>
      </c>
      <c r="F13" s="3725" t="s">
        <v>3491</v>
      </c>
      <c r="G13" s="3725" t="s">
        <v>3443</v>
      </c>
      <c r="H13" s="3725">
        <v>7661.03</v>
      </c>
      <c r="I13" s="3725">
        <v>6901.83</v>
      </c>
      <c r="J13" s="3725" t="s">
        <v>3492</v>
      </c>
      <c r="K13" s="3725" t="s">
        <v>3487</v>
      </c>
      <c r="L13" s="3726">
        <v>44172.000497685185</v>
      </c>
      <c r="M13" s="3725">
        <v>1636</v>
      </c>
      <c r="N13" s="3725">
        <v>2135</v>
      </c>
      <c r="O13" s="3725">
        <v>0</v>
      </c>
      <c r="P13" s="3725" t="s">
        <v>3461</v>
      </c>
      <c r="Q13" s="3725">
        <v>8116</v>
      </c>
    </row>
    <row r="14" spans="1:17" s="3450" customFormat="1" ht="14.25">
      <c r="A14" s="3727" t="s">
        <v>3493</v>
      </c>
      <c r="B14" s="3727" t="s">
        <v>3494</v>
      </c>
      <c r="C14" s="3727" t="s">
        <v>3441</v>
      </c>
      <c r="D14" s="3727" t="s">
        <v>3433</v>
      </c>
      <c r="E14" s="3727" t="s">
        <v>3434</v>
      </c>
      <c r="F14" s="3727" t="s">
        <v>3495</v>
      </c>
      <c r="G14" s="3727" t="s">
        <v>3436</v>
      </c>
      <c r="H14" s="3727">
        <v>59424.3</v>
      </c>
      <c r="I14" s="3727">
        <v>22009</v>
      </c>
      <c r="J14" s="3727" t="s">
        <v>3492</v>
      </c>
      <c r="K14" s="3727" t="s">
        <v>3487</v>
      </c>
      <c r="L14" s="3728">
        <v>44172.000497685185</v>
      </c>
      <c r="M14" s="3727">
        <v>13125.97</v>
      </c>
      <c r="N14" s="3727">
        <v>2209</v>
      </c>
      <c r="O14" s="3727">
        <v>0</v>
      </c>
      <c r="P14" s="3727" t="s">
        <v>3496</v>
      </c>
      <c r="Q14" s="3727">
        <v>72160</v>
      </c>
    </row>
    <row r="15" spans="1:17" ht="14.25">
      <c r="A15" s="3725" t="s">
        <v>3493</v>
      </c>
      <c r="B15" s="3725" t="s">
        <v>3497</v>
      </c>
      <c r="C15" s="3725" t="s">
        <v>3441</v>
      </c>
      <c r="D15" s="3725" t="s">
        <v>3433</v>
      </c>
      <c r="E15" s="3725" t="s">
        <v>3434</v>
      </c>
      <c r="F15" s="3725" t="s">
        <v>3498</v>
      </c>
      <c r="G15" s="3725" t="s">
        <v>3436</v>
      </c>
      <c r="H15" s="3725">
        <v>108676.68</v>
      </c>
      <c r="I15" s="3725">
        <v>27034</v>
      </c>
      <c r="J15" s="3725" t="s">
        <v>3492</v>
      </c>
      <c r="K15" s="3725" t="s">
        <v>3487</v>
      </c>
      <c r="L15" s="3726">
        <v>44172.000497685185</v>
      </c>
      <c r="M15" s="3725">
        <v>16122.84</v>
      </c>
      <c r="N15" s="3725">
        <v>1484</v>
      </c>
      <c r="O15" s="3725">
        <v>0</v>
      </c>
      <c r="P15" s="3725" t="s">
        <v>3496</v>
      </c>
      <c r="Q15" s="3725">
        <v>72160</v>
      </c>
    </row>
    <row r="16" spans="1:17" ht="14.25">
      <c r="A16" s="3725" t="s">
        <v>3493</v>
      </c>
      <c r="B16" s="3725" t="s">
        <v>3499</v>
      </c>
      <c r="C16" s="3725" t="s">
        <v>3441</v>
      </c>
      <c r="D16" s="3725" t="s">
        <v>3433</v>
      </c>
      <c r="E16" s="3725" t="s">
        <v>3434</v>
      </c>
      <c r="F16" s="3725" t="s">
        <v>3500</v>
      </c>
      <c r="G16" s="3725" t="s">
        <v>3436</v>
      </c>
      <c r="H16" s="3725">
        <v>49252.2</v>
      </c>
      <c r="I16" s="3725">
        <v>14276</v>
      </c>
      <c r="J16" s="3725" t="s">
        <v>3492</v>
      </c>
      <c r="K16" s="3725" t="s">
        <v>3487</v>
      </c>
      <c r="L16" s="3726">
        <v>44172.000497685185</v>
      </c>
      <c r="M16" s="3725">
        <v>8514.08</v>
      </c>
      <c r="N16" s="3725">
        <v>1729</v>
      </c>
      <c r="O16" s="3725">
        <v>0</v>
      </c>
      <c r="P16" s="3725" t="s">
        <v>3496</v>
      </c>
      <c r="Q16" s="3725">
        <v>72160</v>
      </c>
    </row>
    <row r="17" spans="1:17" ht="14.25">
      <c r="A17" s="3725" t="s">
        <v>3489</v>
      </c>
      <c r="B17" s="3725" t="s">
        <v>3501</v>
      </c>
      <c r="C17" s="3725" t="s">
        <v>3441</v>
      </c>
      <c r="D17" s="3725" t="s">
        <v>3433</v>
      </c>
      <c r="E17" s="3725" t="s">
        <v>3434</v>
      </c>
      <c r="F17" s="3725" t="s">
        <v>3491</v>
      </c>
      <c r="G17" s="3725" t="s">
        <v>3443</v>
      </c>
      <c r="H17" s="3725">
        <v>7703.84</v>
      </c>
      <c r="I17" s="3725">
        <v>6940.4</v>
      </c>
      <c r="J17" s="3725" t="s">
        <v>3492</v>
      </c>
      <c r="K17" s="3725" t="s">
        <v>3487</v>
      </c>
      <c r="L17" s="3726">
        <v>44172.000497685185</v>
      </c>
      <c r="M17" s="3725">
        <v>1646</v>
      </c>
      <c r="N17" s="3725">
        <v>2137</v>
      </c>
      <c r="O17" s="3725">
        <v>0</v>
      </c>
      <c r="P17" s="3725" t="s">
        <v>3461</v>
      </c>
      <c r="Q17" s="3725">
        <v>8116</v>
      </c>
    </row>
    <row r="18" spans="1:17" ht="14.25">
      <c r="A18" s="3725" t="s">
        <v>3489</v>
      </c>
      <c r="B18" s="3725" t="s">
        <v>3502</v>
      </c>
      <c r="C18" s="3725" t="s">
        <v>3441</v>
      </c>
      <c r="D18" s="3725" t="s">
        <v>3433</v>
      </c>
      <c r="E18" s="3725" t="s">
        <v>3434</v>
      </c>
      <c r="F18" s="3725" t="s">
        <v>3491</v>
      </c>
      <c r="G18" s="3725" t="s">
        <v>3503</v>
      </c>
      <c r="H18" s="3725">
        <v>44816.959999999999</v>
      </c>
      <c r="I18" s="3725">
        <v>40375.64</v>
      </c>
      <c r="J18" s="3725" t="s">
        <v>3492</v>
      </c>
      <c r="K18" s="3725" t="s">
        <v>3487</v>
      </c>
      <c r="L18" s="3726">
        <v>44172.000497685185</v>
      </c>
      <c r="M18" s="3725">
        <v>9569</v>
      </c>
      <c r="N18" s="3725">
        <v>2135</v>
      </c>
      <c r="O18" s="3725">
        <v>0</v>
      </c>
      <c r="P18" s="3725" t="s">
        <v>3461</v>
      </c>
      <c r="Q18" s="3725">
        <v>8116</v>
      </c>
    </row>
    <row r="19" spans="1:17" ht="14.25">
      <c r="A19" s="3725" t="s">
        <v>3493</v>
      </c>
      <c r="B19" s="3725" t="s">
        <v>3504</v>
      </c>
      <c r="C19" s="3725" t="s">
        <v>3441</v>
      </c>
      <c r="D19" s="3725" t="s">
        <v>3433</v>
      </c>
      <c r="E19" s="3725" t="s">
        <v>3434</v>
      </c>
      <c r="F19" s="3725" t="s">
        <v>3505</v>
      </c>
      <c r="G19" s="3725" t="s">
        <v>3436</v>
      </c>
      <c r="H19" s="3725">
        <v>233785.44</v>
      </c>
      <c r="I19" s="3725">
        <v>54117</v>
      </c>
      <c r="J19" s="3725" t="s">
        <v>3492</v>
      </c>
      <c r="K19" s="3725" t="s">
        <v>3487</v>
      </c>
      <c r="L19" s="3726">
        <v>44172.000497685185</v>
      </c>
      <c r="M19" s="3725">
        <v>32274.9</v>
      </c>
      <c r="N19" s="3725">
        <v>1381</v>
      </c>
      <c r="O19" s="3725">
        <v>0</v>
      </c>
      <c r="P19" s="3725" t="s">
        <v>3496</v>
      </c>
      <c r="Q19" s="3725">
        <v>72160</v>
      </c>
    </row>
    <row r="20" spans="1:17" ht="14.25">
      <c r="A20" s="3725" t="s">
        <v>3493</v>
      </c>
      <c r="B20" s="3725" t="s">
        <v>3506</v>
      </c>
      <c r="C20" s="3725" t="s">
        <v>3441</v>
      </c>
      <c r="D20" s="3725" t="s">
        <v>3433</v>
      </c>
      <c r="E20" s="3725" t="s">
        <v>3434</v>
      </c>
      <c r="F20" s="3725" t="s">
        <v>3507</v>
      </c>
      <c r="G20" s="3725" t="s">
        <v>3443</v>
      </c>
      <c r="H20" s="3725">
        <v>179653.39</v>
      </c>
      <c r="I20" s="3725">
        <v>62597</v>
      </c>
      <c r="J20" s="3725" t="s">
        <v>3492</v>
      </c>
      <c r="K20" s="3725" t="s">
        <v>3487</v>
      </c>
      <c r="L20" s="3726">
        <v>44172.000497685185</v>
      </c>
      <c r="M20" s="3725">
        <v>37332.300000000003</v>
      </c>
      <c r="N20" s="3725">
        <v>2078</v>
      </c>
      <c r="O20" s="3725">
        <v>0</v>
      </c>
      <c r="P20" s="3725" t="s">
        <v>3496</v>
      </c>
      <c r="Q20" s="3725">
        <v>72160</v>
      </c>
    </row>
    <row r="21" spans="1:17" ht="14.25">
      <c r="A21" s="3725" t="s">
        <v>3493</v>
      </c>
      <c r="B21" s="3725" t="s">
        <v>3508</v>
      </c>
      <c r="C21" s="3725" t="s">
        <v>3441</v>
      </c>
      <c r="D21" s="3725" t="s">
        <v>3433</v>
      </c>
      <c r="E21" s="3725" t="s">
        <v>3434</v>
      </c>
      <c r="F21" s="3725" t="s">
        <v>3509</v>
      </c>
      <c r="G21" s="3725" t="s">
        <v>3436</v>
      </c>
      <c r="H21" s="3725">
        <v>213701.32</v>
      </c>
      <c r="I21" s="3725">
        <v>67627</v>
      </c>
      <c r="J21" s="3725" t="s">
        <v>3492</v>
      </c>
      <c r="K21" s="3725" t="s">
        <v>3487</v>
      </c>
      <c r="L21" s="3726">
        <v>44172.000497685185</v>
      </c>
      <c r="M21" s="3725">
        <v>40332.15</v>
      </c>
      <c r="N21" s="3725">
        <v>1887</v>
      </c>
      <c r="O21" s="3725">
        <v>0</v>
      </c>
      <c r="P21" s="3725" t="s">
        <v>3496</v>
      </c>
      <c r="Q21" s="3725">
        <v>72160</v>
      </c>
    </row>
    <row r="22" spans="1:17" ht="14.25">
      <c r="A22" s="3725" t="s">
        <v>3489</v>
      </c>
      <c r="B22" s="3725" t="s">
        <v>3510</v>
      </c>
      <c r="C22" s="3725" t="s">
        <v>3441</v>
      </c>
      <c r="D22" s="3725" t="s">
        <v>3433</v>
      </c>
      <c r="E22" s="3725" t="s">
        <v>3434</v>
      </c>
      <c r="F22" s="3725" t="s">
        <v>3491</v>
      </c>
      <c r="G22" s="3725" t="s">
        <v>3443</v>
      </c>
      <c r="H22" s="3725">
        <v>6713.48</v>
      </c>
      <c r="I22" s="3725">
        <v>6048.18</v>
      </c>
      <c r="J22" s="3725" t="s">
        <v>3492</v>
      </c>
      <c r="K22" s="3725" t="s">
        <v>3487</v>
      </c>
      <c r="L22" s="3726">
        <v>44172.000497685185</v>
      </c>
      <c r="M22" s="3725">
        <v>1433</v>
      </c>
      <c r="N22" s="3725">
        <v>2135</v>
      </c>
      <c r="O22" s="3725">
        <v>0</v>
      </c>
      <c r="P22" s="3725" t="s">
        <v>3461</v>
      </c>
      <c r="Q22" s="3725">
        <v>8116</v>
      </c>
    </row>
    <row r="23" spans="1:17" s="3450" customFormat="1" ht="14.25">
      <c r="A23" s="3727" t="s">
        <v>3511</v>
      </c>
      <c r="B23" s="3727" t="s">
        <v>3512</v>
      </c>
      <c r="C23" s="3727" t="s">
        <v>3441</v>
      </c>
      <c r="D23" s="3727" t="s">
        <v>3433</v>
      </c>
      <c r="E23" s="3727" t="s">
        <v>3434</v>
      </c>
      <c r="F23" s="3727" t="s">
        <v>3513</v>
      </c>
      <c r="G23" s="3727" t="s">
        <v>3436</v>
      </c>
      <c r="H23" s="3727">
        <v>29267.88</v>
      </c>
      <c r="I23" s="3727">
        <v>28694</v>
      </c>
      <c r="J23" s="3727" t="s">
        <v>3492</v>
      </c>
      <c r="K23" s="3727" t="s">
        <v>3487</v>
      </c>
      <c r="L23" s="3728">
        <v>44172.000497685185</v>
      </c>
      <c r="M23" s="3727">
        <v>9165.2000000000007</v>
      </c>
      <c r="N23" s="3727">
        <v>3131</v>
      </c>
      <c r="O23" s="3727">
        <v>0</v>
      </c>
      <c r="P23" s="3727" t="s">
        <v>3514</v>
      </c>
      <c r="Q23" s="3727">
        <v>93940</v>
      </c>
    </row>
    <row r="24" spans="1:17" ht="14.25">
      <c r="A24" s="3725" t="s">
        <v>3489</v>
      </c>
      <c r="B24" s="3725" t="s">
        <v>3515</v>
      </c>
      <c r="C24" s="3725" t="s">
        <v>3441</v>
      </c>
      <c r="D24" s="3725" t="s">
        <v>3433</v>
      </c>
      <c r="E24" s="3725" t="s">
        <v>3434</v>
      </c>
      <c r="F24" s="3725" t="s">
        <v>3491</v>
      </c>
      <c r="G24" s="3725" t="s">
        <v>3443</v>
      </c>
      <c r="H24" s="3725">
        <v>7359.08</v>
      </c>
      <c r="I24" s="3725">
        <v>6629.8</v>
      </c>
      <c r="J24" s="3725" t="s">
        <v>3492</v>
      </c>
      <c r="K24" s="3725" t="s">
        <v>3487</v>
      </c>
      <c r="L24" s="3726">
        <v>44172.000497685185</v>
      </c>
      <c r="M24" s="3725">
        <v>1572</v>
      </c>
      <c r="N24" s="3725">
        <v>2136</v>
      </c>
      <c r="O24" s="3725">
        <v>0</v>
      </c>
      <c r="P24" s="3725" t="s">
        <v>3461</v>
      </c>
      <c r="Q24" s="3725" t="s">
        <v>3516</v>
      </c>
    </row>
    <row r="25" spans="1:17" ht="14.25">
      <c r="A25" s="3725" t="s">
        <v>3493</v>
      </c>
      <c r="B25" s="3725" t="s">
        <v>3517</v>
      </c>
      <c r="C25" s="3725" t="s">
        <v>3441</v>
      </c>
      <c r="D25" s="3725" t="s">
        <v>3433</v>
      </c>
      <c r="E25" s="3725" t="s">
        <v>3434</v>
      </c>
      <c r="F25" s="3725" t="s">
        <v>3518</v>
      </c>
      <c r="G25" s="3725" t="s">
        <v>3449</v>
      </c>
      <c r="H25" s="3725">
        <v>74792</v>
      </c>
      <c r="I25" s="3725">
        <v>74792</v>
      </c>
      <c r="J25" s="3725" t="s">
        <v>3492</v>
      </c>
      <c r="K25" s="3725" t="s">
        <v>3487</v>
      </c>
      <c r="L25" s="3726">
        <v>44172.000497685185</v>
      </c>
      <c r="M25" s="3725">
        <v>44605.29</v>
      </c>
      <c r="N25" s="3725">
        <v>5964</v>
      </c>
      <c r="O25" s="3725">
        <v>0</v>
      </c>
      <c r="P25" s="3725" t="s">
        <v>3496</v>
      </c>
      <c r="Q25" s="3725">
        <v>72160</v>
      </c>
    </row>
    <row r="26" spans="1:17" ht="14.25">
      <c r="A26" s="3725" t="s">
        <v>3493</v>
      </c>
      <c r="B26" s="3725" t="s">
        <v>3519</v>
      </c>
      <c r="C26" s="3725" t="s">
        <v>3441</v>
      </c>
      <c r="D26" s="3725" t="s">
        <v>3433</v>
      </c>
      <c r="E26" s="3725" t="s">
        <v>3434</v>
      </c>
      <c r="F26" s="3725" t="s">
        <v>3498</v>
      </c>
      <c r="G26" s="3725" t="s">
        <v>3436</v>
      </c>
      <c r="H26" s="3725">
        <v>73509.72</v>
      </c>
      <c r="I26" s="3725">
        <v>18286</v>
      </c>
      <c r="J26" s="3725" t="s">
        <v>3492</v>
      </c>
      <c r="K26" s="3725" t="s">
        <v>3487</v>
      </c>
      <c r="L26" s="3726">
        <v>44172.000497685185</v>
      </c>
      <c r="M26" s="3725">
        <v>10905.61</v>
      </c>
      <c r="N26" s="3725">
        <v>1484</v>
      </c>
      <c r="O26" s="3725">
        <v>0</v>
      </c>
      <c r="P26" s="3725" t="s">
        <v>3496</v>
      </c>
      <c r="Q26" s="3725">
        <v>72160</v>
      </c>
    </row>
    <row r="27" spans="1:17" ht="14.25">
      <c r="A27" s="3725" t="s">
        <v>3489</v>
      </c>
      <c r="B27" s="3725" t="s">
        <v>3520</v>
      </c>
      <c r="C27" s="3725" t="s">
        <v>3441</v>
      </c>
      <c r="D27" s="3725" t="s">
        <v>3433</v>
      </c>
      <c r="E27" s="3725" t="s">
        <v>3434</v>
      </c>
      <c r="F27" s="3725" t="s">
        <v>3491</v>
      </c>
      <c r="G27" s="3725" t="s">
        <v>3443</v>
      </c>
      <c r="H27" s="3725">
        <v>6290.41</v>
      </c>
      <c r="I27" s="3725">
        <v>5667.04</v>
      </c>
      <c r="J27" s="3725" t="s">
        <v>3492</v>
      </c>
      <c r="K27" s="3725" t="s">
        <v>3487</v>
      </c>
      <c r="L27" s="3726">
        <v>44172.000497685185</v>
      </c>
      <c r="M27" s="3725">
        <v>1343</v>
      </c>
      <c r="N27" s="3725">
        <v>2135</v>
      </c>
      <c r="O27" s="3725">
        <v>0</v>
      </c>
      <c r="P27" s="3725" t="s">
        <v>3461</v>
      </c>
      <c r="Q27" s="3725">
        <v>8116</v>
      </c>
    </row>
    <row r="28" spans="1:17" ht="14.25">
      <c r="A28" s="3725" t="s">
        <v>3489</v>
      </c>
      <c r="B28" s="3725" t="s">
        <v>3521</v>
      </c>
      <c r="C28" s="3725" t="s">
        <v>3441</v>
      </c>
      <c r="D28" s="3725" t="s">
        <v>3433</v>
      </c>
      <c r="E28" s="3725" t="s">
        <v>3434</v>
      </c>
      <c r="F28" s="3725" t="s">
        <v>3491</v>
      </c>
      <c r="G28" s="3725" t="s">
        <v>3443</v>
      </c>
      <c r="H28" s="3725">
        <v>6213.49</v>
      </c>
      <c r="I28" s="3725">
        <v>5597.74</v>
      </c>
      <c r="J28" s="3725" t="s">
        <v>3492</v>
      </c>
      <c r="K28" s="3725" t="s">
        <v>3487</v>
      </c>
      <c r="L28" s="3726">
        <v>44172.000497685185</v>
      </c>
      <c r="M28" s="3725">
        <v>1327</v>
      </c>
      <c r="N28" s="3725">
        <v>2136</v>
      </c>
      <c r="O28" s="3725">
        <v>0</v>
      </c>
      <c r="P28" s="3725" t="s">
        <v>3461</v>
      </c>
      <c r="Q28" s="3725" t="s">
        <v>3516</v>
      </c>
    </row>
    <row r="29" spans="1:17" ht="14.25">
      <c r="A29" s="3725" t="s">
        <v>3489</v>
      </c>
      <c r="B29" s="3725" t="s">
        <v>3522</v>
      </c>
      <c r="C29" s="3725" t="s">
        <v>3441</v>
      </c>
      <c r="D29" s="3725" t="s">
        <v>3433</v>
      </c>
      <c r="E29" s="3725" t="s">
        <v>3434</v>
      </c>
      <c r="F29" s="3725" t="s">
        <v>3491</v>
      </c>
      <c r="G29" s="3725" t="s">
        <v>3443</v>
      </c>
      <c r="H29" s="3725">
        <v>8118.91</v>
      </c>
      <c r="I29" s="3725">
        <v>7314.33</v>
      </c>
      <c r="J29" s="3725" t="s">
        <v>3492</v>
      </c>
      <c r="K29" s="3725" t="s">
        <v>3487</v>
      </c>
      <c r="L29" s="3726">
        <v>44172.000497685185</v>
      </c>
      <c r="M29" s="3725">
        <v>1734</v>
      </c>
      <c r="N29" s="3725">
        <v>2136</v>
      </c>
      <c r="O29" s="3725">
        <v>0</v>
      </c>
      <c r="P29" s="3725" t="s">
        <v>3461</v>
      </c>
      <c r="Q29" s="3725">
        <v>8116</v>
      </c>
    </row>
    <row r="30" spans="1:17" ht="14.25">
      <c r="A30" s="3725" t="s">
        <v>3511</v>
      </c>
      <c r="B30" s="3725" t="s">
        <v>3523</v>
      </c>
      <c r="C30" s="3725" t="s">
        <v>3441</v>
      </c>
      <c r="D30" s="3725" t="s">
        <v>3433</v>
      </c>
      <c r="E30" s="3725" t="s">
        <v>3434</v>
      </c>
      <c r="F30" s="3725" t="s">
        <v>3524</v>
      </c>
      <c r="G30" s="3725" t="s">
        <v>3503</v>
      </c>
      <c r="H30" s="3725">
        <v>227890.55</v>
      </c>
      <c r="I30" s="3725">
        <v>108005</v>
      </c>
      <c r="J30" s="3725" t="s">
        <v>3492</v>
      </c>
      <c r="K30" s="3725" t="s">
        <v>3487</v>
      </c>
      <c r="L30" s="3726">
        <v>44172.000497685185</v>
      </c>
      <c r="M30" s="3725">
        <v>43647.91</v>
      </c>
      <c r="N30" s="3725">
        <v>1915</v>
      </c>
      <c r="O30" s="3725">
        <v>0</v>
      </c>
      <c r="P30" s="3725" t="s">
        <v>3514</v>
      </c>
      <c r="Q30" s="3725">
        <v>93940</v>
      </c>
    </row>
    <row r="31" spans="1:17" ht="14.25">
      <c r="A31" s="3725" t="s">
        <v>3511</v>
      </c>
      <c r="B31" s="3725" t="s">
        <v>3525</v>
      </c>
      <c r="C31" s="3725" t="s">
        <v>3441</v>
      </c>
      <c r="D31" s="3725" t="s">
        <v>3433</v>
      </c>
      <c r="E31" s="3725" t="s">
        <v>3434</v>
      </c>
      <c r="F31" s="3725" t="s">
        <v>3526</v>
      </c>
      <c r="G31" s="3725" t="s">
        <v>3503</v>
      </c>
      <c r="H31" s="3725">
        <v>493237.05</v>
      </c>
      <c r="I31" s="3725">
        <v>278665</v>
      </c>
      <c r="J31" s="3725" t="s">
        <v>3492</v>
      </c>
      <c r="K31" s="3725" t="s">
        <v>3487</v>
      </c>
      <c r="L31" s="3726">
        <v>44172.000497685185</v>
      </c>
      <c r="M31" s="3725">
        <v>115161.95</v>
      </c>
      <c r="N31" s="3725">
        <v>2335</v>
      </c>
      <c r="O31" s="3725">
        <v>0</v>
      </c>
      <c r="P31" s="3725" t="s">
        <v>3514</v>
      </c>
      <c r="Q31" s="3725">
        <v>93940</v>
      </c>
    </row>
    <row r="32" spans="1:17" ht="14.25">
      <c r="A32" s="3725" t="s">
        <v>3570</v>
      </c>
      <c r="B32" s="3725" t="s">
        <v>3527</v>
      </c>
      <c r="C32" s="3725" t="s">
        <v>3441</v>
      </c>
      <c r="D32" s="3725" t="s">
        <v>3433</v>
      </c>
      <c r="E32" s="3725" t="s">
        <v>3434</v>
      </c>
      <c r="F32" s="3725" t="s">
        <v>3528</v>
      </c>
      <c r="G32" s="3725" t="s">
        <v>3436</v>
      </c>
      <c r="H32" s="3725">
        <v>145803.9</v>
      </c>
      <c r="I32" s="3725">
        <v>38985</v>
      </c>
      <c r="J32" s="3725" t="s">
        <v>3492</v>
      </c>
      <c r="K32" s="3725" t="s">
        <v>3487</v>
      </c>
      <c r="L32" s="3726">
        <v>44172.000497685185</v>
      </c>
      <c r="M32" s="3725">
        <v>23250.31</v>
      </c>
      <c r="N32" s="3725">
        <v>1595</v>
      </c>
      <c r="O32" s="3725">
        <v>0</v>
      </c>
      <c r="P32" s="3725" t="s">
        <v>3496</v>
      </c>
      <c r="Q32" s="3725">
        <v>72160</v>
      </c>
    </row>
    <row r="33" spans="1:17" ht="14.25">
      <c r="A33" s="3725" t="s">
        <v>3489</v>
      </c>
      <c r="B33" s="3725" t="s">
        <v>3529</v>
      </c>
      <c r="C33" s="3725" t="s">
        <v>3441</v>
      </c>
      <c r="D33" s="3725" t="s">
        <v>3433</v>
      </c>
      <c r="E33" s="3725" t="s">
        <v>3434</v>
      </c>
      <c r="F33" s="3725" t="s">
        <v>3491</v>
      </c>
      <c r="G33" s="3725" t="s">
        <v>3443</v>
      </c>
      <c r="H33" s="3725">
        <v>6713.48</v>
      </c>
      <c r="I33" s="3725">
        <v>6048.18</v>
      </c>
      <c r="J33" s="3725" t="s">
        <v>3492</v>
      </c>
      <c r="K33" s="3725" t="s">
        <v>3487</v>
      </c>
      <c r="L33" s="3726">
        <v>44172.000497685185</v>
      </c>
      <c r="M33" s="3725">
        <v>1433</v>
      </c>
      <c r="N33" s="3725">
        <v>2135</v>
      </c>
      <c r="O33" s="3725">
        <v>0</v>
      </c>
      <c r="P33" s="3725" t="s">
        <v>3461</v>
      </c>
      <c r="Q33" s="3725">
        <v>8116</v>
      </c>
    </row>
    <row r="34" spans="1:17" ht="14.25">
      <c r="A34" s="3725" t="s">
        <v>3493</v>
      </c>
      <c r="B34" s="3725" t="s">
        <v>3530</v>
      </c>
      <c r="C34" s="3725" t="s">
        <v>3441</v>
      </c>
      <c r="D34" s="3725" t="s">
        <v>3433</v>
      </c>
      <c r="E34" s="3725" t="s">
        <v>3434</v>
      </c>
      <c r="F34" s="3725" t="s">
        <v>3531</v>
      </c>
      <c r="G34" s="3725" t="s">
        <v>3503</v>
      </c>
      <c r="H34" s="3725">
        <v>99356.32</v>
      </c>
      <c r="I34" s="3725">
        <v>61712</v>
      </c>
      <c r="J34" s="3725" t="s">
        <v>3492</v>
      </c>
      <c r="K34" s="3725" t="s">
        <v>3487</v>
      </c>
      <c r="L34" s="3726">
        <v>44172.000497685185</v>
      </c>
      <c r="M34" s="3725">
        <v>36804.5</v>
      </c>
      <c r="N34" s="3725">
        <v>3704</v>
      </c>
      <c r="O34" s="3725">
        <v>0</v>
      </c>
      <c r="P34" s="3725" t="s">
        <v>3496</v>
      </c>
      <c r="Q34" s="3725">
        <v>72160</v>
      </c>
    </row>
    <row r="35" spans="1:17" ht="14.25">
      <c r="A35" s="3725" t="s">
        <v>3493</v>
      </c>
      <c r="B35" s="3725" t="s">
        <v>3532</v>
      </c>
      <c r="C35" s="3725" t="s">
        <v>3441</v>
      </c>
      <c r="D35" s="3725" t="s">
        <v>3433</v>
      </c>
      <c r="E35" s="3725" t="s">
        <v>3434</v>
      </c>
      <c r="F35" s="3725" t="s">
        <v>3500</v>
      </c>
      <c r="G35" s="3725" t="s">
        <v>3436</v>
      </c>
      <c r="H35" s="3725">
        <v>71535.75</v>
      </c>
      <c r="I35" s="3725">
        <v>20735</v>
      </c>
      <c r="J35" s="3725" t="s">
        <v>3492</v>
      </c>
      <c r="K35" s="3725" t="s">
        <v>3487</v>
      </c>
      <c r="L35" s="3726">
        <v>44172.000497685185</v>
      </c>
      <c r="M35" s="3725">
        <v>12366.17</v>
      </c>
      <c r="N35" s="3725">
        <v>1729</v>
      </c>
      <c r="O35" s="3725">
        <v>0</v>
      </c>
      <c r="P35" s="3725" t="s">
        <v>3496</v>
      </c>
      <c r="Q35" s="3725">
        <v>72160</v>
      </c>
    </row>
    <row r="36" spans="1:17" ht="14.25">
      <c r="A36" s="3725" t="s">
        <v>3489</v>
      </c>
      <c r="B36" s="3725" t="s">
        <v>3533</v>
      </c>
      <c r="C36" s="3725" t="s">
        <v>3441</v>
      </c>
      <c r="D36" s="3725" t="s">
        <v>3433</v>
      </c>
      <c r="E36" s="3725" t="s">
        <v>3434</v>
      </c>
      <c r="F36" s="3725" t="s">
        <v>3491</v>
      </c>
      <c r="G36" s="3725" t="s">
        <v>3443</v>
      </c>
      <c r="H36" s="3725">
        <v>6018.49</v>
      </c>
      <c r="I36" s="3725">
        <v>5422.06</v>
      </c>
      <c r="J36" s="3725" t="s">
        <v>3492</v>
      </c>
      <c r="K36" s="3725" t="s">
        <v>3487</v>
      </c>
      <c r="L36" s="3726">
        <v>44172.000497685185</v>
      </c>
      <c r="M36" s="3725">
        <v>1285</v>
      </c>
      <c r="N36" s="3725">
        <v>2135</v>
      </c>
      <c r="O36" s="3725">
        <v>0</v>
      </c>
      <c r="P36" s="3725" t="s">
        <v>3461</v>
      </c>
      <c r="Q36" s="3725">
        <v>8116</v>
      </c>
    </row>
    <row r="37" spans="1:17" ht="14.25">
      <c r="A37" s="3725" t="s">
        <v>3489</v>
      </c>
      <c r="B37" s="3725" t="s">
        <v>3534</v>
      </c>
      <c r="C37" s="3725" t="s">
        <v>3441</v>
      </c>
      <c r="D37" s="3725" t="s">
        <v>3433</v>
      </c>
      <c r="E37" s="3725" t="s">
        <v>3434</v>
      </c>
      <c r="F37" s="3725" t="s">
        <v>3491</v>
      </c>
      <c r="G37" s="3725" t="s">
        <v>3443</v>
      </c>
      <c r="H37" s="3725">
        <v>42201.66</v>
      </c>
      <c r="I37" s="3725">
        <v>38019.51</v>
      </c>
      <c r="J37" s="3725" t="s">
        <v>3492</v>
      </c>
      <c r="K37" s="3725" t="s">
        <v>3487</v>
      </c>
      <c r="L37" s="3726">
        <v>44172.000497685185</v>
      </c>
      <c r="M37" s="3725">
        <v>9011</v>
      </c>
      <c r="N37" s="3725">
        <v>2135</v>
      </c>
      <c r="O37" s="3725">
        <v>0</v>
      </c>
      <c r="P37" s="3725" t="s">
        <v>3461</v>
      </c>
      <c r="Q37" s="3725">
        <v>8116</v>
      </c>
    </row>
    <row r="38" spans="1:17" ht="14.25">
      <c r="A38" s="3725" t="s">
        <v>3493</v>
      </c>
      <c r="B38" s="3725" t="s">
        <v>3535</v>
      </c>
      <c r="C38" s="3725" t="s">
        <v>3441</v>
      </c>
      <c r="D38" s="3725" t="s">
        <v>3433</v>
      </c>
      <c r="E38" s="3725" t="s">
        <v>3434</v>
      </c>
      <c r="F38" s="3725" t="s">
        <v>3536</v>
      </c>
      <c r="G38" s="3725" t="s">
        <v>3449</v>
      </c>
      <c r="H38" s="3725">
        <v>101326.5</v>
      </c>
      <c r="I38" s="3725">
        <v>67551</v>
      </c>
      <c r="J38" s="3725" t="s">
        <v>3492</v>
      </c>
      <c r="K38" s="3725" t="s">
        <v>3487</v>
      </c>
      <c r="L38" s="3726">
        <v>44172.000497685185</v>
      </c>
      <c r="M38" s="3725">
        <v>40286.82</v>
      </c>
      <c r="N38" s="3725">
        <v>3976</v>
      </c>
      <c r="O38" s="3725">
        <v>0</v>
      </c>
      <c r="P38" s="3725" t="s">
        <v>3496</v>
      </c>
      <c r="Q38" s="3725">
        <v>72160</v>
      </c>
    </row>
    <row r="39" spans="1:17" ht="14.25">
      <c r="A39" s="3725" t="s">
        <v>3493</v>
      </c>
      <c r="B39" s="3725" t="s">
        <v>3537</v>
      </c>
      <c r="C39" s="3725" t="s">
        <v>3441</v>
      </c>
      <c r="D39" s="3725" t="s">
        <v>3433</v>
      </c>
      <c r="E39" s="3725" t="s">
        <v>3434</v>
      </c>
      <c r="F39" s="3725" t="s">
        <v>3498</v>
      </c>
      <c r="G39" s="3725" t="s">
        <v>3436</v>
      </c>
      <c r="H39" s="3725">
        <v>63897.9</v>
      </c>
      <c r="I39" s="3725">
        <v>15895</v>
      </c>
      <c r="J39" s="3725" t="s">
        <v>3492</v>
      </c>
      <c r="K39" s="3725" t="s">
        <v>3487</v>
      </c>
      <c r="L39" s="3726">
        <v>44172.000497685185</v>
      </c>
      <c r="M39" s="3725">
        <v>9479.64</v>
      </c>
      <c r="N39" s="3725">
        <v>1484</v>
      </c>
      <c r="O39" s="3725">
        <v>0</v>
      </c>
      <c r="P39" s="3725" t="s">
        <v>3496</v>
      </c>
      <c r="Q39" s="3725">
        <v>72160</v>
      </c>
    </row>
    <row r="40" spans="1:17" ht="14.25">
      <c r="A40" s="3725" t="s">
        <v>3489</v>
      </c>
      <c r="B40" s="3725" t="s">
        <v>3538</v>
      </c>
      <c r="C40" s="3725" t="s">
        <v>3441</v>
      </c>
      <c r="D40" s="3725" t="s">
        <v>3433</v>
      </c>
      <c r="E40" s="3725" t="s">
        <v>3434</v>
      </c>
      <c r="F40" s="3725" t="s">
        <v>3491</v>
      </c>
      <c r="G40" s="3725" t="s">
        <v>3443</v>
      </c>
      <c r="H40" s="3725">
        <v>8758.6</v>
      </c>
      <c r="I40" s="3725">
        <v>7890.63</v>
      </c>
      <c r="J40" s="3725" t="s">
        <v>3492</v>
      </c>
      <c r="K40" s="3725" t="s">
        <v>3487</v>
      </c>
      <c r="L40" s="3726">
        <v>44172.000497685185</v>
      </c>
      <c r="M40" s="3725">
        <v>1870</v>
      </c>
      <c r="N40" s="3725">
        <v>2135</v>
      </c>
      <c r="O40" s="3725">
        <v>0</v>
      </c>
      <c r="P40" s="3725" t="s">
        <v>3461</v>
      </c>
      <c r="Q40" s="3725">
        <v>8116</v>
      </c>
    </row>
    <row r="41" spans="1:17" ht="14.25">
      <c r="A41" s="3725" t="s">
        <v>3489</v>
      </c>
      <c r="B41" s="3725" t="s">
        <v>3539</v>
      </c>
      <c r="C41" s="3725" t="s">
        <v>3441</v>
      </c>
      <c r="D41" s="3725" t="s">
        <v>3433</v>
      </c>
      <c r="E41" s="3725" t="s">
        <v>3434</v>
      </c>
      <c r="F41" s="3725" t="s">
        <v>3491</v>
      </c>
      <c r="G41" s="3725" t="s">
        <v>3443</v>
      </c>
      <c r="H41" s="3725">
        <v>6703.02</v>
      </c>
      <c r="I41" s="3725">
        <v>6038.76</v>
      </c>
      <c r="J41" s="3725" t="s">
        <v>3492</v>
      </c>
      <c r="K41" s="3725" t="s">
        <v>3487</v>
      </c>
      <c r="L41" s="3726">
        <v>44172.000497685185</v>
      </c>
      <c r="M41" s="3725">
        <v>1431</v>
      </c>
      <c r="N41" s="3725">
        <v>2135</v>
      </c>
      <c r="O41" s="3725">
        <v>0</v>
      </c>
      <c r="P41" s="3725" t="s">
        <v>3461</v>
      </c>
      <c r="Q41" s="3725">
        <v>8116</v>
      </c>
    </row>
    <row r="42" spans="1:17" ht="14.25">
      <c r="A42" s="3725" t="s">
        <v>3489</v>
      </c>
      <c r="B42" s="3725" t="s">
        <v>3540</v>
      </c>
      <c r="C42" s="3725" t="s">
        <v>3441</v>
      </c>
      <c r="D42" s="3725" t="s">
        <v>3433</v>
      </c>
      <c r="E42" s="3725" t="s">
        <v>3434</v>
      </c>
      <c r="F42" s="3725" t="s">
        <v>3491</v>
      </c>
      <c r="G42" s="3725" t="s">
        <v>3443</v>
      </c>
      <c r="H42" s="3725">
        <v>6713.48</v>
      </c>
      <c r="I42" s="3725">
        <v>6048.18</v>
      </c>
      <c r="J42" s="3725" t="s">
        <v>3492</v>
      </c>
      <c r="K42" s="3725" t="s">
        <v>3487</v>
      </c>
      <c r="L42" s="3726">
        <v>44172.000497685185</v>
      </c>
      <c r="M42" s="3725">
        <v>1433</v>
      </c>
      <c r="N42" s="3725">
        <v>2135</v>
      </c>
      <c r="O42" s="3725">
        <v>0</v>
      </c>
      <c r="P42" s="3725" t="s">
        <v>3461</v>
      </c>
      <c r="Q42" s="3725">
        <v>8116</v>
      </c>
    </row>
    <row r="43" spans="1:17" ht="14.25">
      <c r="A43" s="3725" t="s">
        <v>3489</v>
      </c>
      <c r="B43" s="3725" t="s">
        <v>3541</v>
      </c>
      <c r="C43" s="3725" t="s">
        <v>3441</v>
      </c>
      <c r="D43" s="3725" t="s">
        <v>3433</v>
      </c>
      <c r="E43" s="3725" t="s">
        <v>3434</v>
      </c>
      <c r="F43" s="3725" t="s">
        <v>3491</v>
      </c>
      <c r="G43" s="3725" t="s">
        <v>3443</v>
      </c>
      <c r="H43" s="3725">
        <v>18064.330000000002</v>
      </c>
      <c r="I43" s="3725">
        <v>16274.17</v>
      </c>
      <c r="J43" s="3725" t="s">
        <v>3492</v>
      </c>
      <c r="K43" s="3725" t="s">
        <v>3487</v>
      </c>
      <c r="L43" s="3726">
        <v>44172.000497685185</v>
      </c>
      <c r="M43" s="3725">
        <v>3857</v>
      </c>
      <c r="N43" s="3725">
        <v>2135</v>
      </c>
      <c r="O43" s="3725">
        <v>0</v>
      </c>
      <c r="P43" s="3725" t="s">
        <v>3461</v>
      </c>
      <c r="Q43" s="3725">
        <v>8116</v>
      </c>
    </row>
    <row r="44" spans="1:17" ht="14.25">
      <c r="A44" s="3725" t="s">
        <v>3511</v>
      </c>
      <c r="B44" s="3725" t="s">
        <v>3542</v>
      </c>
      <c r="C44" s="3725" t="s">
        <v>3441</v>
      </c>
      <c r="D44" s="3725" t="s">
        <v>3433</v>
      </c>
      <c r="E44" s="3725" t="s">
        <v>3434</v>
      </c>
      <c r="F44" s="3725" t="s">
        <v>3543</v>
      </c>
      <c r="G44" s="3725" t="s">
        <v>3503</v>
      </c>
      <c r="H44" s="3725">
        <v>1535316.7</v>
      </c>
      <c r="I44" s="3725">
        <v>667529</v>
      </c>
      <c r="J44" s="3725" t="s">
        <v>3492</v>
      </c>
      <c r="K44" s="3725" t="s">
        <v>3487</v>
      </c>
      <c r="L44" s="3726">
        <v>44172.000497685185</v>
      </c>
      <c r="M44" s="3725">
        <v>222204.29</v>
      </c>
      <c r="N44" s="3725">
        <v>1447</v>
      </c>
      <c r="O44" s="3725">
        <v>0</v>
      </c>
      <c r="P44" s="3725" t="s">
        <v>3514</v>
      </c>
      <c r="Q44" s="3725">
        <v>93940</v>
      </c>
    </row>
    <row r="45" spans="1:17" s="3450" customFormat="1" ht="14.25">
      <c r="A45" s="3727" t="s">
        <v>3493</v>
      </c>
      <c r="B45" s="3727" t="s">
        <v>3544</v>
      </c>
      <c r="C45" s="3727" t="s">
        <v>3441</v>
      </c>
      <c r="D45" s="3727" t="s">
        <v>3433</v>
      </c>
      <c r="E45" s="3727" t="s">
        <v>3434</v>
      </c>
      <c r="F45" s="3727" t="s">
        <v>3545</v>
      </c>
      <c r="G45" s="3727" t="s">
        <v>3503</v>
      </c>
      <c r="H45" s="3727">
        <v>102092.32</v>
      </c>
      <c r="I45" s="3727">
        <v>59356</v>
      </c>
      <c r="J45" s="3727" t="s">
        <v>3492</v>
      </c>
      <c r="K45" s="3727" t="s">
        <v>3487</v>
      </c>
      <c r="L45" s="3728">
        <v>44172.000497685185</v>
      </c>
      <c r="M45" s="3727">
        <v>35399.4</v>
      </c>
      <c r="N45" s="3727">
        <v>3467</v>
      </c>
      <c r="O45" s="3727">
        <v>0</v>
      </c>
      <c r="P45" s="3727" t="s">
        <v>3496</v>
      </c>
      <c r="Q45" s="3727">
        <v>72160</v>
      </c>
    </row>
    <row r="46" spans="1:17" ht="14.25">
      <c r="A46" s="3725" t="s">
        <v>3511</v>
      </c>
      <c r="B46" s="3725" t="s">
        <v>3546</v>
      </c>
      <c r="C46" s="3725" t="s">
        <v>3441</v>
      </c>
      <c r="D46" s="3725" t="s">
        <v>3433</v>
      </c>
      <c r="E46" s="3725" t="s">
        <v>3434</v>
      </c>
      <c r="F46" s="3725" t="s">
        <v>3547</v>
      </c>
      <c r="G46" s="3725" t="s">
        <v>3436</v>
      </c>
      <c r="H46" s="3725">
        <v>393141.54</v>
      </c>
      <c r="I46" s="3725">
        <v>94053</v>
      </c>
      <c r="J46" s="3725" t="s">
        <v>3492</v>
      </c>
      <c r="K46" s="3725" t="s">
        <v>3487</v>
      </c>
      <c r="L46" s="3726">
        <v>44172.000497685185</v>
      </c>
      <c r="M46" s="3725">
        <v>473001</v>
      </c>
      <c r="N46" s="3725">
        <v>12031</v>
      </c>
      <c r="O46" s="3725">
        <v>0</v>
      </c>
      <c r="P46" s="3725" t="s">
        <v>3514</v>
      </c>
      <c r="Q46" s="3725">
        <v>93940</v>
      </c>
    </row>
    <row r="47" spans="1:17" ht="14.25">
      <c r="A47" s="3725" t="s">
        <v>3548</v>
      </c>
      <c r="B47" s="3725" t="s">
        <v>3549</v>
      </c>
      <c r="C47" s="3725" t="s">
        <v>3432</v>
      </c>
      <c r="D47" s="3725" t="s">
        <v>3433</v>
      </c>
      <c r="E47" s="3725" t="s">
        <v>3434</v>
      </c>
      <c r="F47" s="3725" t="s">
        <v>3550</v>
      </c>
      <c r="G47" s="3725" t="s">
        <v>3503</v>
      </c>
      <c r="H47" s="3725">
        <v>2795.3</v>
      </c>
      <c r="I47" s="3725">
        <v>5590.6</v>
      </c>
      <c r="J47" s="3725" t="s">
        <v>3551</v>
      </c>
      <c r="K47" s="3725">
        <v>617</v>
      </c>
      <c r="L47" s="3726">
        <v>42626.000497685185</v>
      </c>
      <c r="M47" s="3725">
        <v>618</v>
      </c>
      <c r="N47" s="3725">
        <v>2211</v>
      </c>
      <c r="O47" s="3725">
        <v>1.6000000000000001E-3</v>
      </c>
      <c r="P47" s="3725" t="s">
        <v>3552</v>
      </c>
      <c r="Q47" s="3725">
        <v>617</v>
      </c>
    </row>
    <row r="48" spans="1:17" ht="14.25">
      <c r="A48" s="3725" t="s">
        <v>3553</v>
      </c>
      <c r="B48" s="3725" t="s">
        <v>3554</v>
      </c>
      <c r="C48" s="3725" t="s">
        <v>3432</v>
      </c>
      <c r="D48" s="3725" t="s">
        <v>3433</v>
      </c>
      <c r="E48" s="3725" t="s">
        <v>3434</v>
      </c>
      <c r="F48" s="3725" t="s">
        <v>3555</v>
      </c>
      <c r="G48" s="3725" t="s">
        <v>3503</v>
      </c>
      <c r="H48" s="3725">
        <v>11847</v>
      </c>
      <c r="I48" s="3725">
        <v>3949</v>
      </c>
      <c r="J48" s="3725" t="s">
        <v>3556</v>
      </c>
      <c r="K48" s="3725">
        <v>889</v>
      </c>
      <c r="L48" s="3726">
        <v>42429.000497685185</v>
      </c>
      <c r="M48" s="3725">
        <v>889</v>
      </c>
      <c r="N48" s="3725">
        <v>750</v>
      </c>
      <c r="O48" s="3725">
        <v>0</v>
      </c>
      <c r="P48" s="3725" t="s">
        <v>3557</v>
      </c>
      <c r="Q48" s="3725">
        <v>889</v>
      </c>
    </row>
    <row r="49" spans="1:17" ht="14.25">
      <c r="A49" s="3725" t="s">
        <v>3558</v>
      </c>
      <c r="B49" s="3725" t="s">
        <v>3559</v>
      </c>
      <c r="C49" s="3725" t="s">
        <v>3432</v>
      </c>
      <c r="D49" s="3725" t="s">
        <v>3433</v>
      </c>
      <c r="E49" s="3725" t="s">
        <v>3434</v>
      </c>
      <c r="F49" s="3725" t="s">
        <v>3560</v>
      </c>
      <c r="G49" s="3725" t="s">
        <v>3503</v>
      </c>
      <c r="H49" s="3725">
        <v>55132.800000000003</v>
      </c>
      <c r="I49" s="3725">
        <v>27566.400000000001</v>
      </c>
      <c r="J49" s="3725" t="s">
        <v>3561</v>
      </c>
      <c r="K49" s="3725">
        <v>523</v>
      </c>
      <c r="L49" s="3726">
        <v>42368.000497685185</v>
      </c>
      <c r="M49" s="3725">
        <v>523</v>
      </c>
      <c r="N49" s="3725">
        <v>95</v>
      </c>
      <c r="O49" s="3725">
        <v>0</v>
      </c>
      <c r="P49" s="3725" t="s">
        <v>3562</v>
      </c>
      <c r="Q49" s="3725">
        <v>523</v>
      </c>
    </row>
    <row r="50" spans="1:17" ht="14.25">
      <c r="A50" s="3725" t="s">
        <v>3558</v>
      </c>
      <c r="B50" s="3725" t="s">
        <v>3563</v>
      </c>
      <c r="C50" s="3725" t="s">
        <v>3432</v>
      </c>
      <c r="D50" s="3725" t="s">
        <v>3433</v>
      </c>
      <c r="E50" s="3725" t="s">
        <v>3434</v>
      </c>
      <c r="F50" s="3725" t="s">
        <v>3560</v>
      </c>
      <c r="G50" s="3725" t="s">
        <v>3503</v>
      </c>
      <c r="H50" s="3725">
        <v>160329.60000000001</v>
      </c>
      <c r="I50" s="3725">
        <v>80164.800000000003</v>
      </c>
      <c r="J50" s="3725" t="s">
        <v>3561</v>
      </c>
      <c r="K50" s="3725">
        <v>2530</v>
      </c>
      <c r="L50" s="3726">
        <v>42368.000497685185</v>
      </c>
      <c r="M50" s="3725">
        <v>2530</v>
      </c>
      <c r="N50" s="3725">
        <v>158</v>
      </c>
      <c r="O50" s="3725">
        <v>0</v>
      </c>
      <c r="P50" s="3725" t="s">
        <v>3562</v>
      </c>
      <c r="Q50" s="3725">
        <v>2530</v>
      </c>
    </row>
    <row r="51" spans="1:17" ht="14.25">
      <c r="A51" s="3725" t="s">
        <v>3564</v>
      </c>
      <c r="B51" s="3725" t="s">
        <v>3565</v>
      </c>
      <c r="C51" s="3725" t="s">
        <v>3432</v>
      </c>
      <c r="D51" s="3725" t="s">
        <v>3433</v>
      </c>
      <c r="E51" s="3725" t="s">
        <v>3434</v>
      </c>
      <c r="F51" s="3725" t="s">
        <v>3566</v>
      </c>
      <c r="G51" s="3725" t="s">
        <v>3503</v>
      </c>
      <c r="H51" s="3725">
        <v>33601.46</v>
      </c>
      <c r="I51" s="3725">
        <v>22400.97</v>
      </c>
      <c r="J51" s="3725" t="s">
        <v>3567</v>
      </c>
      <c r="K51" s="3725">
        <v>594</v>
      </c>
      <c r="L51" s="3726">
        <v>42361.000497685185</v>
      </c>
      <c r="M51" s="3725">
        <v>594</v>
      </c>
      <c r="N51" s="3725">
        <v>177</v>
      </c>
      <c r="O51" s="3725">
        <v>0</v>
      </c>
      <c r="P51" s="3725" t="s">
        <v>3568</v>
      </c>
      <c r="Q51" s="3725">
        <v>594</v>
      </c>
    </row>
    <row r="55" spans="1:17">
      <c r="M55">
        <v>360800</v>
      </c>
    </row>
    <row r="56" spans="1:17">
      <c r="M56">
        <f>M55/1576800</f>
        <v>0.22881785895484524</v>
      </c>
    </row>
  </sheetData>
  <autoFilter ref="A1:R51"/>
  <mergeCells count="867">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38.04</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52293</v>
      </c>
      <c r="C2" s="1386" t="s">
        <v>805</v>
      </c>
      <c r="D2" s="1386"/>
      <c r="E2" s="1387"/>
      <c r="F2" s="1388"/>
      <c r="G2" s="2703"/>
      <c r="H2" s="2692"/>
      <c r="I2" s="2692"/>
      <c r="J2" s="2692"/>
      <c r="K2" s="2693"/>
      <c r="L2" s="2692"/>
      <c r="M2" s="2692"/>
    </row>
    <row r="3" spans="1:37" ht="18" customHeight="1" thickBot="1">
      <c r="A3" s="1389" t="s">
        <v>806</v>
      </c>
      <c r="B3" s="1390">
        <f ca="1">IF(ISERROR(B2*10000/F43),0,ROUND(B2*10000/F43,0))</f>
        <v>25928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3680</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3675</v>
      </c>
      <c r="D6" s="155" t="s">
        <v>2109</v>
      </c>
      <c r="E6" s="302" t="s">
        <v>696</v>
      </c>
      <c r="F6" s="303">
        <f ca="1">INDIRECT("'数据-取费表'!u"&amp;$G$1)</f>
        <v>43230000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1</v>
      </c>
      <c r="G7" s="1383"/>
      <c r="H7" s="304"/>
      <c r="I7" s="3732"/>
      <c r="J7" s="306"/>
      <c r="K7" s="307"/>
      <c r="L7" s="302" t="s">
        <v>697</v>
      </c>
      <c r="M7" s="303">
        <f ca="1">F7</f>
        <v>1</v>
      </c>
    </row>
    <row r="8" spans="1:37" ht="18" customHeight="1">
      <c r="A8" s="304"/>
      <c r="B8" s="3732"/>
      <c r="C8" s="306"/>
      <c r="D8" s="307"/>
      <c r="E8" s="302" t="s">
        <v>698</v>
      </c>
      <c r="F8" s="303">
        <f ca="1">INDIRECT("'数据-取费表'!ai"&amp;$G$1)</f>
        <v>1</v>
      </c>
      <c r="G8" s="1383"/>
      <c r="H8" s="304"/>
      <c r="I8" s="3732"/>
      <c r="J8" s="306"/>
      <c r="K8" s="307"/>
      <c r="L8" s="302" t="s">
        <v>698</v>
      </c>
      <c r="M8" s="303">
        <f ca="1">INDIRECT("'数据-取费表'!ai"&amp;$G$1)</f>
        <v>1</v>
      </c>
    </row>
    <row r="9" spans="1:37" ht="18" customHeight="1">
      <c r="A9" s="304"/>
      <c r="B9" s="3733"/>
      <c r="C9" s="306"/>
      <c r="D9" s="307"/>
      <c r="E9" s="302" t="s">
        <v>699</v>
      </c>
      <c r="F9" s="312">
        <f ca="1">INDIRECT("'数据-取费表'!w"&amp;$G$1)</f>
        <v>0.15</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3401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23333</v>
      </c>
      <c r="D13" s="1081" t="s">
        <v>705</v>
      </c>
      <c r="E13" s="1081" t="s">
        <v>706</v>
      </c>
      <c r="F13" s="1082">
        <f ca="1">INDIRECT("'数据-取费表'!y"&amp;$G$1)</f>
        <v>1</v>
      </c>
      <c r="G13" s="1383"/>
      <c r="H13" s="1079">
        <v>2</v>
      </c>
      <c r="I13" s="1080" t="s">
        <v>704</v>
      </c>
      <c r="J13" s="1068">
        <f ca="1">ROUND(J14*J15,0)</f>
        <v>0</v>
      </c>
      <c r="K13" s="1087" t="s">
        <v>705</v>
      </c>
      <c r="L13" s="1391"/>
      <c r="M13" s="1392"/>
    </row>
    <row r="14" spans="1:37" ht="18" hidden="1" customHeight="1">
      <c r="A14" s="982" t="s">
        <v>397</v>
      </c>
      <c r="B14" s="302" t="s">
        <v>707</v>
      </c>
      <c r="C14" s="318">
        <f ca="1">INDIRECT("'数据-取费表'!m"&amp;$G$1)+INDIRECT("'数据-取费表'!t"&amp;$G$1)</f>
        <v>13109</v>
      </c>
      <c r="D14" s="1344" t="s">
        <v>708</v>
      </c>
      <c r="E14" s="1341"/>
      <c r="F14" s="319"/>
      <c r="G14" s="1383"/>
      <c r="H14" s="982" t="s">
        <v>398</v>
      </c>
      <c r="I14" s="302" t="s">
        <v>709</v>
      </c>
      <c r="J14" s="21">
        <f ca="1">C29</f>
        <v>23333</v>
      </c>
      <c r="K14" s="12"/>
      <c r="L14" s="807"/>
      <c r="M14" s="808"/>
    </row>
    <row r="15" spans="1:37" s="1396" customFormat="1" ht="18" hidden="1" customHeight="1" thickBot="1">
      <c r="A15" s="982" t="s">
        <v>399</v>
      </c>
      <c r="B15" s="302" t="s">
        <v>710</v>
      </c>
      <c r="C15" s="21">
        <f ca="1">ROUND(C14*F15,0)</f>
        <v>655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hidden="1"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118</v>
      </c>
      <c r="K16" s="1087" t="s">
        <v>715</v>
      </c>
      <c r="L16" s="1088"/>
      <c r="M16" s="1072"/>
    </row>
    <row r="17" spans="1:37" s="1396" customFormat="1" ht="18" hidden="1" customHeight="1">
      <c r="A17" s="982" t="s">
        <v>681</v>
      </c>
      <c r="B17" s="302" t="s">
        <v>716</v>
      </c>
      <c r="C17" s="21">
        <f ca="1">ROUND(F17*(F43+INDIRECT("'数据-取费表'!S"&amp;$G$1))/10000,0)</f>
        <v>403</v>
      </c>
      <c r="D17" s="302" t="s">
        <v>717</v>
      </c>
      <c r="E17" s="302" t="s">
        <v>718</v>
      </c>
      <c r="F17" s="23">
        <f>'数据-取费表'!B35</f>
        <v>200</v>
      </c>
      <c r="G17" s="1395"/>
      <c r="H17" s="982" t="s">
        <v>398</v>
      </c>
      <c r="I17" s="302" t="s">
        <v>719</v>
      </c>
      <c r="J17" s="2315">
        <f ca="1">ROUND(IF(AND(项目基本情况!B11="自然人",项目基本情况!B10="北京市"),J6*M17/(1+'数据-取费表'!C42),J18+J19+J20),2)</f>
        <v>1.0900000000000001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hidden="1" customHeight="1">
      <c r="A18" s="982" t="s">
        <v>682</v>
      </c>
      <c r="B18" s="302" t="s">
        <v>722</v>
      </c>
      <c r="C18" s="21">
        <f ca="1">ROUND(C14*F18,0)</f>
        <v>197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hidden="1" customHeight="1">
      <c r="A19" s="982" t="s">
        <v>398</v>
      </c>
      <c r="B19" s="302" t="s">
        <v>725</v>
      </c>
      <c r="C19" s="21">
        <f ca="1">SUM(C14:C18)</f>
        <v>14364</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hidden="1" customHeight="1">
      <c r="A20" s="982" t="s">
        <v>402</v>
      </c>
      <c r="B20" s="302" t="s">
        <v>728</v>
      </c>
      <c r="C20" s="21">
        <f ca="1">ROUND(C19*F20,0)</f>
        <v>431</v>
      </c>
      <c r="D20" s="323" t="s">
        <v>729</v>
      </c>
      <c r="E20" s="302" t="s">
        <v>712</v>
      </c>
      <c r="F20" s="322">
        <f>'数据-取费表'!B37</f>
        <v>0.03</v>
      </c>
      <c r="G20" s="1395"/>
      <c r="H20" s="982" t="s">
        <v>680</v>
      </c>
      <c r="I20" s="155" t="s">
        <v>730</v>
      </c>
      <c r="J20" s="22">
        <f ca="1">ROUND(M20*M21/10000,2)</f>
        <v>1.0900000000000001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hidden="1"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7297.15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hidden="1"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116.67</v>
      </c>
      <c r="K22" s="1343" t="s">
        <v>739</v>
      </c>
      <c r="L22" s="302" t="s">
        <v>712</v>
      </c>
      <c r="M22" s="328">
        <f ca="1">INDIRECT("'数据-取费表'!Ak"&amp;$G$1)</f>
        <v>5.0000000000000001E-3</v>
      </c>
    </row>
    <row r="23" spans="1:37" s="1396" customFormat="1" ht="18" hidden="1" customHeight="1">
      <c r="A23" s="982" t="s">
        <v>397</v>
      </c>
      <c r="B23" s="302" t="s">
        <v>740</v>
      </c>
      <c r="C23" s="21">
        <f ca="1">IF('数据-取费表'!B22&lt;=1,ROUND(C19*F24*F23/2,0)+ROUND(C20*F24*F23/2,0),ROUND(C19*(POWER((1+F24),F23/2)-1),0)+ROUND(C20*(POWER((1+F24),F23/2)-1),0))</f>
        <v>614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hidden="1"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hidden="1" customHeight="1" thickTop="1">
      <c r="A25" s="982" t="s">
        <v>749</v>
      </c>
      <c r="B25" s="302" t="s">
        <v>750</v>
      </c>
      <c r="C25" s="21"/>
      <c r="D25" s="131" t="s">
        <v>751</v>
      </c>
      <c r="E25" s="1359"/>
      <c r="F25" s="23"/>
      <c r="G25" s="1383"/>
      <c r="H25" s="1079" t="s">
        <v>394</v>
      </c>
      <c r="I25" s="1094" t="s">
        <v>752</v>
      </c>
      <c r="J25" s="310">
        <f ca="1">J5-J16</f>
        <v>-118</v>
      </c>
      <c r="K25" s="1095" t="s">
        <v>753</v>
      </c>
      <c r="L25" s="1096"/>
      <c r="M25" s="1097"/>
    </row>
    <row r="26" spans="1:37" hidden="1">
      <c r="A26" s="982" t="s">
        <v>397</v>
      </c>
      <c r="B26" s="302" t="s">
        <v>754</v>
      </c>
      <c r="C26" s="21">
        <f ca="1">ROUND((C19+C20)*F26,0)</f>
        <v>2959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hidden="1"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hidden="1"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3478">
        <f ca="1">成本法!C49</f>
        <v>23333</v>
      </c>
      <c r="D29" s="1092"/>
      <c r="E29" s="1090"/>
      <c r="F29" s="1093"/>
      <c r="G29" s="1395"/>
      <c r="H29" s="334" t="s">
        <v>396</v>
      </c>
      <c r="I29" s="335" t="s">
        <v>768</v>
      </c>
      <c r="J29" s="336">
        <f ca="1">ROUND(J26/(1+F40)^F41,0)</f>
        <v>0</v>
      </c>
      <c r="K29" s="337" t="s">
        <v>769</v>
      </c>
      <c r="L29" s="338"/>
      <c r="M29" s="339">
        <f ca="1">INDIRECT("'数据-取费表'!k"&amp;$G$1)</f>
        <v>20168.190000000002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790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613.59</v>
      </c>
      <c r="D31" s="1344" t="s">
        <v>720</v>
      </c>
      <c r="E31" s="1343"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192.5</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420</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1.0900000000000001</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7297.15</v>
      </c>
      <c r="G35" s="1383"/>
      <c r="H35" s="2694"/>
      <c r="I35" s="1397"/>
      <c r="J35" s="1398"/>
      <c r="K35" s="2698"/>
      <c r="L35" s="2697"/>
      <c r="M35" s="2697"/>
    </row>
    <row r="36" spans="1:18" ht="18" customHeight="1">
      <c r="A36" s="1102" t="s">
        <v>402</v>
      </c>
      <c r="B36" s="302" t="s">
        <v>738</v>
      </c>
      <c r="C36" s="21">
        <f ca="1">ROUND(C29*F36,2)</f>
        <v>116.67</v>
      </c>
      <c r="D36" s="1343" t="s">
        <v>771</v>
      </c>
      <c r="E36" s="302" t="s">
        <v>712</v>
      </c>
      <c r="F36" s="328">
        <f ca="1">INDIRECT("'数据-取费表'!Ak"&amp;$G$1)</f>
        <v>5.0000000000000001E-3</v>
      </c>
      <c r="G36" s="1383"/>
      <c r="H36" s="2697"/>
      <c r="I36" s="1397"/>
      <c r="J36" s="1398"/>
      <c r="K36" s="2542"/>
      <c r="L36" s="2697"/>
      <c r="M36" s="2697"/>
    </row>
    <row r="37" spans="1:18" ht="18" customHeight="1">
      <c r="A37" s="982" t="s">
        <v>437</v>
      </c>
      <c r="B37" s="302" t="s">
        <v>742</v>
      </c>
      <c r="C37" s="21">
        <f ca="1">ROUND(C13*F37,2)</f>
        <v>23.33</v>
      </c>
      <c r="D37" s="1343" t="s">
        <v>743</v>
      </c>
      <c r="E37" s="302" t="s">
        <v>744</v>
      </c>
      <c r="F37" s="330">
        <f ca="1">INDIRECT("'数据-取费表'!Al"&amp;$G$1)</f>
        <v>1E-3</v>
      </c>
      <c r="G37" s="1383"/>
      <c r="H37" s="2697"/>
      <c r="I37" s="1397"/>
      <c r="J37" s="1398"/>
      <c r="K37" s="2542"/>
      <c r="L37" s="2697"/>
      <c r="M37" s="2697"/>
    </row>
    <row r="38" spans="1:18" ht="18" customHeight="1" thickBot="1">
      <c r="A38" s="1089" t="s">
        <v>684</v>
      </c>
      <c r="B38" s="1090" t="s">
        <v>728</v>
      </c>
      <c r="C38" s="1091">
        <f ca="1">ROUND(C5*F38,2)</f>
        <v>36.799999999999997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2890</v>
      </c>
      <c r="D39" s="1095" t="s">
        <v>773</v>
      </c>
      <c r="E39" s="1096"/>
      <c r="F39" s="1097"/>
      <c r="G39" s="1383"/>
      <c r="H39" s="2697">
        <f ca="1">C39/C5</f>
        <v>0.78532608695652173</v>
      </c>
      <c r="I39" s="1397"/>
      <c r="J39" s="1398"/>
      <c r="K39" s="2701"/>
      <c r="L39" s="2697"/>
      <c r="M39" s="2697"/>
    </row>
    <row r="40" spans="1:18" ht="18" customHeight="1">
      <c r="A40" s="299" t="s">
        <v>395</v>
      </c>
      <c r="B40" s="300" t="s">
        <v>774</v>
      </c>
      <c r="C40" s="301">
        <f ca="1">ROUND(C39*(1-((1+F42)/(1+F40))^F41)/(F40-F42),0)</f>
        <v>51793</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25681</v>
      </c>
      <c r="D43" s="337" t="s">
        <v>777</v>
      </c>
      <c r="E43" s="338" t="s">
        <v>778</v>
      </c>
      <c r="F43" s="339">
        <f ca="1">INDIRECT("'数据-取费表'!k"&amp;$G$1)</f>
        <v>20168.190000000002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-53765</v>
      </c>
      <c r="D46" s="1405" t="str">
        <f>C2</f>
        <v>万元</v>
      </c>
      <c r="E46" s="1399"/>
      <c r="F46" s="1399"/>
      <c r="I46" s="1406" t="s">
        <v>810</v>
      </c>
      <c r="J46" s="1407"/>
      <c r="K46" s="1408"/>
      <c r="L46" s="1409">
        <f ca="1">IF(M47="住宅",0,IF(L48&gt;J51,L60,J60))</f>
        <v>500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40</v>
      </c>
      <c r="M47" s="1379" t="str">
        <f>IF(ISNUMBER(FIND("住宅",C1)),"住宅","非住宅")</f>
        <v>非住宅</v>
      </c>
      <c r="O47" s="1417" t="s">
        <v>403</v>
      </c>
      <c r="P47" s="1418" t="s">
        <v>817</v>
      </c>
      <c r="Q47" s="1419">
        <f ca="1">C40+J29</f>
        <v>51793</v>
      </c>
      <c r="R47" s="1419" t="s">
        <v>818</v>
      </c>
    </row>
    <row r="48" spans="1:18" s="1383" customFormat="1" ht="28.5" thickBot="1">
      <c r="A48" s="1110" t="s">
        <v>438</v>
      </c>
      <c r="B48" s="300" t="s">
        <v>692</v>
      </c>
      <c r="C48" s="1358">
        <f ca="1">C49+C53+C55</f>
        <v>0</v>
      </c>
      <c r="D48" s="1112"/>
      <c r="E48" s="1113"/>
      <c r="F48" s="962"/>
      <c r="G48" s="722"/>
      <c r="H48" s="723"/>
      <c r="I48" s="1420" t="s">
        <v>819</v>
      </c>
      <c r="J48" s="1421" t="s">
        <v>3403</v>
      </c>
      <c r="K48" s="1422" t="s">
        <v>820</v>
      </c>
      <c r="L48" s="1423">
        <f ca="1">INDIRECT("'数据-取费表'!f"&amp;$G$1)</f>
        <v>38.04</v>
      </c>
      <c r="O48" s="1417" t="s">
        <v>404</v>
      </c>
      <c r="P48" s="1418" t="s">
        <v>821</v>
      </c>
      <c r="Q48" s="1419">
        <f ca="1">J60</f>
        <v>500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2023</v>
      </c>
      <c r="K49" s="1422" t="s">
        <v>824</v>
      </c>
      <c r="L49" s="1426"/>
      <c r="O49" s="1427" t="s">
        <v>405</v>
      </c>
      <c r="P49" s="1418" t="s">
        <v>825</v>
      </c>
      <c r="Q49" s="1419">
        <f ca="1">C29</f>
        <v>23333</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v>
      </c>
      <c r="I51" s="1431" t="s">
        <v>829</v>
      </c>
      <c r="J51" s="1432">
        <f>IF(J49="",J50,J49+J50-YEAR('数据-取费表'!B2))</f>
        <v>60</v>
      </c>
      <c r="K51" s="1433" t="s">
        <v>830</v>
      </c>
      <c r="L51" s="1434">
        <f ca="1">ROUND(-PV(INDIRECT("'数据-取费表'!h"&amp;$G$1),J51,(C39-C13*C76),0),0)</f>
        <v>21580</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38.04</v>
      </c>
      <c r="K53" s="3729" t="s">
        <v>837</v>
      </c>
      <c r="L53" s="3730"/>
      <c r="O53" s="1417" t="s">
        <v>409</v>
      </c>
      <c r="P53" s="1418" t="s">
        <v>838</v>
      </c>
      <c r="Q53" s="1419">
        <f ca="1">Q47+Q48</f>
        <v>52293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23333</v>
      </c>
      <c r="D56" s="1446"/>
      <c r="E56" s="1447"/>
      <c r="F56" s="1439"/>
      <c r="I56" s="1448" t="s">
        <v>842</v>
      </c>
      <c r="J56" s="1449" t="s">
        <v>3404</v>
      </c>
      <c r="K56" s="1420" t="s">
        <v>843</v>
      </c>
      <c r="L56" s="1423" t="str">
        <f ca="1">IF(L48&lt;J51,"——",L48-J53)</f>
        <v>——</v>
      </c>
      <c r="O56" s="1417" t="s">
        <v>403</v>
      </c>
      <c r="P56" s="1418" t="s">
        <v>817</v>
      </c>
      <c r="Q56" s="1419">
        <f ca="1">C40+J29</f>
        <v>51793</v>
      </c>
      <c r="R56" s="1419" t="s">
        <v>818</v>
      </c>
    </row>
    <row r="57" spans="1:18" s="1383" customFormat="1" ht="24.75" thickBot="1">
      <c r="A57" s="1450"/>
      <c r="B57" s="950" t="s">
        <v>767</v>
      </c>
      <c r="C57" s="238">
        <f ca="1">C29</f>
        <v>23333</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9333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500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1.0900000000000001</v>
      </c>
      <c r="D62" s="965" t="s">
        <v>786</v>
      </c>
      <c r="E62" s="950" t="s">
        <v>787</v>
      </c>
      <c r="F62" s="325">
        <f t="shared" si="0"/>
        <v>1.5</v>
      </c>
      <c r="I62" s="1461" t="s">
        <v>858</v>
      </c>
      <c r="J62" s="1462" t="s">
        <v>859</v>
      </c>
      <c r="K62" s="1462" t="s">
        <v>860</v>
      </c>
      <c r="L62" s="1462" t="s">
        <v>861</v>
      </c>
      <c r="M62" s="1463" t="s">
        <v>862</v>
      </c>
      <c r="O62" s="1417" t="s">
        <v>409</v>
      </c>
      <c r="P62" s="1418" t="s">
        <v>863</v>
      </c>
      <c r="Q62" s="1419">
        <f ca="1">Q56+Q57</f>
        <v>51793</v>
      </c>
      <c r="R62" s="1419" t="s">
        <v>410</v>
      </c>
    </row>
    <row r="63" spans="1:18" s="1383" customFormat="1" ht="13.5" thickBot="1">
      <c r="A63" s="326"/>
      <c r="B63" s="956"/>
      <c r="C63" s="26"/>
      <c r="D63" s="966"/>
      <c r="E63" s="950" t="s">
        <v>788</v>
      </c>
      <c r="F63" s="303">
        <f t="shared" ca="1" si="0"/>
        <v>7297.15</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116.67</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23.33</v>
      </c>
      <c r="D65" s="964" t="s">
        <v>743</v>
      </c>
      <c r="E65" s="950" t="s">
        <v>744</v>
      </c>
      <c r="F65" s="330">
        <f t="shared" ca="1" si="0"/>
        <v>1E-3</v>
      </c>
      <c r="I65" s="1461" t="s">
        <v>867</v>
      </c>
      <c r="J65" s="1462">
        <v>40</v>
      </c>
      <c r="K65" s="1462">
        <v>30</v>
      </c>
      <c r="L65" s="1462">
        <v>50</v>
      </c>
      <c r="M65" s="1464">
        <v>0.02</v>
      </c>
      <c r="O65" s="1417" t="s">
        <v>403</v>
      </c>
      <c r="P65" s="1418" t="s">
        <v>868</v>
      </c>
      <c r="Q65" s="1419">
        <f ca="1">C40+J29</f>
        <v>51793</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-141</v>
      </c>
      <c r="D67" s="963" t="s">
        <v>753</v>
      </c>
      <c r="E67" s="968"/>
      <c r="F67" s="969"/>
      <c r="O67" s="1427" t="s">
        <v>405</v>
      </c>
      <c r="P67" s="1418" t="s">
        <v>850</v>
      </c>
      <c r="Q67" s="1465">
        <f ca="1">L51</f>
        <v>21580</v>
      </c>
      <c r="R67" s="1419" t="s">
        <v>870</v>
      </c>
    </row>
    <row r="68" spans="1:18" s="1383" customFormat="1" ht="16.5" thickBot="1">
      <c r="A68" s="947" t="s">
        <v>395</v>
      </c>
      <c r="B68" s="948" t="s">
        <v>774</v>
      </c>
      <c r="C68" s="301">
        <f ca="1">ROUND(C67*(1-((1+F70)/(1+F68))^F69)/(F68-F70),0)</f>
        <v>-1972</v>
      </c>
      <c r="D68" s="965" t="s">
        <v>758</v>
      </c>
      <c r="E68" s="950" t="s">
        <v>759</v>
      </c>
      <c r="F68" s="312">
        <f ca="1">F40</f>
        <v>6.5000000000000002E-2</v>
      </c>
      <c r="O68" s="1427" t="s">
        <v>406</v>
      </c>
      <c r="P68" s="1466" t="s">
        <v>871</v>
      </c>
      <c r="Q68" s="1419">
        <f ca="1">ROUND(Q69-Q70*Q71,0)</f>
        <v>1140</v>
      </c>
      <c r="R68" s="1419" t="s">
        <v>414</v>
      </c>
    </row>
    <row r="69" spans="1:18" s="1383" customFormat="1" ht="13.5" thickBot="1">
      <c r="A69" s="951"/>
      <c r="B69" s="952"/>
      <c r="C69" s="306"/>
      <c r="D69" s="970" t="s">
        <v>762</v>
      </c>
      <c r="E69" s="950" t="s">
        <v>763</v>
      </c>
      <c r="F69" s="333">
        <f ca="1">F41</f>
        <v>38.04</v>
      </c>
      <c r="O69" s="1427" t="s">
        <v>411</v>
      </c>
      <c r="P69" s="1466" t="s">
        <v>872</v>
      </c>
      <c r="Q69" s="1419">
        <f ca="1">C39</f>
        <v>2890</v>
      </c>
      <c r="R69" s="1419" t="s">
        <v>818</v>
      </c>
    </row>
    <row r="70" spans="1:18" s="1383" customFormat="1" ht="13.5" thickBot="1">
      <c r="A70" s="954"/>
      <c r="B70" s="955"/>
      <c r="C70" s="310"/>
      <c r="D70" s="966"/>
      <c r="E70" s="950" t="s">
        <v>766</v>
      </c>
      <c r="F70" s="1054"/>
      <c r="O70" s="1427" t="s">
        <v>412</v>
      </c>
      <c r="P70" s="1466" t="s">
        <v>873</v>
      </c>
      <c r="Q70" s="1419">
        <f ca="1">C13</f>
        <v>23333</v>
      </c>
      <c r="R70" s="1419" t="s">
        <v>818</v>
      </c>
    </row>
    <row r="71" spans="1:18" s="1383" customFormat="1" ht="13.5" thickBot="1">
      <c r="A71" s="971" t="s">
        <v>396</v>
      </c>
      <c r="B71" s="972" t="s">
        <v>776</v>
      </c>
      <c r="C71" s="336">
        <f ca="1">ROUND(C68*10000/F71,0)</f>
        <v>-978</v>
      </c>
      <c r="D71" s="973" t="s">
        <v>777</v>
      </c>
      <c r="E71" s="974" t="s">
        <v>778</v>
      </c>
      <c r="F71" s="339">
        <f ca="1">F43</f>
        <v>20168.190000000002</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1750</v>
      </c>
      <c r="D75" s="1383"/>
      <c r="E75" s="1383"/>
      <c r="F75" s="1383"/>
      <c r="K75" s="1401"/>
      <c r="L75" s="1383"/>
      <c r="O75" s="1417" t="s">
        <v>409</v>
      </c>
      <c r="P75" s="1418" t="s">
        <v>838</v>
      </c>
      <c r="Q75" s="1419">
        <f ca="1">Q65+Q66</f>
        <v>51793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0.39400000000000002</v>
      </c>
    </row>
    <row r="80" spans="1:18">
      <c r="B80" s="340" t="s">
        <v>800</v>
      </c>
      <c r="C80" s="274">
        <f ca="1">ROUND(C75/C39,3)</f>
        <v>0.60599999999999998</v>
      </c>
    </row>
    <row r="81" spans="2:3">
      <c r="B81" s="270" t="s">
        <v>801</v>
      </c>
      <c r="C81" s="238"/>
    </row>
    <row r="82" spans="2:3">
      <c r="B82" s="273" t="s">
        <v>802</v>
      </c>
      <c r="C82" s="275">
        <f ca="1">1-C83</f>
        <v>0.54899999999999993</v>
      </c>
    </row>
    <row r="83" spans="2:3">
      <c r="B83" s="273" t="s">
        <v>803</v>
      </c>
      <c r="C83" s="274">
        <f ca="1">ROUND(C13/C40,3)</f>
        <v>0.45100000000000001</v>
      </c>
    </row>
  </sheetData>
  <sheetProtection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1" t="s">
        <v>694</v>
      </c>
      <c r="C6" s="1074">
        <f ca="1">ROUND(F6*F8*F7*(1-F9),0)</f>
        <v>0</v>
      </c>
      <c r="D6" s="155" t="s">
        <v>2106</v>
      </c>
      <c r="E6" s="302" t="s">
        <v>696</v>
      </c>
      <c r="F6" s="303">
        <f ca="1">INDIRECT("'数据-取费表'!u"&amp;$G$1)</f>
        <v>0</v>
      </c>
      <c r="G6" s="1383"/>
      <c r="H6" s="1069" t="s">
        <v>398</v>
      </c>
      <c r="I6" s="3731" t="s">
        <v>694</v>
      </c>
      <c r="J6" s="301">
        <f ca="1">ROUND(M6*M8*M7*(1-M9),0)</f>
        <v>0</v>
      </c>
      <c r="K6" s="137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0</v>
      </c>
      <c r="D36" s="1343" t="s">
        <v>771</v>
      </c>
      <c r="E36" s="302" t="s">
        <v>712</v>
      </c>
      <c r="F36" s="328">
        <f ca="1">INDIRECT("'数据-取费表'!Ak"&amp;$G$1)</f>
        <v>0</v>
      </c>
      <c r="G36" s="1383"/>
      <c r="H36" s="2697"/>
      <c r="I36" s="1397"/>
      <c r="J36" s="1398"/>
      <c r="K36" s="2542"/>
      <c r="L36" s="2697"/>
      <c r="M36" s="2697"/>
    </row>
    <row r="37" spans="1:18" ht="18" customHeight="1">
      <c r="A37" s="982" t="s">
        <v>437</v>
      </c>
      <c r="B37" s="302" t="s">
        <v>742</v>
      </c>
      <c r="C37" s="21">
        <f ca="1">ROUND(C13*F37,0)</f>
        <v>0</v>
      </c>
      <c r="D37" s="1343" t="s">
        <v>743</v>
      </c>
      <c r="E37" s="302" t="s">
        <v>744</v>
      </c>
      <c r="F37" s="330">
        <f ca="1">INDIRECT("'数据-取费表'!Al"&amp;$G$1)</f>
        <v>0</v>
      </c>
      <c r="G37" s="1383"/>
      <c r="H37" s="2697"/>
      <c r="I37" s="1397"/>
      <c r="J37" s="1398"/>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t="e">
        <f ca="1">ROUND((C68-C40)/10000,4)</f>
        <v>#DIV/0!</v>
      </c>
      <c r="D45" s="3429"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29" t="s">
        <v>837</v>
      </c>
      <c r="L53" s="373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4" t="s">
        <v>2318</v>
      </c>
      <c r="B2" s="2840" t="e">
        <f>IF(D2="——",C40,C40+E2)</f>
        <v>#DIV/0!</v>
      </c>
      <c r="C2" s="2841" t="s">
        <v>2319</v>
      </c>
      <c r="D2" s="3440" t="s">
        <v>3366</v>
      </c>
      <c r="E2" s="3441"/>
      <c r="F2" s="2843"/>
      <c r="G2" s="2844"/>
      <c r="H2" s="2845"/>
      <c r="I2" s="2846"/>
      <c r="J2" s="3740" t="s">
        <v>2320</v>
      </c>
      <c r="K2" s="3741"/>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42" t="s">
        <v>2330</v>
      </c>
      <c r="K3" s="3743"/>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42" t="s">
        <v>2332</v>
      </c>
      <c r="K4" s="3743"/>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48" t="s">
        <v>2336</v>
      </c>
      <c r="B6" s="3749"/>
      <c r="C6" s="3750"/>
      <c r="D6" s="2867"/>
      <c r="E6" s="2868"/>
      <c r="F6" s="2869"/>
      <c r="G6" s="2870"/>
      <c r="H6" s="2845"/>
      <c r="I6" s="2846"/>
      <c r="J6" s="3734">
        <v>1</v>
      </c>
      <c r="K6" s="373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34"/>
      <c r="K7" s="3736"/>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51" t="s">
        <v>2350</v>
      </c>
      <c r="C8" s="3752"/>
      <c r="D8" s="2886" t="s">
        <v>2351</v>
      </c>
      <c r="E8" s="2887" t="s">
        <v>2352</v>
      </c>
      <c r="F8" s="2888" t="s">
        <v>2353</v>
      </c>
      <c r="G8" s="2889"/>
      <c r="H8" s="2845"/>
      <c r="I8" s="2846"/>
      <c r="J8" s="3734"/>
      <c r="K8" s="3736"/>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51" t="s">
        <v>2356</v>
      </c>
      <c r="C9" s="3752"/>
      <c r="D9" s="2886">
        <f>ROUND(D6*E9,0)</f>
        <v>0</v>
      </c>
      <c r="E9" s="2890"/>
      <c r="F9" s="2891" t="s">
        <v>2357</v>
      </c>
      <c r="G9" s="2870"/>
      <c r="H9" s="2845"/>
      <c r="I9" s="2846"/>
      <c r="J9" s="3734"/>
      <c r="K9" s="3736"/>
      <c r="L9" s="2880" t="s">
        <v>2358</v>
      </c>
      <c r="M9" s="2881"/>
      <c r="N9" s="2857"/>
      <c r="O9" s="2882"/>
      <c r="P9" s="2882"/>
      <c r="Q9" s="2883">
        <v>365</v>
      </c>
      <c r="R9" s="2884">
        <f t="shared" si="0"/>
        <v>0</v>
      </c>
      <c r="S9" s="2838"/>
      <c r="T9" s="2838"/>
      <c r="U9" s="2838"/>
      <c r="V9" s="2846"/>
    </row>
    <row r="10" spans="1:22" s="2850" customFormat="1" ht="13.15" customHeight="1">
      <c r="A10" s="2885">
        <v>2</v>
      </c>
      <c r="B10" s="3751" t="s">
        <v>2359</v>
      </c>
      <c r="C10" s="3752"/>
      <c r="D10" s="2886">
        <f>ROUND(D6*E10,0)</f>
        <v>0</v>
      </c>
      <c r="E10" s="2890"/>
      <c r="F10" s="2891" t="s">
        <v>2360</v>
      </c>
      <c r="G10" s="2870"/>
      <c r="H10" s="2845"/>
      <c r="I10" s="2846"/>
      <c r="J10" s="3734"/>
      <c r="K10" s="3736"/>
      <c r="L10" s="2880" t="s">
        <v>2361</v>
      </c>
      <c r="M10" s="2881"/>
      <c r="N10" s="2857"/>
      <c r="O10" s="2882"/>
      <c r="P10" s="2882"/>
      <c r="Q10" s="2883">
        <v>365</v>
      </c>
      <c r="R10" s="2884">
        <f t="shared" si="0"/>
        <v>0</v>
      </c>
      <c r="S10" s="2838"/>
      <c r="T10" s="2838"/>
      <c r="U10" s="2838"/>
      <c r="V10" s="2846"/>
    </row>
    <row r="11" spans="1:22" s="2850" customFormat="1" ht="13.15" customHeight="1">
      <c r="A11" s="2885">
        <v>3</v>
      </c>
      <c r="B11" s="3751" t="s">
        <v>2362</v>
      </c>
      <c r="C11" s="3752"/>
      <c r="D11" s="2886">
        <f>D12+D14+D15+D16</f>
        <v>0</v>
      </c>
      <c r="E11" s="2892" t="e">
        <f>D11/D6</f>
        <v>#DIV/0!</v>
      </c>
      <c r="F11" s="2888"/>
      <c r="G11" s="2889"/>
      <c r="H11" s="2845"/>
      <c r="I11" s="2846"/>
      <c r="J11" s="3734"/>
      <c r="K11" s="3736"/>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44" t="s">
        <v>2365</v>
      </c>
      <c r="C12" s="3745"/>
      <c r="D12" s="2894">
        <f>ROUND(D13*1.2%*(1-30%),0)</f>
        <v>0</v>
      </c>
      <c r="E12" s="2895">
        <v>1.2E-2</v>
      </c>
      <c r="F12" s="2888" t="s">
        <v>2366</v>
      </c>
      <c r="G12" s="2889"/>
      <c r="H12" s="2845"/>
      <c r="I12" s="2846"/>
      <c r="J12" s="3734"/>
      <c r="K12" s="3736"/>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34"/>
      <c r="K13" s="3736"/>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44" t="s">
        <v>2371</v>
      </c>
      <c r="C14" s="3745"/>
      <c r="D14" s="2894">
        <f>ROUND(E14*B5/10000,0)</f>
        <v>0</v>
      </c>
      <c r="E14" s="2883"/>
      <c r="F14" s="2888" t="s">
        <v>2372</v>
      </c>
      <c r="G14" s="2889"/>
      <c r="H14" s="2845"/>
      <c r="I14" s="2846"/>
      <c r="J14" s="3734"/>
      <c r="K14" s="373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44" t="s">
        <v>2375</v>
      </c>
      <c r="C15" s="3745"/>
      <c r="D15" s="2894">
        <f>ROUND(D6*E15,0)</f>
        <v>0</v>
      </c>
      <c r="E15" s="2895">
        <v>5.5E-2</v>
      </c>
      <c r="F15" s="2888" t="s">
        <v>2376</v>
      </c>
      <c r="G15" s="2870"/>
      <c r="H15" s="2845"/>
      <c r="I15" s="2846"/>
      <c r="J15" s="3734">
        <v>2</v>
      </c>
      <c r="K15" s="373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44" t="s">
        <v>2384</v>
      </c>
      <c r="C16" s="3745"/>
      <c r="D16" s="2905">
        <f>D6*E16</f>
        <v>0</v>
      </c>
      <c r="E16" s="2906"/>
      <c r="F16" s="2891" t="s">
        <v>2385</v>
      </c>
      <c r="G16" s="2870"/>
      <c r="H16" s="2845"/>
      <c r="I16" s="2846"/>
      <c r="J16" s="3734"/>
      <c r="K16" s="3736"/>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46" t="s">
        <v>2387</v>
      </c>
      <c r="C17" s="3747"/>
      <c r="D17" s="2908">
        <f>ROUND(D6*E17,0)</f>
        <v>0</v>
      </c>
      <c r="E17" s="2909"/>
      <c r="F17" s="2910" t="s">
        <v>2388</v>
      </c>
      <c r="G17" s="2870"/>
      <c r="H17" s="2845"/>
      <c r="I17" s="2846"/>
      <c r="J17" s="3734"/>
      <c r="K17" s="3736"/>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34"/>
      <c r="K18" s="3736"/>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34"/>
      <c r="K19" s="373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4">
        <v>3</v>
      </c>
      <c r="K20" s="373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34"/>
      <c r="K21" s="3736"/>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34"/>
      <c r="K22" s="3736"/>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34"/>
      <c r="K23" s="3736"/>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34"/>
      <c r="K24" s="373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38">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3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40" t="s">
        <v>2320</v>
      </c>
      <c r="K32" s="3741"/>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42" t="s">
        <v>2330</v>
      </c>
      <c r="K33" s="3743"/>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42" t="s">
        <v>2332</v>
      </c>
      <c r="K34" s="374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34">
        <v>1</v>
      </c>
      <c r="K36" s="3735"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34"/>
      <c r="K37" s="3736"/>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4"/>
      <c r="K38" s="3736"/>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34"/>
      <c r="K39" s="3736"/>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34"/>
      <c r="K40" s="3737"/>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8">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3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受贵公司委托，我公司对河北省保定市房地产市场价值进行了预评估。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估价对象为河北省保定市房地产，为所有。根据《国有土地使用证》[]，估价对象（分摊）出让国有建设用地使用权面积为8768.82平方米，建筑面积为24235.66平方米。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估价对象为河北省保定市房地产,属开发建设的，该项目尚在开发建设中。根据《国有土地使用证》[]，估价对象（分摊）出让国有建设用地使用权面积为8768.82平方米，规划建筑面积为24235.66平方米。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2023年4月17日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24235.660000000003</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87" t="s">
        <v>1667</v>
      </c>
      <c r="D4" s="3699"/>
      <c r="E4" s="3700" t="s">
        <v>1668</v>
      </c>
      <c r="F4" s="3701"/>
      <c r="G4" s="3687" t="s">
        <v>1669</v>
      </c>
      <c r="H4" s="3699"/>
      <c r="I4" s="3687" t="s">
        <v>1670</v>
      </c>
      <c r="J4" s="3699"/>
      <c r="K4" s="1888" t="s">
        <v>1671</v>
      </c>
      <c r="L4" s="2712"/>
      <c r="M4" s="2713"/>
      <c r="N4" s="2713"/>
      <c r="O4" s="2713"/>
      <c r="P4" s="3702" t="s">
        <v>1672</v>
      </c>
      <c r="Q4" s="3703"/>
      <c r="R4" s="3708" t="s">
        <v>1668</v>
      </c>
      <c r="S4" s="3709"/>
      <c r="T4" s="3708" t="s">
        <v>1669</v>
      </c>
      <c r="U4" s="3709"/>
      <c r="V4" s="3695" t="s">
        <v>1670</v>
      </c>
      <c r="W4" s="3695"/>
      <c r="X4" s="1354"/>
      <c r="Y4" s="3708" t="s">
        <v>1672</v>
      </c>
      <c r="Z4" s="3709"/>
      <c r="AA4" s="3696" t="s">
        <v>1668</v>
      </c>
      <c r="AB4" s="3696" t="s">
        <v>1669</v>
      </c>
      <c r="AC4" s="3696" t="s">
        <v>1670</v>
      </c>
    </row>
    <row r="5" spans="1:29" ht="15">
      <c r="A5" s="358"/>
      <c r="B5" s="359"/>
      <c r="C5" s="3716" t="s">
        <v>1673</v>
      </c>
      <c r="D5" s="3717"/>
      <c r="E5" s="3723" t="s">
        <v>1674</v>
      </c>
      <c r="F5" s="3724"/>
      <c r="G5" s="3716" t="s">
        <v>1675</v>
      </c>
      <c r="H5" s="3717"/>
      <c r="I5" s="3716" t="s">
        <v>1676</v>
      </c>
      <c r="J5" s="3717"/>
      <c r="K5" s="1889"/>
      <c r="L5" s="2712"/>
      <c r="M5" s="2713"/>
      <c r="N5" s="2713"/>
      <c r="O5" s="2713"/>
      <c r="P5" s="3704"/>
      <c r="Q5" s="3705"/>
      <c r="R5" s="3710"/>
      <c r="S5" s="3711"/>
      <c r="T5" s="3710"/>
      <c r="U5" s="3711"/>
      <c r="V5" s="3695"/>
      <c r="W5" s="3695"/>
      <c r="X5" s="1354"/>
      <c r="Y5" s="3710"/>
      <c r="Z5" s="3711"/>
      <c r="AA5" s="3697"/>
      <c r="AB5" s="3697"/>
      <c r="AC5" s="3697"/>
    </row>
    <row r="6" spans="1:29" ht="15.75" thickBot="1">
      <c r="A6" s="360"/>
      <c r="B6" s="361"/>
      <c r="C6" s="3714" t="s">
        <v>1677</v>
      </c>
      <c r="D6" s="3715"/>
      <c r="E6" s="3721" t="s">
        <v>1677</v>
      </c>
      <c r="F6" s="3722"/>
      <c r="G6" s="3714" t="s">
        <v>1677</v>
      </c>
      <c r="H6" s="3715"/>
      <c r="I6" s="3714" t="s">
        <v>1677</v>
      </c>
      <c r="J6" s="3715"/>
      <c r="K6" s="1889" t="s">
        <v>1678</v>
      </c>
      <c r="L6" s="2712"/>
      <c r="M6" s="2713"/>
      <c r="N6" s="2713"/>
      <c r="O6" s="2713"/>
      <c r="P6" s="3706"/>
      <c r="Q6" s="3707"/>
      <c r="R6" s="3710"/>
      <c r="S6" s="3711"/>
      <c r="T6" s="3712"/>
      <c r="U6" s="3713"/>
      <c r="V6" s="3695"/>
      <c r="W6" s="3695"/>
      <c r="X6" s="1354"/>
      <c r="Y6" s="3712"/>
      <c r="Z6" s="3713"/>
      <c r="AA6" s="3698"/>
      <c r="AB6" s="3698"/>
      <c r="AC6" s="3698"/>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9"/>
      <c r="Q11" s="1342" t="str">
        <f t="shared" si="6"/>
        <v>容积率</v>
      </c>
      <c r="R11" s="701" t="s">
        <v>18</v>
      </c>
      <c r="S11" s="702" t="e">
        <f t="shared" si="0"/>
        <v>#N/A</v>
      </c>
      <c r="T11" s="701" t="s">
        <v>18</v>
      </c>
      <c r="U11" s="702" t="e">
        <f t="shared" si="1"/>
        <v>#N/A</v>
      </c>
      <c r="V11" s="701" t="s">
        <v>18</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9"/>
      <c r="Q12" s="1342">
        <f t="shared" si="6"/>
        <v>111</v>
      </c>
      <c r="R12" s="701" t="s">
        <v>18</v>
      </c>
      <c r="S12" s="702">
        <f t="shared" si="0"/>
        <v>100</v>
      </c>
      <c r="T12" s="701" t="s">
        <v>18</v>
      </c>
      <c r="U12" s="702">
        <f t="shared" si="1"/>
        <v>100</v>
      </c>
      <c r="V12" s="701" t="s">
        <v>18</v>
      </c>
      <c r="W12" s="702">
        <f t="shared" si="2"/>
        <v>100</v>
      </c>
      <c r="X12" s="703"/>
      <c r="Y12" s="358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9"/>
      <c r="Q13" s="1342">
        <f t="shared" si="6"/>
        <v>111</v>
      </c>
      <c r="R13" s="701" t="s">
        <v>18</v>
      </c>
      <c r="S13" s="702">
        <f t="shared" si="0"/>
        <v>100</v>
      </c>
      <c r="T13" s="701" t="s">
        <v>18</v>
      </c>
      <c r="U13" s="702">
        <f t="shared" si="1"/>
        <v>100</v>
      </c>
      <c r="V13" s="701" t="s">
        <v>18</v>
      </c>
      <c r="W13" s="702">
        <f t="shared" si="2"/>
        <v>100</v>
      </c>
      <c r="X13" s="703"/>
      <c r="Y13" s="358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9"/>
      <c r="Q14" s="1342">
        <f t="shared" si="6"/>
        <v>111</v>
      </c>
      <c r="R14" s="701" t="s">
        <v>18</v>
      </c>
      <c r="S14" s="702">
        <f t="shared" si="0"/>
        <v>100</v>
      </c>
      <c r="T14" s="701" t="s">
        <v>18</v>
      </c>
      <c r="U14" s="702">
        <f t="shared" si="1"/>
        <v>100</v>
      </c>
      <c r="V14" s="701" t="s">
        <v>18</v>
      </c>
      <c r="W14" s="702">
        <f t="shared" si="2"/>
        <v>100</v>
      </c>
      <c r="X14" s="703"/>
      <c r="Y14" s="358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9" t="s">
        <v>1691</v>
      </c>
      <c r="Q15" s="1351" t="str">
        <f t="shared" si="6"/>
        <v>居住社区成熟度</v>
      </c>
      <c r="R15" s="705" t="s">
        <v>18</v>
      </c>
      <c r="S15" s="706">
        <f t="shared" si="0"/>
        <v>100</v>
      </c>
      <c r="T15" s="705" t="s">
        <v>18</v>
      </c>
      <c r="U15" s="706">
        <f t="shared" si="1"/>
        <v>100</v>
      </c>
      <c r="V15" s="705" t="s">
        <v>18</v>
      </c>
      <c r="W15" s="706">
        <f t="shared" si="2"/>
        <v>100</v>
      </c>
      <c r="X15" s="1354"/>
      <c r="Y15" s="369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60"/>
      <c r="Q16" s="1351"/>
      <c r="R16" s="705"/>
      <c r="S16" s="706"/>
      <c r="T16" s="705"/>
      <c r="U16" s="706"/>
      <c r="V16" s="705"/>
      <c r="W16" s="706"/>
      <c r="X16" s="1354"/>
      <c r="Y16" s="369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0"/>
      <c r="Q17" s="1351" t="str">
        <f>B17</f>
        <v>交通便捷度</v>
      </c>
      <c r="R17" s="705" t="s">
        <v>18</v>
      </c>
      <c r="S17" s="706">
        <f>F17</f>
        <v>100</v>
      </c>
      <c r="T17" s="705" t="s">
        <v>18</v>
      </c>
      <c r="U17" s="706">
        <f>H17</f>
        <v>100</v>
      </c>
      <c r="V17" s="705" t="s">
        <v>18</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60"/>
      <c r="Q18" s="1351"/>
      <c r="R18" s="705"/>
      <c r="S18" s="706"/>
      <c r="T18" s="705"/>
      <c r="U18" s="706"/>
      <c r="V18" s="705"/>
      <c r="W18" s="706"/>
      <c r="X18" s="1354"/>
      <c r="Y18" s="369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0"/>
      <c r="Q19" s="1351" t="str">
        <f>B19</f>
        <v>公共配套设施</v>
      </c>
      <c r="R19" s="705" t="s">
        <v>18</v>
      </c>
      <c r="S19" s="706">
        <f>F19</f>
        <v>100</v>
      </c>
      <c r="T19" s="705" t="s">
        <v>18</v>
      </c>
      <c r="U19" s="706">
        <f>H19</f>
        <v>100</v>
      </c>
      <c r="V19" s="705" t="s">
        <v>18</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60"/>
      <c r="Q20" s="1351"/>
      <c r="R20" s="705"/>
      <c r="S20" s="706"/>
      <c r="T20" s="705"/>
      <c r="U20" s="706"/>
      <c r="V20" s="705"/>
      <c r="W20" s="706"/>
      <c r="X20" s="1354"/>
      <c r="Y20" s="369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0"/>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760"/>
      <c r="Q22" s="1351"/>
      <c r="R22" s="705"/>
      <c r="S22" s="706"/>
      <c r="T22" s="705"/>
      <c r="U22" s="706"/>
      <c r="V22" s="705"/>
      <c r="W22" s="706"/>
      <c r="X22" s="1354"/>
      <c r="Y22" s="369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0"/>
      <c r="Q23" s="1351" t="str">
        <f>B23</f>
        <v>自然及人文环境</v>
      </c>
      <c r="R23" s="705" t="s">
        <v>18</v>
      </c>
      <c r="S23" s="706">
        <f>F23</f>
        <v>100</v>
      </c>
      <c r="T23" s="705" t="s">
        <v>18</v>
      </c>
      <c r="U23" s="706">
        <f>H23</f>
        <v>100</v>
      </c>
      <c r="V23" s="705" t="s">
        <v>18</v>
      </c>
      <c r="W23" s="706">
        <f>J23</f>
        <v>100</v>
      </c>
      <c r="X23" s="1354"/>
      <c r="Y23" s="369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60"/>
      <c r="Q24" s="1351"/>
      <c r="R24" s="705"/>
      <c r="S24" s="706"/>
      <c r="T24" s="705"/>
      <c r="U24" s="706"/>
      <c r="V24" s="705"/>
      <c r="W24" s="706"/>
      <c r="X24" s="1354"/>
      <c r="Y24" s="369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6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60"/>
      <c r="Q26" s="1351" t="str">
        <f t="shared" si="11"/>
        <v>朝向</v>
      </c>
      <c r="R26" s="705" t="s">
        <v>18</v>
      </c>
      <c r="S26" s="706">
        <f t="shared" si="12"/>
        <v>100</v>
      </c>
      <c r="T26" s="705" t="s">
        <v>18</v>
      </c>
      <c r="U26" s="706">
        <f t="shared" si="13"/>
        <v>100</v>
      </c>
      <c r="V26" s="705" t="s">
        <v>18</v>
      </c>
      <c r="W26" s="706">
        <f t="shared" si="14"/>
        <v>100</v>
      </c>
      <c r="X26" s="1354"/>
      <c r="Y26" s="369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60"/>
      <c r="Q27" s="1342">
        <f t="shared" si="11"/>
        <v>111</v>
      </c>
      <c r="R27" s="701" t="s">
        <v>18</v>
      </c>
      <c r="S27" s="702">
        <f t="shared" si="12"/>
        <v>100</v>
      </c>
      <c r="T27" s="701" t="s">
        <v>18</v>
      </c>
      <c r="U27" s="702">
        <f t="shared" si="13"/>
        <v>100</v>
      </c>
      <c r="V27" s="701" t="s">
        <v>18</v>
      </c>
      <c r="W27" s="702">
        <f t="shared" si="14"/>
        <v>100</v>
      </c>
      <c r="X27" s="703"/>
      <c r="Y27" s="369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60"/>
      <c r="Q28" s="1351">
        <f t="shared" si="11"/>
        <v>111</v>
      </c>
      <c r="R28" s="705" t="s">
        <v>18</v>
      </c>
      <c r="S28" s="706">
        <f t="shared" si="12"/>
        <v>100</v>
      </c>
      <c r="T28" s="705" t="s">
        <v>18</v>
      </c>
      <c r="U28" s="706">
        <f t="shared" si="13"/>
        <v>100</v>
      </c>
      <c r="V28" s="705" t="s">
        <v>18</v>
      </c>
      <c r="W28" s="706">
        <f t="shared" si="14"/>
        <v>100</v>
      </c>
      <c r="X28" s="1354"/>
      <c r="Y28" s="369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60"/>
      <c r="Q29" s="1351">
        <f t="shared" si="11"/>
        <v>111</v>
      </c>
      <c r="R29" s="705" t="s">
        <v>18</v>
      </c>
      <c r="S29" s="706">
        <f t="shared" si="12"/>
        <v>100</v>
      </c>
      <c r="T29" s="705" t="s">
        <v>18</v>
      </c>
      <c r="U29" s="706">
        <f t="shared" si="13"/>
        <v>100</v>
      </c>
      <c r="V29" s="705" t="s">
        <v>18</v>
      </c>
      <c r="W29" s="706">
        <f t="shared" si="14"/>
        <v>100</v>
      </c>
      <c r="X29" s="1354"/>
      <c r="Y29" s="369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60"/>
      <c r="Q30" s="1351">
        <f t="shared" si="11"/>
        <v>111</v>
      </c>
      <c r="R30" s="705" t="s">
        <v>18</v>
      </c>
      <c r="S30" s="706">
        <f t="shared" si="12"/>
        <v>100</v>
      </c>
      <c r="T30" s="705" t="s">
        <v>18</v>
      </c>
      <c r="U30" s="706">
        <f t="shared" si="13"/>
        <v>100</v>
      </c>
      <c r="V30" s="705" t="s">
        <v>18</v>
      </c>
      <c r="W30" s="706">
        <f t="shared" si="14"/>
        <v>100</v>
      </c>
      <c r="X30" s="1354"/>
      <c r="Y30" s="369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60"/>
      <c r="Q31" s="1351">
        <f t="shared" si="11"/>
        <v>111</v>
      </c>
      <c r="R31" s="705" t="s">
        <v>18</v>
      </c>
      <c r="S31" s="706">
        <f t="shared" si="12"/>
        <v>100</v>
      </c>
      <c r="T31" s="705" t="s">
        <v>18</v>
      </c>
      <c r="U31" s="706">
        <f t="shared" si="13"/>
        <v>100</v>
      </c>
      <c r="V31" s="705" t="s">
        <v>18</v>
      </c>
      <c r="W31" s="706">
        <f t="shared" si="14"/>
        <v>100</v>
      </c>
      <c r="X31" s="1354"/>
      <c r="Y31" s="369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55" t="s">
        <v>1696</v>
      </c>
      <c r="Q32" s="1351" t="str">
        <f t="shared" si="11"/>
        <v>建筑类型</v>
      </c>
      <c r="R32" s="705" t="s">
        <v>18</v>
      </c>
      <c r="S32" s="706">
        <f t="shared" si="12"/>
        <v>100</v>
      </c>
      <c r="T32" s="705" t="s">
        <v>18</v>
      </c>
      <c r="U32" s="706">
        <f t="shared" si="13"/>
        <v>100</v>
      </c>
      <c r="V32" s="705" t="s">
        <v>18</v>
      </c>
      <c r="W32" s="706">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56"/>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56"/>
      <c r="Q34" s="1351" t="str">
        <f t="shared" si="11"/>
        <v>建筑结构</v>
      </c>
      <c r="R34" s="705" t="s">
        <v>18</v>
      </c>
      <c r="S34" s="706">
        <f t="shared" si="12"/>
        <v>100</v>
      </c>
      <c r="T34" s="705" t="s">
        <v>18</v>
      </c>
      <c r="U34" s="706">
        <f t="shared" si="13"/>
        <v>100</v>
      </c>
      <c r="V34" s="705" t="s">
        <v>18</v>
      </c>
      <c r="W34" s="706">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56"/>
      <c r="Q35" s="1351" t="str">
        <f t="shared" si="11"/>
        <v>建筑品质</v>
      </c>
      <c r="R35" s="705" t="s">
        <v>18</v>
      </c>
      <c r="S35" s="706">
        <f t="shared" si="12"/>
        <v>100</v>
      </c>
      <c r="T35" s="705" t="s">
        <v>18</v>
      </c>
      <c r="U35" s="706">
        <f t="shared" si="13"/>
        <v>100</v>
      </c>
      <c r="V35" s="705" t="s">
        <v>18</v>
      </c>
      <c r="W35" s="706">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56"/>
      <c r="Q36" s="1351" t="str">
        <f t="shared" si="11"/>
        <v>公共部分装修</v>
      </c>
      <c r="R36" s="705" t="s">
        <v>18</v>
      </c>
      <c r="S36" s="706">
        <f t="shared" si="12"/>
        <v>100</v>
      </c>
      <c r="T36" s="705" t="s">
        <v>18</v>
      </c>
      <c r="U36" s="706">
        <f t="shared" si="13"/>
        <v>100</v>
      </c>
      <c r="V36" s="705" t="s">
        <v>18</v>
      </c>
      <c r="W36" s="706">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6"/>
      <c r="Q37" s="1342"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56" t="s">
        <v>1696</v>
      </c>
      <c r="Q38" s="1351" t="str">
        <f t="shared" si="11"/>
        <v>物业管理</v>
      </c>
      <c r="R38" s="705" t="s">
        <v>18</v>
      </c>
      <c r="S38" s="706">
        <f t="shared" si="12"/>
        <v>100</v>
      </c>
      <c r="T38" s="705" t="s">
        <v>18</v>
      </c>
      <c r="U38" s="706">
        <f t="shared" si="13"/>
        <v>100</v>
      </c>
      <c r="V38" s="705" t="s">
        <v>18</v>
      </c>
      <c r="W38" s="706">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56"/>
      <c r="Q39" s="1351" t="str">
        <f t="shared" si="11"/>
        <v>市政基础设施</v>
      </c>
      <c r="R39" s="705" t="s">
        <v>18</v>
      </c>
      <c r="S39" s="706">
        <f t="shared" si="12"/>
        <v>100</v>
      </c>
      <c r="T39" s="705" t="s">
        <v>18</v>
      </c>
      <c r="U39" s="706">
        <f t="shared" si="13"/>
        <v>100</v>
      </c>
      <c r="V39" s="705" t="s">
        <v>18</v>
      </c>
      <c r="W39" s="706">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56"/>
      <c r="Q40" s="1351" t="str">
        <f t="shared" si="11"/>
        <v>房型</v>
      </c>
      <c r="R40" s="705" t="s">
        <v>18</v>
      </c>
      <c r="S40" s="706">
        <f t="shared" si="12"/>
        <v>100</v>
      </c>
      <c r="T40" s="705" t="s">
        <v>18</v>
      </c>
      <c r="U40" s="706">
        <f t="shared" si="13"/>
        <v>100</v>
      </c>
      <c r="V40" s="705" t="s">
        <v>18</v>
      </c>
      <c r="W40" s="706">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56"/>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56"/>
      <c r="Q42" s="1351" t="str">
        <f t="shared" si="11"/>
        <v>内部装修</v>
      </c>
      <c r="R42" s="705" t="s">
        <v>18</v>
      </c>
      <c r="S42" s="706">
        <f t="shared" si="12"/>
        <v>100</v>
      </c>
      <c r="T42" s="705" t="s">
        <v>18</v>
      </c>
      <c r="U42" s="706">
        <f t="shared" si="13"/>
        <v>100</v>
      </c>
      <c r="V42" s="705" t="s">
        <v>18</v>
      </c>
      <c r="W42" s="706">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56"/>
      <c r="Q43" s="1351" t="str">
        <f t="shared" si="11"/>
        <v>内部装修维护情况</v>
      </c>
      <c r="R43" s="705" t="s">
        <v>18</v>
      </c>
      <c r="S43" s="706">
        <f t="shared" si="12"/>
        <v>100</v>
      </c>
      <c r="T43" s="705" t="s">
        <v>18</v>
      </c>
      <c r="U43" s="706">
        <f t="shared" si="13"/>
        <v>100</v>
      </c>
      <c r="V43" s="705" t="s">
        <v>18</v>
      </c>
      <c r="W43" s="706">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56"/>
      <c r="Q44" s="1342">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56"/>
      <c r="Q45" s="1351">
        <f t="shared" si="11"/>
        <v>111</v>
      </c>
      <c r="R45" s="705" t="s">
        <v>18</v>
      </c>
      <c r="S45" s="706">
        <f t="shared" si="12"/>
        <v>100</v>
      </c>
      <c r="T45" s="705" t="s">
        <v>18</v>
      </c>
      <c r="U45" s="706">
        <f t="shared" si="13"/>
        <v>100</v>
      </c>
      <c r="V45" s="705" t="s">
        <v>18</v>
      </c>
      <c r="W45" s="706">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57"/>
      <c r="Q46" s="1351">
        <f t="shared" si="11"/>
        <v>111</v>
      </c>
      <c r="R46" s="705" t="s">
        <v>17</v>
      </c>
      <c r="S46" s="706">
        <f t="shared" si="12"/>
        <v>100</v>
      </c>
      <c r="T46" s="705" t="s">
        <v>17</v>
      </c>
      <c r="U46" s="706">
        <f t="shared" si="13"/>
        <v>100</v>
      </c>
      <c r="V46" s="705" t="s">
        <v>17</v>
      </c>
      <c r="W46" s="706">
        <f t="shared" si="14"/>
        <v>100</v>
      </c>
      <c r="X46" s="1354"/>
      <c r="Y46" s="375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1"/>
      <c r="M47" s="2722"/>
      <c r="N47" s="2713"/>
      <c r="O47" s="2722"/>
      <c r="P47" s="3690" t="str">
        <f>A47</f>
        <v>成交单价（元/平方米）</v>
      </c>
      <c r="Q47" s="3690"/>
      <c r="R47" s="3754">
        <f>E47</f>
        <v>0</v>
      </c>
      <c r="S47" s="3754"/>
      <c r="T47" s="3754">
        <f>G47</f>
        <v>0</v>
      </c>
      <c r="U47" s="3754"/>
      <c r="V47" s="3754">
        <f>I47</f>
        <v>0</v>
      </c>
      <c r="W47" s="3754"/>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1"/>
      <c r="M48" s="2722"/>
      <c r="N48" s="2722"/>
      <c r="O48" s="2722"/>
      <c r="P48" s="3690" t="str">
        <f>A48</f>
        <v>比较价值（元/平方米）</v>
      </c>
      <c r="Q48" s="3690"/>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1"/>
      <c r="M49" s="2722"/>
      <c r="N49" s="2722"/>
      <c r="O49" s="2722"/>
      <c r="P49" s="3684" t="str">
        <f>A49</f>
        <v>估价对象XX用房的比较价值（楼面单价，元/平方米）</v>
      </c>
      <c r="Q49" s="3685"/>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24235.660000000003</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1769</v>
      </c>
      <c r="B4" s="356"/>
      <c r="C4" s="3687" t="s">
        <v>1770</v>
      </c>
      <c r="D4" s="3699"/>
      <c r="E4" s="3700" t="s">
        <v>1771</v>
      </c>
      <c r="F4" s="3701"/>
      <c r="G4" s="3687" t="s">
        <v>1772</v>
      </c>
      <c r="H4" s="3699"/>
      <c r="I4" s="3687" t="s">
        <v>1773</v>
      </c>
      <c r="J4" s="3699"/>
      <c r="K4" s="559" t="s">
        <v>1774</v>
      </c>
      <c r="L4" s="2712"/>
      <c r="M4" s="2713"/>
      <c r="N4" s="2713"/>
      <c r="O4" s="2713"/>
      <c r="P4" s="3702" t="s">
        <v>1775</v>
      </c>
      <c r="Q4" s="3703"/>
      <c r="R4" s="3708" t="s">
        <v>1771</v>
      </c>
      <c r="S4" s="3709"/>
      <c r="T4" s="3708" t="s">
        <v>1772</v>
      </c>
      <c r="U4" s="3709"/>
      <c r="V4" s="3695" t="s">
        <v>1773</v>
      </c>
      <c r="W4" s="3695"/>
      <c r="X4" s="1354"/>
      <c r="Y4" s="3708" t="s">
        <v>1775</v>
      </c>
      <c r="Z4" s="3709"/>
      <c r="AA4" s="3696" t="s">
        <v>1771</v>
      </c>
      <c r="AB4" s="3695" t="s">
        <v>1772</v>
      </c>
      <c r="AC4" s="3696" t="s">
        <v>1773</v>
      </c>
    </row>
    <row r="5" spans="1:29" ht="15">
      <c r="A5" s="358"/>
      <c r="B5" s="359"/>
      <c r="C5" s="3716" t="s">
        <v>1673</v>
      </c>
      <c r="D5" s="3717"/>
      <c r="E5" s="3723" t="s">
        <v>1674</v>
      </c>
      <c r="F5" s="3724"/>
      <c r="G5" s="3716" t="s">
        <v>1675</v>
      </c>
      <c r="H5" s="3717"/>
      <c r="I5" s="3716" t="s">
        <v>1676</v>
      </c>
      <c r="J5" s="3717"/>
      <c r="K5" s="559"/>
      <c r="L5" s="2712"/>
      <c r="M5" s="2713"/>
      <c r="N5" s="2713"/>
      <c r="O5" s="2713"/>
      <c r="P5" s="3704"/>
      <c r="Q5" s="3705"/>
      <c r="R5" s="3710"/>
      <c r="S5" s="3711"/>
      <c r="T5" s="3710"/>
      <c r="U5" s="3711"/>
      <c r="V5" s="3695"/>
      <c r="W5" s="3695"/>
      <c r="X5" s="1354"/>
      <c r="Y5" s="3710"/>
      <c r="Z5" s="3711"/>
      <c r="AA5" s="3697"/>
      <c r="AB5" s="3695"/>
      <c r="AC5" s="3697"/>
    </row>
    <row r="6" spans="1:29" ht="15.75" thickBot="1">
      <c r="A6" s="360"/>
      <c r="B6" s="361"/>
      <c r="C6" s="3714" t="s">
        <v>1677</v>
      </c>
      <c r="D6" s="3715"/>
      <c r="E6" s="3721" t="s">
        <v>1677</v>
      </c>
      <c r="F6" s="3722"/>
      <c r="G6" s="3714" t="s">
        <v>1677</v>
      </c>
      <c r="H6" s="3715"/>
      <c r="I6" s="3714" t="s">
        <v>1677</v>
      </c>
      <c r="J6" s="3715"/>
      <c r="K6" s="559" t="s">
        <v>1678</v>
      </c>
      <c r="L6" s="2712"/>
      <c r="M6" s="2713"/>
      <c r="N6" s="2713"/>
      <c r="O6" s="2713"/>
      <c r="P6" s="3706"/>
      <c r="Q6" s="3707"/>
      <c r="R6" s="3710"/>
      <c r="S6" s="3711"/>
      <c r="T6" s="3712"/>
      <c r="U6" s="3713"/>
      <c r="V6" s="3695"/>
      <c r="W6" s="3695"/>
      <c r="X6" s="1354"/>
      <c r="Y6" s="3712"/>
      <c r="Z6" s="3713"/>
      <c r="AA6" s="3698"/>
      <c r="AB6" s="3695"/>
      <c r="AC6" s="3698"/>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9"/>
      <c r="Q11" s="1342"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9"/>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9"/>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9"/>
      <c r="Q14" s="1342">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9" t="s">
        <v>1691</v>
      </c>
      <c r="Q15" s="1351" t="str">
        <f t="shared" si="6"/>
        <v>商业繁华度</v>
      </c>
      <c r="R15" s="705" t="s">
        <v>14</v>
      </c>
      <c r="S15" s="706">
        <f t="shared" si="0"/>
        <v>100</v>
      </c>
      <c r="T15" s="705" t="s">
        <v>14</v>
      </c>
      <c r="U15" s="706">
        <f t="shared" si="1"/>
        <v>100</v>
      </c>
      <c r="V15" s="705" t="s">
        <v>14</v>
      </c>
      <c r="W15" s="706">
        <f t="shared" si="2"/>
        <v>100</v>
      </c>
      <c r="X15" s="1354"/>
      <c r="Y15" s="369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60"/>
      <c r="Q16" s="1351"/>
      <c r="R16" s="705"/>
      <c r="S16" s="706"/>
      <c r="T16" s="705"/>
      <c r="U16" s="706"/>
      <c r="V16" s="705"/>
      <c r="W16" s="706"/>
      <c r="X16" s="1354"/>
      <c r="Y16" s="369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0"/>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60"/>
      <c r="Q18" s="1351"/>
      <c r="R18" s="705"/>
      <c r="S18" s="706"/>
      <c r="T18" s="705"/>
      <c r="U18" s="706"/>
      <c r="V18" s="705"/>
      <c r="W18" s="706"/>
      <c r="X18" s="1354"/>
      <c r="Y18" s="369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0"/>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60"/>
      <c r="Q20" s="1351"/>
      <c r="R20" s="705"/>
      <c r="S20" s="706"/>
      <c r="T20" s="705"/>
      <c r="U20" s="706"/>
      <c r="V20" s="705"/>
      <c r="W20" s="706"/>
      <c r="X20" s="1354"/>
      <c r="Y20" s="369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0"/>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60"/>
      <c r="Q22" s="1351"/>
      <c r="R22" s="705"/>
      <c r="S22" s="706"/>
      <c r="T22" s="705"/>
      <c r="U22" s="706"/>
      <c r="V22" s="705"/>
      <c r="W22" s="706"/>
      <c r="X22" s="1354"/>
      <c r="Y22" s="369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0"/>
      <c r="Q23" s="1351" t="str">
        <f>B23</f>
        <v>自然及人文环境</v>
      </c>
      <c r="R23" s="705" t="s">
        <v>14</v>
      </c>
      <c r="S23" s="706">
        <f>F23</f>
        <v>100</v>
      </c>
      <c r="T23" s="705" t="s">
        <v>14</v>
      </c>
      <c r="U23" s="706">
        <f>H23</f>
        <v>100</v>
      </c>
      <c r="V23" s="705" t="s">
        <v>14</v>
      </c>
      <c r="W23" s="706">
        <f>J23</f>
        <v>100</v>
      </c>
      <c r="X23" s="1354"/>
      <c r="Y23" s="369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60"/>
      <c r="Q24" s="1351"/>
      <c r="R24" s="705"/>
      <c r="S24" s="706"/>
      <c r="T24" s="705"/>
      <c r="U24" s="706"/>
      <c r="V24" s="705"/>
      <c r="W24" s="706"/>
      <c r="X24" s="1354"/>
      <c r="Y24" s="369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0"/>
      <c r="Q25" s="1351" t="str">
        <f t="shared" ref="Q25:Q46" si="11">B25</f>
        <v>临街状况</v>
      </c>
      <c r="R25" s="705" t="s">
        <v>14</v>
      </c>
      <c r="S25" s="706">
        <f>F25</f>
        <v>100</v>
      </c>
      <c r="T25" s="705" t="s">
        <v>14</v>
      </c>
      <c r="U25" s="706">
        <f>H25</f>
        <v>100</v>
      </c>
      <c r="V25" s="705" t="s">
        <v>14</v>
      </c>
      <c r="W25" s="706">
        <f>J25</f>
        <v>100</v>
      </c>
      <c r="X25" s="1354"/>
      <c r="Y25" s="369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0"/>
      <c r="Q26" s="1351" t="str">
        <f t="shared" si="11"/>
        <v>平面位置/可视性</v>
      </c>
      <c r="R26" s="705" t="s">
        <v>14</v>
      </c>
      <c r="S26" s="706">
        <f>F26</f>
        <v>100</v>
      </c>
      <c r="T26" s="705" t="s">
        <v>14</v>
      </c>
      <c r="U26" s="706">
        <f>H26</f>
        <v>100</v>
      </c>
      <c r="V26" s="705" t="s">
        <v>14</v>
      </c>
      <c r="W26" s="706">
        <f>J26</f>
        <v>100</v>
      </c>
      <c r="X26" s="1354"/>
      <c r="Y26" s="369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60"/>
      <c r="Q27" s="1342" t="str">
        <f t="shared" si="11"/>
        <v>人流量</v>
      </c>
      <c r="R27" s="701" t="s">
        <v>14</v>
      </c>
      <c r="S27" s="702">
        <f>F27</f>
        <v>100</v>
      </c>
      <c r="T27" s="701" t="s">
        <v>14</v>
      </c>
      <c r="U27" s="702">
        <f>H27</f>
        <v>100</v>
      </c>
      <c r="V27" s="701" t="s">
        <v>14</v>
      </c>
      <c r="W27" s="702">
        <f>J27</f>
        <v>100</v>
      </c>
      <c r="X27" s="703"/>
      <c r="Y27" s="369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0"/>
      <c r="Q29" s="1351">
        <f t="shared" si="11"/>
        <v>111</v>
      </c>
      <c r="R29" s="705" t="s">
        <v>14</v>
      </c>
      <c r="S29" s="706">
        <f t="shared" si="12"/>
        <v>100</v>
      </c>
      <c r="T29" s="705" t="s">
        <v>14</v>
      </c>
      <c r="U29" s="706">
        <f t="shared" si="13"/>
        <v>100</v>
      </c>
      <c r="V29" s="705" t="s">
        <v>14</v>
      </c>
      <c r="W29" s="706">
        <f t="shared" si="14"/>
        <v>100</v>
      </c>
      <c r="X29" s="1354"/>
      <c r="Y29" s="369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0"/>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0"/>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55" t="s">
        <v>1696</v>
      </c>
      <c r="Q32" s="1351" t="str">
        <f t="shared" si="11"/>
        <v>商业类型</v>
      </c>
      <c r="R32" s="705" t="s">
        <v>14</v>
      </c>
      <c r="S32" s="706">
        <f t="shared" si="12"/>
        <v>100</v>
      </c>
      <c r="T32" s="705" t="s">
        <v>14</v>
      </c>
      <c r="U32" s="706">
        <f t="shared" si="13"/>
        <v>100</v>
      </c>
      <c r="V32" s="705" t="s">
        <v>14</v>
      </c>
      <c r="W32" s="706">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6"/>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56"/>
      <c r="Q34" s="1351" t="str">
        <f t="shared" si="11"/>
        <v>建筑结构</v>
      </c>
      <c r="R34" s="705" t="s">
        <v>14</v>
      </c>
      <c r="S34" s="706">
        <f t="shared" si="12"/>
        <v>100</v>
      </c>
      <c r="T34" s="705" t="s">
        <v>14</v>
      </c>
      <c r="U34" s="706">
        <f t="shared" si="13"/>
        <v>100</v>
      </c>
      <c r="V34" s="705" t="s">
        <v>14</v>
      </c>
      <c r="W34" s="706">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56"/>
      <c r="Q35" s="1351" t="str">
        <f t="shared" si="11"/>
        <v>公共部分装修</v>
      </c>
      <c r="R35" s="705" t="s">
        <v>14</v>
      </c>
      <c r="S35" s="706">
        <f t="shared" si="12"/>
        <v>100</v>
      </c>
      <c r="T35" s="705" t="s">
        <v>14</v>
      </c>
      <c r="U35" s="706">
        <f t="shared" si="13"/>
        <v>100</v>
      </c>
      <c r="V35" s="705" t="s">
        <v>14</v>
      </c>
      <c r="W35" s="706">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6"/>
      <c r="Q36" s="1351" t="str">
        <f t="shared" si="11"/>
        <v>成新度</v>
      </c>
      <c r="R36" s="705" t="s">
        <v>14</v>
      </c>
      <c r="S36" s="706" t="e">
        <f t="shared" si="12"/>
        <v>#N/A</v>
      </c>
      <c r="T36" s="705" t="s">
        <v>14</v>
      </c>
      <c r="U36" s="706" t="e">
        <f t="shared" si="13"/>
        <v>#N/A</v>
      </c>
      <c r="V36" s="705" t="s">
        <v>14</v>
      </c>
      <c r="W36" s="706" t="e">
        <f t="shared" si="14"/>
        <v>#N/A</v>
      </c>
      <c r="X36" s="1354"/>
      <c r="Y36" s="369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56"/>
      <c r="Q37" s="1342"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56" t="s">
        <v>1696</v>
      </c>
      <c r="Q38" s="1351" t="str">
        <f t="shared" si="11"/>
        <v>业态</v>
      </c>
      <c r="R38" s="705" t="s">
        <v>14</v>
      </c>
      <c r="S38" s="706">
        <f t="shared" si="12"/>
        <v>100</v>
      </c>
      <c r="T38" s="705" t="s">
        <v>14</v>
      </c>
      <c r="U38" s="706">
        <f t="shared" si="13"/>
        <v>100</v>
      </c>
      <c r="V38" s="705" t="s">
        <v>14</v>
      </c>
      <c r="W38" s="706">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56"/>
      <c r="Q39" s="1351" t="str">
        <f t="shared" si="11"/>
        <v>层高</v>
      </c>
      <c r="R39" s="705" t="s">
        <v>14</v>
      </c>
      <c r="S39" s="706">
        <f t="shared" si="12"/>
        <v>100</v>
      </c>
      <c r="T39" s="705" t="s">
        <v>14</v>
      </c>
      <c r="U39" s="706">
        <f t="shared" si="13"/>
        <v>100</v>
      </c>
      <c r="V39" s="705" t="s">
        <v>14</v>
      </c>
      <c r="W39" s="706">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6"/>
      <c r="Q40" s="1351" t="str">
        <f t="shared" si="11"/>
        <v>单套建筑面积</v>
      </c>
      <c r="R40" s="705" t="s">
        <v>14</v>
      </c>
      <c r="S40" s="706">
        <f t="shared" si="12"/>
        <v>100</v>
      </c>
      <c r="T40" s="705" t="s">
        <v>14</v>
      </c>
      <c r="U40" s="706">
        <f t="shared" si="13"/>
        <v>100</v>
      </c>
      <c r="V40" s="705" t="s">
        <v>14</v>
      </c>
      <c r="W40" s="706">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6"/>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56"/>
      <c r="Q42" s="1351" t="str">
        <f t="shared" si="11"/>
        <v>内部装修</v>
      </c>
      <c r="R42" s="705" t="s">
        <v>14</v>
      </c>
      <c r="S42" s="706">
        <f t="shared" si="12"/>
        <v>100</v>
      </c>
      <c r="T42" s="705" t="s">
        <v>14</v>
      </c>
      <c r="U42" s="706">
        <f t="shared" si="13"/>
        <v>100</v>
      </c>
      <c r="V42" s="705" t="s">
        <v>14</v>
      </c>
      <c r="W42" s="706">
        <f t="shared" si="14"/>
        <v>100</v>
      </c>
      <c r="X42" s="1354"/>
      <c r="Y42" s="369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56"/>
      <c r="Q43" s="1351" t="str">
        <f t="shared" si="11"/>
        <v>内部装修维护情况</v>
      </c>
      <c r="R43" s="705" t="s">
        <v>14</v>
      </c>
      <c r="S43" s="706">
        <f t="shared" si="12"/>
        <v>100</v>
      </c>
      <c r="T43" s="705" t="s">
        <v>14</v>
      </c>
      <c r="U43" s="706">
        <f t="shared" si="13"/>
        <v>100</v>
      </c>
      <c r="V43" s="705" t="s">
        <v>14</v>
      </c>
      <c r="W43" s="706">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6"/>
      <c r="Q44" s="1342">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6"/>
      <c r="Q45" s="1351">
        <f t="shared" si="11"/>
        <v>111</v>
      </c>
      <c r="R45" s="705" t="s">
        <v>14</v>
      </c>
      <c r="S45" s="706">
        <f t="shared" si="12"/>
        <v>100</v>
      </c>
      <c r="T45" s="705" t="s">
        <v>14</v>
      </c>
      <c r="U45" s="706">
        <f t="shared" si="13"/>
        <v>100</v>
      </c>
      <c r="V45" s="705" t="s">
        <v>14</v>
      </c>
      <c r="W45" s="706">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57"/>
      <c r="Q46" s="1351">
        <f t="shared" si="11"/>
        <v>111</v>
      </c>
      <c r="R46" s="705" t="s">
        <v>14</v>
      </c>
      <c r="S46" s="706">
        <f t="shared" si="12"/>
        <v>100</v>
      </c>
      <c r="T46" s="705" t="s">
        <v>14</v>
      </c>
      <c r="U46" s="706">
        <f t="shared" si="13"/>
        <v>100</v>
      </c>
      <c r="V46" s="705" t="s">
        <v>14</v>
      </c>
      <c r="W46" s="706">
        <f t="shared" si="14"/>
        <v>100</v>
      </c>
      <c r="X46" s="1354"/>
      <c r="Y46" s="375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90" t="str">
        <f>A47</f>
        <v>成交单价（元/平方米）</v>
      </c>
      <c r="Q47" s="369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1"/>
      <c r="M48" s="2722"/>
      <c r="N48" s="2713"/>
      <c r="O48" s="2722"/>
      <c r="P48" s="3690" t="str">
        <f>A48</f>
        <v>比较价值（元/平方米）</v>
      </c>
      <c r="Q48" s="3690"/>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4" t="str">
        <f>A49</f>
        <v>估价对象XX用房的比较价值（楼面单价，元/平方米）</v>
      </c>
      <c r="Q49" s="3685"/>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47" sqref="B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3573</v>
      </c>
      <c r="D1" s="1361" t="s">
        <v>43</v>
      </c>
      <c r="E1" s="1362" t="s">
        <v>678</v>
      </c>
      <c r="F1" s="1062">
        <f ca="1">J53</f>
        <v>38.04</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v>
      </c>
      <c r="C2" s="1386" t="s">
        <v>805</v>
      </c>
      <c r="D2" s="1386"/>
      <c r="E2" s="1387"/>
      <c r="F2" s="1388"/>
      <c r="G2" s="2703"/>
      <c r="H2" s="2692"/>
      <c r="I2" s="2692"/>
      <c r="J2" s="2692"/>
      <c r="K2" s="2693"/>
      <c r="L2" s="2692"/>
      <c r="M2" s="2692"/>
    </row>
    <row r="3" spans="1:37" ht="18" customHeight="1" thickBot="1">
      <c r="A3" s="1389" t="s">
        <v>806</v>
      </c>
      <c r="B3" s="1390">
        <f ca="1">IF(ISERROR(B2*10000/F43),0,ROUND(B2*10000/F43,0))</f>
        <v>6434</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47</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47</v>
      </c>
      <c r="D6" s="155" t="s">
        <v>2109</v>
      </c>
      <c r="E6" s="302" t="s">
        <v>696</v>
      </c>
      <c r="F6" s="303">
        <f ca="1">INDIRECT("'数据-取费表'!u"&amp;$G$1)</f>
        <v>1.7</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3454" t="s">
        <v>697</v>
      </c>
      <c r="F7" s="303">
        <f ca="1">IF(INDIRECT("'数据-取费表'!ah"&amp;$G$1)="",INDIRECT("'数据-取费表'!k"&amp;$G$1),INDIRECT("'数据-取费表'!ah"&amp;$G$1))</f>
        <v>887.47</v>
      </c>
      <c r="G7" s="1383"/>
      <c r="H7" s="304"/>
      <c r="I7" s="3732"/>
      <c r="J7" s="306"/>
      <c r="K7" s="307"/>
      <c r="L7" s="302" t="s">
        <v>697</v>
      </c>
      <c r="M7" s="303">
        <f ca="1">F7</f>
        <v>887.47</v>
      </c>
    </row>
    <row r="8" spans="1:37" ht="18" customHeight="1">
      <c r="A8" s="304"/>
      <c r="B8" s="3732"/>
      <c r="C8" s="306"/>
      <c r="D8" s="307"/>
      <c r="E8" s="302" t="s">
        <v>698</v>
      </c>
      <c r="F8" s="303">
        <f ca="1">INDIRECT("'数据-取费表'!ai"&amp;$G$1)</f>
        <v>365</v>
      </c>
      <c r="G8" s="1383"/>
      <c r="H8" s="304"/>
      <c r="I8" s="3732"/>
      <c r="J8" s="306"/>
      <c r="K8" s="307"/>
      <c r="L8" s="302" t="s">
        <v>698</v>
      </c>
      <c r="M8" s="303">
        <f ca="1">INDIRECT("'数据-取费表'!ai"&amp;$G$1)</f>
        <v>365</v>
      </c>
    </row>
    <row r="9" spans="1:37" ht="18" customHeight="1">
      <c r="A9" s="304"/>
      <c r="B9" s="3733"/>
      <c r="C9" s="306"/>
      <c r="D9" s="307"/>
      <c r="E9" s="302" t="s">
        <v>699</v>
      </c>
      <c r="F9" s="312">
        <f ca="1">INDIRECT("'数据-取费表'!w"&amp;$G$1)</f>
        <v>0.15</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690</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444</v>
      </c>
      <c r="D14" s="3457" t="s">
        <v>708</v>
      </c>
      <c r="E14" s="3456"/>
      <c r="F14" s="319"/>
      <c r="G14" s="1383"/>
      <c r="H14" s="982" t="s">
        <v>398</v>
      </c>
      <c r="I14" s="302" t="s">
        <v>709</v>
      </c>
      <c r="J14" s="21">
        <f ca="1">C29</f>
        <v>690</v>
      </c>
      <c r="K14" s="3453"/>
      <c r="L14" s="807"/>
      <c r="M14" s="808"/>
    </row>
    <row r="15" spans="1:37" s="1396" customFormat="1" ht="18" customHeight="1" thickBot="1">
      <c r="A15" s="982" t="s">
        <v>399</v>
      </c>
      <c r="B15" s="302" t="s">
        <v>710</v>
      </c>
      <c r="C15" s="21">
        <f ca="1">ROUND(C14*F15,0)</f>
        <v>22</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3459"/>
      <c r="M16" s="1072"/>
    </row>
    <row r="17" spans="1:37" s="1396" customFormat="1" ht="18" customHeight="1">
      <c r="A17" s="982" t="s">
        <v>681</v>
      </c>
      <c r="B17" s="302" t="s">
        <v>716</v>
      </c>
      <c r="C17" s="21">
        <f ca="1">ROUND(F17*(F43+INDIRECT("'数据-取费表'!S"&amp;$G$1))/10000,0)</f>
        <v>18</v>
      </c>
      <c r="D17" s="302" t="s">
        <v>717</v>
      </c>
      <c r="E17" s="302" t="s">
        <v>718</v>
      </c>
      <c r="F17" s="23">
        <f>'数据-取费表'!B35</f>
        <v>200</v>
      </c>
      <c r="G17" s="1395"/>
      <c r="H17" s="982" t="s">
        <v>398</v>
      </c>
      <c r="I17" s="302" t="s">
        <v>719</v>
      </c>
      <c r="J17" s="2315">
        <f ca="1">ROUND(IF(AND(项目基本情况!B11="自然人",项目基本情况!B10="北京市"),J6*M17/(1+'数据-取费表'!C42),J18+J19+J20),2)</f>
        <v>0.05</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491</v>
      </c>
      <c r="D19" s="131" t="s">
        <v>726</v>
      </c>
      <c r="E19" s="3461"/>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15</v>
      </c>
      <c r="D20" s="2426" t="s">
        <v>729</v>
      </c>
      <c r="E20" s="302" t="s">
        <v>712</v>
      </c>
      <c r="F20" s="322">
        <f>'数据-取费表'!B37</f>
        <v>0.03</v>
      </c>
      <c r="G20" s="1395"/>
      <c r="H20" s="982" t="s">
        <v>680</v>
      </c>
      <c r="I20" s="155" t="s">
        <v>730</v>
      </c>
      <c r="J20" s="22">
        <f ca="1">ROUND(M20*M21/10000,2)</f>
        <v>0.05</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321.10000000000002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-7</v>
      </c>
      <c r="K25" s="1095" t="s">
        <v>753</v>
      </c>
      <c r="L25" s="1096"/>
      <c r="M25" s="1097"/>
    </row>
    <row r="26" spans="1:37">
      <c r="A26" s="982" t="s">
        <v>397</v>
      </c>
      <c r="B26" s="302" t="s">
        <v>754</v>
      </c>
      <c r="C26" s="21">
        <f ca="1">ROUND((C19+C20)*F26,0)</f>
        <v>101</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690</v>
      </c>
      <c r="D29" s="1092"/>
      <c r="E29" s="1090"/>
      <c r="F29" s="1093"/>
      <c r="G29" s="1395"/>
      <c r="H29" s="334" t="s">
        <v>396</v>
      </c>
      <c r="I29" s="335" t="s">
        <v>768</v>
      </c>
      <c r="J29" s="336">
        <f ca="1">ROUND(J26/(1+F40)^F41,0)</f>
        <v>0</v>
      </c>
      <c r="K29" s="337" t="s">
        <v>769</v>
      </c>
      <c r="L29" s="338"/>
      <c r="M29" s="339">
        <f ca="1">INDIRECT("'数据-取费表'!k"&amp;$G$1)</f>
        <v>887.47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7.88</v>
      </c>
      <c r="D31" s="3457" t="s">
        <v>720</v>
      </c>
      <c r="E31" s="3458"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2.46</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0.05</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321.10000000000002</v>
      </c>
      <c r="G35" s="1383"/>
      <c r="H35" s="2694"/>
      <c r="I35" s="1397"/>
      <c r="J35" s="1398"/>
      <c r="K35" s="2698"/>
      <c r="L35" s="2697"/>
      <c r="M35" s="2697"/>
    </row>
    <row r="36" spans="1:18" ht="18" customHeight="1">
      <c r="A36" s="1102" t="s">
        <v>402</v>
      </c>
      <c r="B36" s="302" t="s">
        <v>738</v>
      </c>
      <c r="C36" s="21">
        <f ca="1">ROUND(C29*F36,2)</f>
        <v>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1.04</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0.47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31</v>
      </c>
      <c r="D39" s="1095" t="s">
        <v>773</v>
      </c>
      <c r="E39" s="1096"/>
      <c r="F39" s="1097"/>
      <c r="G39" s="1383"/>
      <c r="H39" s="2697"/>
      <c r="I39" s="1397"/>
      <c r="J39" s="1398"/>
      <c r="K39" s="2701"/>
      <c r="L39" s="2697"/>
      <c r="M39" s="2697"/>
    </row>
    <row r="40" spans="1:18" ht="18" customHeight="1">
      <c r="A40" s="299" t="s">
        <v>395</v>
      </c>
      <c r="B40" s="300" t="s">
        <v>774</v>
      </c>
      <c r="C40" s="301">
        <f ca="1">ROUND(C39*(1-((1+F42)/(1+F40))^F41)/(F40-F42),0)</f>
        <v>556</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6265</v>
      </c>
      <c r="D43" s="337" t="s">
        <v>777</v>
      </c>
      <c r="E43" s="338" t="s">
        <v>778</v>
      </c>
      <c r="F43" s="339">
        <f ca="1">INDIRECT("'数据-取费表'!k"&amp;$G$1)</f>
        <v>887.47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-668</v>
      </c>
      <c r="D46" s="1405" t="str">
        <f>C2</f>
        <v>万元</v>
      </c>
      <c r="E46" s="1399"/>
      <c r="F46" s="1399"/>
      <c r="I46" s="1406" t="s">
        <v>810</v>
      </c>
      <c r="J46" s="1407"/>
      <c r="K46" s="1408"/>
      <c r="L46" s="1409">
        <f ca="1">IF(M47="住宅",0,IF(L48&gt;J51,L60,J60))</f>
        <v>15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40</v>
      </c>
      <c r="M47" s="1379" t="str">
        <f>IF(ISNUMBER(FIND("住宅",C1)),"住宅","非住宅")</f>
        <v>非住宅</v>
      </c>
      <c r="O47" s="1417" t="s">
        <v>403</v>
      </c>
      <c r="P47" s="1418" t="s">
        <v>817</v>
      </c>
      <c r="Q47" s="1419">
        <f ca="1">C40+J29</f>
        <v>556</v>
      </c>
      <c r="R47" s="1419" t="s">
        <v>818</v>
      </c>
    </row>
    <row r="48" spans="1:18" s="1383" customFormat="1" ht="28.5" thickBot="1">
      <c r="A48" s="1110" t="s">
        <v>438</v>
      </c>
      <c r="B48" s="300" t="s">
        <v>692</v>
      </c>
      <c r="C48" s="3460">
        <f ca="1">C49+C53+C55</f>
        <v>0</v>
      </c>
      <c r="D48" s="1112"/>
      <c r="E48" s="1113"/>
      <c r="F48" s="962"/>
      <c r="G48" s="722"/>
      <c r="H48" s="723"/>
      <c r="I48" s="1420" t="s">
        <v>819</v>
      </c>
      <c r="J48" s="1421" t="s">
        <v>3403</v>
      </c>
      <c r="K48" s="1422" t="s">
        <v>820</v>
      </c>
      <c r="L48" s="1423">
        <f ca="1">INDIRECT("'数据-取费表'!f"&amp;$G$1)</f>
        <v>38.04</v>
      </c>
      <c r="O48" s="1417" t="s">
        <v>404</v>
      </c>
      <c r="P48" s="1418" t="s">
        <v>821</v>
      </c>
      <c r="Q48" s="1419">
        <f ca="1">J60</f>
        <v>15</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690</v>
      </c>
      <c r="R49" s="1419" t="s">
        <v>818</v>
      </c>
    </row>
    <row r="50" spans="1:18" s="1383" customFormat="1" ht="13.5" thickBot="1">
      <c r="A50" s="976"/>
      <c r="B50" s="979"/>
      <c r="C50" s="1118"/>
      <c r="D50" s="953"/>
      <c r="E50" s="1056" t="s">
        <v>697</v>
      </c>
      <c r="F50" s="1057">
        <f ca="1">F7</f>
        <v>887.47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-393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38.04</v>
      </c>
      <c r="K53" s="3729" t="s">
        <v>837</v>
      </c>
      <c r="L53" s="3730"/>
      <c r="O53" s="1417" t="s">
        <v>409</v>
      </c>
      <c r="P53" s="1418" t="s">
        <v>838</v>
      </c>
      <c r="Q53" s="1419">
        <f ca="1">Q47+Q48</f>
        <v>571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690</v>
      </c>
      <c r="D56" s="1446"/>
      <c r="E56" s="1447"/>
      <c r="F56" s="1439"/>
      <c r="I56" s="1448" t="s">
        <v>842</v>
      </c>
      <c r="J56" s="1449" t="s">
        <v>3404</v>
      </c>
      <c r="K56" s="1420" t="s">
        <v>843</v>
      </c>
      <c r="L56" s="1423" t="str">
        <f ca="1">IF(L48&lt;J51,"——",L48-J53)</f>
        <v>——</v>
      </c>
      <c r="O56" s="1417" t="s">
        <v>403</v>
      </c>
      <c r="P56" s="1418" t="s">
        <v>817</v>
      </c>
      <c r="Q56" s="1419">
        <f ca="1">C40+J29</f>
        <v>556</v>
      </c>
      <c r="R56" s="1419" t="s">
        <v>818</v>
      </c>
    </row>
    <row r="57" spans="1:18" s="1383" customFormat="1" ht="24.75" thickBot="1">
      <c r="A57" s="1450"/>
      <c r="B57" s="950" t="s">
        <v>767</v>
      </c>
      <c r="C57" s="238">
        <f ca="1">C29</f>
        <v>690</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0.05</v>
      </c>
      <c r="D62" s="965" t="s">
        <v>786</v>
      </c>
      <c r="E62" s="950" t="s">
        <v>787</v>
      </c>
      <c r="F62" s="325">
        <f t="shared" si="0"/>
        <v>1.5</v>
      </c>
      <c r="I62" s="1461" t="s">
        <v>858</v>
      </c>
      <c r="J62" s="1462" t="s">
        <v>859</v>
      </c>
      <c r="K62" s="1462" t="s">
        <v>860</v>
      </c>
      <c r="L62" s="1462" t="s">
        <v>861</v>
      </c>
      <c r="M62" s="1463" t="s">
        <v>862</v>
      </c>
      <c r="O62" s="1417" t="s">
        <v>409</v>
      </c>
      <c r="P62" s="1418" t="s">
        <v>863</v>
      </c>
      <c r="Q62" s="1419">
        <f ca="1">Q56+Q57</f>
        <v>556</v>
      </c>
      <c r="R62" s="1419" t="s">
        <v>410</v>
      </c>
    </row>
    <row r="63" spans="1:18" s="1383" customFormat="1" ht="13.5" thickBot="1">
      <c r="A63" s="326"/>
      <c r="B63" s="956"/>
      <c r="C63" s="26"/>
      <c r="D63" s="966"/>
      <c r="E63" s="950" t="s">
        <v>788</v>
      </c>
      <c r="F63" s="303">
        <f t="shared" ca="1" si="0"/>
        <v>321.10000000000002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1.04</v>
      </c>
      <c r="D65" s="964" t="s">
        <v>743</v>
      </c>
      <c r="E65" s="950" t="s">
        <v>744</v>
      </c>
      <c r="F65" s="330">
        <f t="shared" ca="1" si="0"/>
        <v>1.5E-3</v>
      </c>
      <c r="I65" s="1461" t="s">
        <v>867</v>
      </c>
      <c r="J65" s="1462">
        <v>40</v>
      </c>
      <c r="K65" s="1462">
        <v>30</v>
      </c>
      <c r="L65" s="1462">
        <v>50</v>
      </c>
      <c r="M65" s="1464">
        <v>0.02</v>
      </c>
      <c r="O65" s="1417" t="s">
        <v>403</v>
      </c>
      <c r="P65" s="1418" t="s">
        <v>868</v>
      </c>
      <c r="Q65" s="1419">
        <f ca="1">C40+J29</f>
        <v>556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v>
      </c>
      <c r="D67" s="963" t="s">
        <v>753</v>
      </c>
      <c r="E67" s="968"/>
      <c r="F67" s="969"/>
      <c r="O67" s="1427" t="s">
        <v>405</v>
      </c>
      <c r="P67" s="1418" t="s">
        <v>850</v>
      </c>
      <c r="Q67" s="1465">
        <f ca="1">L51</f>
        <v>-393</v>
      </c>
      <c r="R67" s="1419" t="s">
        <v>870</v>
      </c>
    </row>
    <row r="68" spans="1:18" s="1383" customFormat="1" ht="16.5" thickBot="1">
      <c r="A68" s="947" t="s">
        <v>395</v>
      </c>
      <c r="B68" s="948" t="s">
        <v>774</v>
      </c>
      <c r="C68" s="301">
        <f ca="1">ROUND(C67*(1-((1+F70)/(1+F68))^F69)/(F68-F70),0)</f>
        <v>-112</v>
      </c>
      <c r="D68" s="965" t="s">
        <v>758</v>
      </c>
      <c r="E68" s="950" t="s">
        <v>759</v>
      </c>
      <c r="F68" s="312">
        <f ca="1">F40</f>
        <v>6.5000000000000002E-2</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38.04</v>
      </c>
      <c r="O69" s="1427" t="s">
        <v>411</v>
      </c>
      <c r="P69" s="1466" t="s">
        <v>872</v>
      </c>
      <c r="Q69" s="1419">
        <f ca="1">C39</f>
        <v>31</v>
      </c>
      <c r="R69" s="1419" t="s">
        <v>818</v>
      </c>
    </row>
    <row r="70" spans="1:18" s="1383" customFormat="1" ht="13.5" thickBot="1">
      <c r="A70" s="954"/>
      <c r="B70" s="955"/>
      <c r="C70" s="310"/>
      <c r="D70" s="966"/>
      <c r="E70" s="950" t="s">
        <v>766</v>
      </c>
      <c r="F70" s="1054"/>
      <c r="O70" s="1427" t="s">
        <v>412</v>
      </c>
      <c r="P70" s="1466" t="s">
        <v>873</v>
      </c>
      <c r="Q70" s="1419">
        <f ca="1">C13</f>
        <v>690</v>
      </c>
      <c r="R70" s="1419" t="s">
        <v>818</v>
      </c>
    </row>
    <row r="71" spans="1:18" s="1383" customFormat="1" ht="13.5" thickBot="1">
      <c r="A71" s="971" t="s">
        <v>396</v>
      </c>
      <c r="B71" s="972" t="s">
        <v>776</v>
      </c>
      <c r="C71" s="336">
        <f ca="1">ROUND(C68*10000/F71,0)</f>
        <v>-1262</v>
      </c>
      <c r="D71" s="973" t="s">
        <v>777</v>
      </c>
      <c r="E71" s="974" t="s">
        <v>778</v>
      </c>
      <c r="F71" s="339">
        <f ca="1">F43</f>
        <v>887.47</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52</v>
      </c>
      <c r="D75" s="1383"/>
      <c r="E75" s="1383"/>
      <c r="F75" s="1383"/>
      <c r="K75" s="1401"/>
      <c r="L75" s="1383"/>
      <c r="O75" s="1417" t="s">
        <v>409</v>
      </c>
      <c r="P75" s="1418" t="s">
        <v>838</v>
      </c>
      <c r="Q75" s="1419">
        <f ca="1">Q65+Q66</f>
        <v>556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-0.67700000000000005</v>
      </c>
    </row>
    <row r="80" spans="1:18">
      <c r="B80" s="340" t="s">
        <v>800</v>
      </c>
      <c r="C80" s="274">
        <f ca="1">ROUND(C75/C39,3)</f>
        <v>1.677</v>
      </c>
    </row>
    <row r="81" spans="2:3">
      <c r="B81" s="270" t="s">
        <v>801</v>
      </c>
      <c r="C81" s="238"/>
    </row>
    <row r="82" spans="2:3">
      <c r="B82" s="273" t="s">
        <v>802</v>
      </c>
      <c r="C82" s="275">
        <f ca="1">1-C83</f>
        <v>-0.2410000000000001</v>
      </c>
    </row>
    <row r="83" spans="2:3">
      <c r="B83" s="273" t="s">
        <v>803</v>
      </c>
      <c r="C83" s="274">
        <f ca="1">ROUND(C13/C40,3)</f>
        <v>1.2410000000000001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2" sqref="F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3340</v>
      </c>
      <c r="D1" s="1361" t="s">
        <v>43</v>
      </c>
      <c r="E1" s="1362" t="s">
        <v>678</v>
      </c>
      <c r="F1" s="1062">
        <f ca="1">J53</f>
        <v>48.05</v>
      </c>
      <c r="G1" s="1377">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451</v>
      </c>
      <c r="C2" s="1386" t="s">
        <v>805</v>
      </c>
      <c r="D2" s="1386"/>
      <c r="E2" s="1387"/>
      <c r="F2" s="1388"/>
      <c r="G2" s="2703"/>
      <c r="H2" s="2692"/>
      <c r="I2" s="2692"/>
      <c r="J2" s="2692"/>
      <c r="K2" s="2693"/>
      <c r="L2" s="2692"/>
      <c r="M2" s="2692"/>
    </row>
    <row r="3" spans="1:37" ht="18" customHeight="1" thickBot="1">
      <c r="A3" s="1389" t="s">
        <v>806</v>
      </c>
      <c r="B3" s="1390">
        <f ca="1">IF(ISERROR(B2*10000/F43),0,ROUND(B2*10000/F43,0))</f>
        <v>1418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61</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61</v>
      </c>
      <c r="D6" s="155" t="s">
        <v>2109</v>
      </c>
      <c r="E6" s="302" t="s">
        <v>696</v>
      </c>
      <c r="F6" s="303">
        <f ca="1">INDIRECT("'数据-取费表'!u"&amp;$G$1)</f>
        <v>600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3454" t="s">
        <v>697</v>
      </c>
      <c r="F7" s="303">
        <f ca="1">IF(INDIRECT("'数据-取费表'!ah"&amp;$G$1)="",INDIRECT("'数据-取费表'!k"&amp;$G$1),INDIRECT("'数据-取费表'!ah"&amp;$G$1))</f>
        <v>100</v>
      </c>
      <c r="G7" s="1383"/>
      <c r="H7" s="304"/>
      <c r="I7" s="3732"/>
      <c r="J7" s="306"/>
      <c r="K7" s="307"/>
      <c r="L7" s="302" t="s">
        <v>697</v>
      </c>
      <c r="M7" s="303">
        <f ca="1">F7</f>
        <v>100</v>
      </c>
    </row>
    <row r="8" spans="1:37" ht="18" customHeight="1">
      <c r="A8" s="304"/>
      <c r="B8" s="3732"/>
      <c r="C8" s="306"/>
      <c r="D8" s="307"/>
      <c r="E8" s="302" t="s">
        <v>698</v>
      </c>
      <c r="F8" s="303">
        <f ca="1">INDIRECT("'数据-取费表'!ai"&amp;$G$1)</f>
        <v>12</v>
      </c>
      <c r="G8" s="1383"/>
      <c r="H8" s="304"/>
      <c r="I8" s="3732"/>
      <c r="J8" s="306"/>
      <c r="K8" s="307"/>
      <c r="L8" s="302" t="s">
        <v>698</v>
      </c>
      <c r="M8" s="303">
        <f ca="1">INDIRECT("'数据-取费表'!ai"&amp;$G$1)</f>
        <v>12</v>
      </c>
    </row>
    <row r="9" spans="1:37" ht="18" customHeight="1">
      <c r="A9" s="304"/>
      <c r="B9" s="3733"/>
      <c r="C9" s="306"/>
      <c r="D9" s="307"/>
      <c r="E9" s="302" t="s">
        <v>699</v>
      </c>
      <c r="F9" s="312">
        <f ca="1">INDIRECT("'数据-取费表'!w"&amp;$G$1)</f>
        <v>0.15</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2469</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1590</v>
      </c>
      <c r="D14" s="3457" t="s">
        <v>708</v>
      </c>
      <c r="E14" s="3456"/>
      <c r="F14" s="319"/>
      <c r="G14" s="1383"/>
      <c r="H14" s="982" t="s">
        <v>398</v>
      </c>
      <c r="I14" s="302" t="s">
        <v>709</v>
      </c>
      <c r="J14" s="21">
        <f ca="1">C29</f>
        <v>2469</v>
      </c>
      <c r="K14" s="3453"/>
      <c r="L14" s="807"/>
      <c r="M14" s="808"/>
    </row>
    <row r="15" spans="1:37" s="1396" customFormat="1" ht="18" customHeight="1" thickBot="1">
      <c r="A15" s="982" t="s">
        <v>399</v>
      </c>
      <c r="B15" s="302" t="s">
        <v>710</v>
      </c>
      <c r="C15" s="21">
        <f ca="1">ROUND(C14*F15,0)</f>
        <v>80</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3459"/>
      <c r="M16" s="1072"/>
    </row>
    <row r="17" spans="1:37" s="1396" customFormat="1" ht="18" customHeight="1">
      <c r="A17" s="982" t="s">
        <v>681</v>
      </c>
      <c r="B17" s="302" t="s">
        <v>716</v>
      </c>
      <c r="C17" s="21">
        <f ca="1">ROUND(F17*(F43+INDIRECT("'数据-取费表'!S"&amp;$G$1))/10000,0)</f>
        <v>64</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1758</v>
      </c>
      <c r="D19" s="131" t="s">
        <v>726</v>
      </c>
      <c r="E19" s="3461"/>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53</v>
      </c>
      <c r="D20" s="2426" t="s">
        <v>729</v>
      </c>
      <c r="E20" s="302" t="s">
        <v>712</v>
      </c>
      <c r="F20" s="322">
        <f>'数据-取费表'!B37</f>
        <v>0.03</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1150.57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24.69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75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-25</v>
      </c>
      <c r="K25" s="1095" t="s">
        <v>753</v>
      </c>
      <c r="L25" s="1096"/>
      <c r="M25" s="1097"/>
    </row>
    <row r="26" spans="1:37">
      <c r="A26" s="982" t="s">
        <v>397</v>
      </c>
      <c r="B26" s="302" t="s">
        <v>754</v>
      </c>
      <c r="C26" s="21">
        <f ca="1">ROUND((C19+C20)*F26,0)</f>
        <v>362</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2469</v>
      </c>
      <c r="D29" s="1092"/>
      <c r="E29" s="1090"/>
      <c r="F29" s="1093"/>
      <c r="G29" s="1395"/>
      <c r="H29" s="334" t="s">
        <v>396</v>
      </c>
      <c r="I29" s="335" t="s">
        <v>768</v>
      </c>
      <c r="J29" s="336">
        <f ca="1">ROUND(J26/(1+F40)^F41,0)</f>
        <v>0</v>
      </c>
      <c r="K29" s="337" t="s">
        <v>769</v>
      </c>
      <c r="L29" s="338"/>
      <c r="M29" s="339">
        <f ca="1">INDIRECT("'数据-取费表'!k"&amp;$G$1)</f>
        <v>3179.9999999999995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10.34</v>
      </c>
      <c r="D31" s="3457" t="s">
        <v>720</v>
      </c>
      <c r="E31" s="3458"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3.2</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6.97</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0.17</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1150.57</v>
      </c>
      <c r="G35" s="1383"/>
      <c r="H35" s="2694"/>
      <c r="I35" s="1397"/>
      <c r="J35" s="1398"/>
      <c r="K35" s="2698"/>
      <c r="L35" s="2697"/>
      <c r="M35" s="2697"/>
    </row>
    <row r="36" spans="1:18" ht="18" customHeight="1">
      <c r="A36" s="1102" t="s">
        <v>402</v>
      </c>
      <c r="B36" s="302" t="s">
        <v>738</v>
      </c>
      <c r="C36" s="21">
        <f ca="1">ROUND(C29*F36,2)</f>
        <v>24.69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3.7</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0.61</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22</v>
      </c>
      <c r="D39" s="1095" t="s">
        <v>773</v>
      </c>
      <c r="E39" s="1096"/>
      <c r="F39" s="1097"/>
      <c r="G39" s="1383"/>
      <c r="H39" s="2697"/>
      <c r="I39" s="1397"/>
      <c r="J39" s="1398"/>
      <c r="K39" s="2701"/>
      <c r="L39" s="2697"/>
      <c r="M39" s="2697"/>
    </row>
    <row r="40" spans="1:18" ht="18" customHeight="1">
      <c r="A40" s="299" t="s">
        <v>395</v>
      </c>
      <c r="B40" s="300" t="s">
        <v>774</v>
      </c>
      <c r="C40" s="301">
        <f ca="1">ROUND(C39*(1-((1+F42)/(1+F40))^F41)/(F40-F42),0)</f>
        <v>427</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48.05</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1343</v>
      </c>
      <c r="D43" s="337" t="s">
        <v>777</v>
      </c>
      <c r="E43" s="338" t="s">
        <v>778</v>
      </c>
      <c r="F43" s="339">
        <f ca="1">INDIRECT("'数据-取费表'!k"&amp;$G$1)</f>
        <v>3179.9999999999995</v>
      </c>
      <c r="G43" s="1383"/>
      <c r="H43" s="1190"/>
      <c r="I43" s="1190"/>
      <c r="J43" s="1190"/>
      <c r="K43" s="2542"/>
      <c r="L43" s="1190"/>
      <c r="M43" s="1190"/>
    </row>
    <row r="44" spans="1:18" s="1383" customFormat="1" ht="18" customHeight="1">
      <c r="A44" s="1399"/>
      <c r="B44" s="1399"/>
      <c r="C44" s="1400">
        <f ca="1">C43*22</f>
        <v>29546</v>
      </c>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-837</v>
      </c>
      <c r="D46" s="1405" t="str">
        <f>C2</f>
        <v>万元</v>
      </c>
      <c r="E46" s="1399"/>
      <c r="F46" s="1399"/>
      <c r="I46" s="1406" t="s">
        <v>810</v>
      </c>
      <c r="J46" s="1407"/>
      <c r="K46" s="1408"/>
      <c r="L46" s="1409">
        <f ca="1">IF(M47="住宅",0,IF(L48&gt;J51,L60,J60))</f>
        <v>24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50</v>
      </c>
      <c r="M47" s="1379" t="str">
        <f>IF(ISNUMBER(FIND("住宅",C1)),"住宅","非住宅")</f>
        <v>非住宅</v>
      </c>
      <c r="O47" s="1417" t="s">
        <v>403</v>
      </c>
      <c r="P47" s="1418" t="s">
        <v>817</v>
      </c>
      <c r="Q47" s="1419">
        <f ca="1">C40+J29</f>
        <v>427</v>
      </c>
      <c r="R47" s="1419" t="s">
        <v>818</v>
      </c>
    </row>
    <row r="48" spans="1:18" s="1383" customFormat="1" ht="28.5" thickBot="1">
      <c r="A48" s="1110" t="s">
        <v>438</v>
      </c>
      <c r="B48" s="300" t="s">
        <v>692</v>
      </c>
      <c r="C48" s="3460">
        <f ca="1">C49+C53+C55</f>
        <v>0</v>
      </c>
      <c r="D48" s="1112"/>
      <c r="E48" s="1113"/>
      <c r="F48" s="962"/>
      <c r="G48" s="722"/>
      <c r="H48" s="723"/>
      <c r="I48" s="1420" t="s">
        <v>819</v>
      </c>
      <c r="J48" s="1421" t="s">
        <v>3403</v>
      </c>
      <c r="K48" s="1422" t="s">
        <v>820</v>
      </c>
      <c r="L48" s="1423">
        <f ca="1">INDIRECT("'数据-取费表'!f"&amp;$G$1)</f>
        <v>48.05</v>
      </c>
      <c r="O48" s="1417" t="s">
        <v>404</v>
      </c>
      <c r="P48" s="1418" t="s">
        <v>821</v>
      </c>
      <c r="Q48" s="1419">
        <f ca="1">J60</f>
        <v>24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2469</v>
      </c>
      <c r="R49" s="1419" t="s">
        <v>818</v>
      </c>
    </row>
    <row r="50" spans="1:18" s="1383" customFormat="1" ht="13.5" thickBot="1">
      <c r="A50" s="976"/>
      <c r="B50" s="979"/>
      <c r="C50" s="1118"/>
      <c r="D50" s="953"/>
      <c r="E50" s="1056" t="s">
        <v>697</v>
      </c>
      <c r="F50" s="1057">
        <f ca="1">F7</f>
        <v>100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-3089</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48.05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48.05</v>
      </c>
      <c r="K53" s="3729" t="s">
        <v>837</v>
      </c>
      <c r="L53" s="3730"/>
      <c r="O53" s="1417" t="s">
        <v>409</v>
      </c>
      <c r="P53" s="1418" t="s">
        <v>838</v>
      </c>
      <c r="Q53" s="1419">
        <f ca="1">Q47+Q48</f>
        <v>451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0.19900000000000001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2469</v>
      </c>
      <c r="D56" s="1446"/>
      <c r="E56" s="1447"/>
      <c r="F56" s="1439"/>
      <c r="I56" s="1448" t="s">
        <v>842</v>
      </c>
      <c r="J56" s="1449" t="s">
        <v>3404</v>
      </c>
      <c r="K56" s="1420" t="s">
        <v>843</v>
      </c>
      <c r="L56" s="1423" t="str">
        <f ca="1">IF(L48&lt;J51,"——",L48-J53)</f>
        <v>——</v>
      </c>
      <c r="O56" s="1417" t="s">
        <v>403</v>
      </c>
      <c r="P56" s="1418" t="s">
        <v>817</v>
      </c>
      <c r="Q56" s="1419">
        <f ca="1">C40+J29</f>
        <v>427</v>
      </c>
      <c r="R56" s="1419" t="s">
        <v>818</v>
      </c>
    </row>
    <row r="57" spans="1:18" s="1383" customFormat="1" ht="24.75" thickBot="1">
      <c r="A57" s="1450"/>
      <c r="B57" s="950" t="s">
        <v>767</v>
      </c>
      <c r="C57" s="238">
        <f ca="1">C29</f>
        <v>2469</v>
      </c>
      <c r="D57" s="1451"/>
      <c r="E57" s="1452"/>
      <c r="F57" s="1453"/>
      <c r="I57" s="1454" t="s">
        <v>844</v>
      </c>
      <c r="J57" s="1455">
        <f ca="1">IF(OR(M47="住宅",J51&lt;L48,J56="是"),"——",J51-L48)</f>
        <v>11.950000000000003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988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0.17</v>
      </c>
      <c r="D62" s="965" t="s">
        <v>786</v>
      </c>
      <c r="E62" s="950" t="s">
        <v>787</v>
      </c>
      <c r="F62" s="325">
        <f t="shared" si="0"/>
        <v>1.5</v>
      </c>
      <c r="I62" s="1461" t="s">
        <v>858</v>
      </c>
      <c r="J62" s="1462" t="s">
        <v>859</v>
      </c>
      <c r="K62" s="1462" t="s">
        <v>860</v>
      </c>
      <c r="L62" s="1462" t="s">
        <v>861</v>
      </c>
      <c r="M62" s="1463" t="s">
        <v>862</v>
      </c>
      <c r="O62" s="1417" t="s">
        <v>409</v>
      </c>
      <c r="P62" s="1418" t="s">
        <v>863</v>
      </c>
      <c r="Q62" s="1419">
        <f ca="1">Q56+Q57</f>
        <v>427</v>
      </c>
      <c r="R62" s="1419" t="s">
        <v>410</v>
      </c>
    </row>
    <row r="63" spans="1:18" s="1383" customFormat="1" ht="13.5" thickBot="1">
      <c r="A63" s="326"/>
      <c r="B63" s="956"/>
      <c r="C63" s="26"/>
      <c r="D63" s="966"/>
      <c r="E63" s="950" t="s">
        <v>788</v>
      </c>
      <c r="F63" s="303">
        <f t="shared" ca="1" si="0"/>
        <v>1150.57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24.69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3.7</v>
      </c>
      <c r="D65" s="964" t="s">
        <v>743</v>
      </c>
      <c r="E65" s="950" t="s">
        <v>744</v>
      </c>
      <c r="F65" s="330">
        <f t="shared" ca="1" si="0"/>
        <v>1.5E-3</v>
      </c>
      <c r="I65" s="1461" t="s">
        <v>867</v>
      </c>
      <c r="J65" s="1462">
        <v>40</v>
      </c>
      <c r="K65" s="1462">
        <v>30</v>
      </c>
      <c r="L65" s="1462">
        <v>50</v>
      </c>
      <c r="M65" s="1464">
        <v>0.02</v>
      </c>
      <c r="O65" s="1417" t="s">
        <v>403</v>
      </c>
      <c r="P65" s="1418" t="s">
        <v>868</v>
      </c>
      <c r="Q65" s="1419">
        <f ca="1">C40+J29</f>
        <v>427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-28</v>
      </c>
      <c r="D67" s="963" t="s">
        <v>753</v>
      </c>
      <c r="E67" s="968"/>
      <c r="F67" s="969"/>
      <c r="O67" s="1427" t="s">
        <v>405</v>
      </c>
      <c r="P67" s="1418" t="s">
        <v>850</v>
      </c>
      <c r="Q67" s="1465">
        <f ca="1">L51</f>
        <v>-3089</v>
      </c>
      <c r="R67" s="1419" t="s">
        <v>870</v>
      </c>
    </row>
    <row r="68" spans="1:18" s="1383" customFormat="1" ht="16.5" thickBot="1">
      <c r="A68" s="947" t="s">
        <v>395</v>
      </c>
      <c r="B68" s="948" t="s">
        <v>774</v>
      </c>
      <c r="C68" s="301">
        <f ca="1">ROUND(C67*(1-((1+F70)/(1+F68))^F69)/(F68-F70),0)</f>
        <v>-410</v>
      </c>
      <c r="D68" s="965" t="s">
        <v>758</v>
      </c>
      <c r="E68" s="950" t="s">
        <v>759</v>
      </c>
      <c r="F68" s="312">
        <f ca="1">F40</f>
        <v>6.5000000000000002E-2</v>
      </c>
      <c r="O68" s="1427" t="s">
        <v>406</v>
      </c>
      <c r="P68" s="1466" t="s">
        <v>871</v>
      </c>
      <c r="Q68" s="1419">
        <f ca="1">ROUND(Q69-Q70*Q71,0)</f>
        <v>-163</v>
      </c>
      <c r="R68" s="1419" t="s">
        <v>414</v>
      </c>
    </row>
    <row r="69" spans="1:18" s="1383" customFormat="1" ht="13.5" thickBot="1">
      <c r="A69" s="951"/>
      <c r="B69" s="952"/>
      <c r="C69" s="306"/>
      <c r="D69" s="970" t="s">
        <v>762</v>
      </c>
      <c r="E69" s="950" t="s">
        <v>763</v>
      </c>
      <c r="F69" s="333">
        <f ca="1">F41</f>
        <v>48.05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2469</v>
      </c>
      <c r="R70" s="1419" t="s">
        <v>818</v>
      </c>
    </row>
    <row r="71" spans="1:18" s="1383" customFormat="1" ht="13.5" thickBot="1">
      <c r="A71" s="971" t="s">
        <v>396</v>
      </c>
      <c r="B71" s="972" t="s">
        <v>776</v>
      </c>
      <c r="C71" s="336">
        <f ca="1">ROUND(C68*10000/F71,0)</f>
        <v>-1289</v>
      </c>
      <c r="D71" s="973" t="s">
        <v>777</v>
      </c>
      <c r="E71" s="974" t="s">
        <v>778</v>
      </c>
      <c r="F71" s="339">
        <f ca="1">F43</f>
        <v>3179.9999999999995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v>
      </c>
      <c r="D75" s="1383"/>
      <c r="E75" s="1383"/>
      <c r="F75" s="1383"/>
      <c r="K75" s="1401"/>
      <c r="L75" s="1383"/>
      <c r="O75" s="1417" t="s">
        <v>409</v>
      </c>
      <c r="P75" s="1418" t="s">
        <v>838</v>
      </c>
      <c r="Q75" s="1419">
        <f ca="1">Q65+Q66</f>
        <v>427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-7.4090000000000007</v>
      </c>
    </row>
    <row r="80" spans="1:18">
      <c r="B80" s="340" t="s">
        <v>800</v>
      </c>
      <c r="C80" s="274">
        <f ca="1">ROUND(C75/C39,3)</f>
        <v>8.4090000000000007</v>
      </c>
    </row>
    <row r="81" spans="2:3">
      <c r="B81" s="270" t="s">
        <v>801</v>
      </c>
      <c r="C81" s="238"/>
    </row>
    <row r="82" spans="2:3">
      <c r="B82" s="273" t="s">
        <v>802</v>
      </c>
      <c r="C82" s="275">
        <f ca="1">1-C83</f>
        <v>-4.782</v>
      </c>
    </row>
    <row r="83" spans="2:3">
      <c r="B83" s="273" t="s">
        <v>803</v>
      </c>
      <c r="C83" s="274">
        <f ca="1">ROUND(C13/C40,3)</f>
        <v>5.782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53315</v>
      </c>
      <c r="C2" s="1871" t="s">
        <v>1651</v>
      </c>
      <c r="D2" s="1872" t="s">
        <v>1652</v>
      </c>
      <c r="E2" s="2605">
        <f>SUM(E6:E13)</f>
        <v>24235.660000000003</v>
      </c>
      <c r="F2" s="2704"/>
      <c r="G2" s="1488"/>
      <c r="H2" s="1488"/>
      <c r="I2" s="1488"/>
      <c r="J2" s="1488"/>
      <c r="K2" s="1488"/>
      <c r="L2" s="1488"/>
      <c r="M2" s="1488"/>
      <c r="N2" s="1488"/>
      <c r="O2" s="1488"/>
      <c r="P2" s="1488"/>
      <c r="Q2" s="1488"/>
      <c r="R2" s="1488"/>
      <c r="S2" s="1488"/>
    </row>
    <row r="3" spans="1:22" ht="15.75">
      <c r="A3" s="1869" t="s">
        <v>686</v>
      </c>
      <c r="B3" s="2599">
        <f ca="1">ROUND(B2*10000/E2,0)</f>
        <v>21999</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1" t="s">
        <v>1654</v>
      </c>
      <c r="C5" s="3762"/>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52293</v>
      </c>
      <c r="C6" s="1871" t="s">
        <v>1651</v>
      </c>
      <c r="D6" s="2706"/>
      <c r="E6" s="2604">
        <f>IF(OR(A6=0,F6="否"),0,'数据-取费表'!K6+'数据-取费表'!S6)</f>
        <v>20168.190000000002</v>
      </c>
      <c r="F6" s="1875" t="s">
        <v>1657</v>
      </c>
      <c r="G6" s="1488"/>
      <c r="H6" s="1488"/>
      <c r="I6" s="1488"/>
      <c r="J6" s="1488"/>
      <c r="K6" s="1488"/>
      <c r="L6" s="1488"/>
      <c r="M6" s="1488"/>
      <c r="N6" s="1488"/>
      <c r="O6" s="1488"/>
      <c r="P6" s="1488"/>
      <c r="Q6" s="1488"/>
      <c r="R6" s="1488"/>
      <c r="S6" s="1488"/>
    </row>
    <row r="7" spans="1:22">
      <c r="A7" s="2602" t="str">
        <f>'数据-取费表'!AN7</f>
        <v>收益法(地下1层)</v>
      </c>
      <c r="B7" s="2600">
        <f ca="1">IF(F7="是",'数据-取费表'!AO7,0)</f>
        <v>571</v>
      </c>
      <c r="C7" s="1871" t="s">
        <v>1651</v>
      </c>
      <c r="D7" s="2706"/>
      <c r="E7" s="2604">
        <f>IF(OR(A7=0,F7="否"),0,'数据-取费表'!K7+'数据-取费表'!S7)</f>
        <v>887.47</v>
      </c>
      <c r="F7" s="1875" t="s">
        <v>1657</v>
      </c>
      <c r="G7" s="1488"/>
      <c r="H7" s="1488"/>
      <c r="I7" s="1488"/>
      <c r="J7" s="1488"/>
      <c r="K7" s="1488"/>
      <c r="L7" s="1488"/>
      <c r="M7" s="1488"/>
      <c r="N7" s="1488"/>
      <c r="O7" s="1488"/>
      <c r="P7" s="1488"/>
      <c r="Q7" s="1488"/>
      <c r="R7" s="1488"/>
      <c r="S7" s="1488"/>
    </row>
    <row r="8" spans="1:22">
      <c r="A8" s="2602" t="str">
        <f>'数据-取费表'!AN8</f>
        <v>收益法(车库)</v>
      </c>
      <c r="B8" s="2600">
        <f ca="1">IF(F8="是",'数据-取费表'!AO8,0)</f>
        <v>451</v>
      </c>
      <c r="C8" s="1871" t="s">
        <v>1651</v>
      </c>
      <c r="D8" s="2706"/>
      <c r="E8" s="2604">
        <f>IF(OR(A8=0,F8="否"),0,'数据-取费表'!K8+'数据-取费表'!S8)</f>
        <v>3179.9999999999995</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24235.660000000003</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87" t="s">
        <v>1770</v>
      </c>
      <c r="D4" s="3699"/>
      <c r="E4" s="3700" t="s">
        <v>1771</v>
      </c>
      <c r="F4" s="3701"/>
      <c r="G4" s="3687" t="s">
        <v>1772</v>
      </c>
      <c r="H4" s="3699"/>
      <c r="I4" s="3687" t="s">
        <v>1773</v>
      </c>
      <c r="J4" s="3699"/>
      <c r="K4" s="559" t="s">
        <v>1774</v>
      </c>
      <c r="L4" s="2712"/>
      <c r="M4" s="2713"/>
      <c r="N4" s="2713"/>
      <c r="O4" s="2713"/>
      <c r="P4" s="3769" t="s">
        <v>1775</v>
      </c>
      <c r="Q4" s="3770"/>
      <c r="R4" s="3773" t="s">
        <v>1771</v>
      </c>
      <c r="S4" s="3774"/>
      <c r="T4" s="3773" t="s">
        <v>1772</v>
      </c>
      <c r="U4" s="3774"/>
      <c r="V4" s="3775" t="s">
        <v>1773</v>
      </c>
      <c r="W4" s="3775"/>
      <c r="X4" s="1957"/>
      <c r="Y4" s="3773" t="s">
        <v>1775</v>
      </c>
      <c r="Z4" s="3774"/>
      <c r="AA4" s="3777" t="s">
        <v>1771</v>
      </c>
      <c r="AB4" s="3777" t="s">
        <v>1772</v>
      </c>
      <c r="AC4" s="3766" t="s">
        <v>1773</v>
      </c>
    </row>
    <row r="5" spans="1:29" ht="15">
      <c r="A5" s="358"/>
      <c r="B5" s="359"/>
      <c r="C5" s="3716" t="s">
        <v>1673</v>
      </c>
      <c r="D5" s="3717"/>
      <c r="E5" s="3723" t="s">
        <v>1674</v>
      </c>
      <c r="F5" s="3724"/>
      <c r="G5" s="3716" t="s">
        <v>1675</v>
      </c>
      <c r="H5" s="3717"/>
      <c r="I5" s="3716" t="s">
        <v>1676</v>
      </c>
      <c r="J5" s="3717"/>
      <c r="K5" s="559"/>
      <c r="L5" s="2712"/>
      <c r="M5" s="2713"/>
      <c r="N5" s="2713"/>
      <c r="O5" s="2713"/>
      <c r="P5" s="3771"/>
      <c r="Q5" s="3705"/>
      <c r="R5" s="3710"/>
      <c r="S5" s="3711"/>
      <c r="T5" s="3710"/>
      <c r="U5" s="3711"/>
      <c r="V5" s="3695"/>
      <c r="W5" s="3695"/>
      <c r="X5" s="1354"/>
      <c r="Y5" s="3710"/>
      <c r="Z5" s="3711"/>
      <c r="AA5" s="3697"/>
      <c r="AB5" s="3697"/>
      <c r="AC5" s="3767"/>
    </row>
    <row r="6" spans="1:29" ht="15.75" thickBot="1">
      <c r="A6" s="360"/>
      <c r="B6" s="361"/>
      <c r="C6" s="3714" t="s">
        <v>1677</v>
      </c>
      <c r="D6" s="3715"/>
      <c r="E6" s="3721" t="s">
        <v>1677</v>
      </c>
      <c r="F6" s="3722"/>
      <c r="G6" s="3714" t="s">
        <v>1677</v>
      </c>
      <c r="H6" s="3715"/>
      <c r="I6" s="3714" t="s">
        <v>1677</v>
      </c>
      <c r="J6" s="3715"/>
      <c r="K6" s="559" t="s">
        <v>1678</v>
      </c>
      <c r="L6" s="2712"/>
      <c r="M6" s="2713"/>
      <c r="N6" s="2713"/>
      <c r="O6" s="2713"/>
      <c r="P6" s="3772"/>
      <c r="Q6" s="3707"/>
      <c r="R6" s="3710"/>
      <c r="S6" s="3711"/>
      <c r="T6" s="3712"/>
      <c r="U6" s="3713"/>
      <c r="V6" s="3695"/>
      <c r="W6" s="3695"/>
      <c r="X6" s="1354"/>
      <c r="Y6" s="3712"/>
      <c r="Z6" s="3713"/>
      <c r="AA6" s="3698"/>
      <c r="AB6" s="3698"/>
      <c r="AC6" s="3768"/>
    </row>
    <row r="7" spans="1:29" s="108" customFormat="1" ht="15.75" thickBot="1">
      <c r="A7" s="362" t="s">
        <v>1679</v>
      </c>
      <c r="B7" s="363"/>
      <c r="C7" s="364">
        <f>'数据-取费表'!B2</f>
        <v>45033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9"/>
      <c r="Q11" s="1342"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9"/>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9"/>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9"/>
      <c r="Q14" s="1342">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9" t="s">
        <v>1691</v>
      </c>
      <c r="Q15" s="1351" t="str">
        <f t="shared" si="6"/>
        <v>办公集聚程度</v>
      </c>
      <c r="R15" s="705" t="s">
        <v>14</v>
      </c>
      <c r="S15" s="706">
        <f t="shared" si="0"/>
        <v>100</v>
      </c>
      <c r="T15" s="705" t="s">
        <v>14</v>
      </c>
      <c r="U15" s="706">
        <f t="shared" si="1"/>
        <v>100</v>
      </c>
      <c r="V15" s="705" t="s">
        <v>14</v>
      </c>
      <c r="W15" s="706">
        <f t="shared" si="2"/>
        <v>100</v>
      </c>
      <c r="X15" s="1354"/>
      <c r="Y15" s="369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60"/>
      <c r="Q16" s="1351"/>
      <c r="R16" s="705"/>
      <c r="S16" s="706"/>
      <c r="T16" s="705"/>
      <c r="U16" s="706"/>
      <c r="V16" s="705"/>
      <c r="W16" s="706"/>
      <c r="X16" s="1354"/>
      <c r="Y16" s="369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0"/>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60"/>
      <c r="Q18" s="1351"/>
      <c r="R18" s="705"/>
      <c r="S18" s="706"/>
      <c r="T18" s="705"/>
      <c r="U18" s="706"/>
      <c r="V18" s="705"/>
      <c r="W18" s="706"/>
      <c r="X18" s="1354"/>
      <c r="Y18" s="369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0"/>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60"/>
      <c r="Q20" s="1351"/>
      <c r="R20" s="705"/>
      <c r="S20" s="706"/>
      <c r="T20" s="705"/>
      <c r="U20" s="706"/>
      <c r="V20" s="705"/>
      <c r="W20" s="706"/>
      <c r="X20" s="1354"/>
      <c r="Y20" s="369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0"/>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60"/>
      <c r="Q22" s="1351"/>
      <c r="R22" s="705"/>
      <c r="S22" s="706"/>
      <c r="T22" s="705"/>
      <c r="U22" s="706"/>
      <c r="V22" s="705"/>
      <c r="W22" s="706"/>
      <c r="X22" s="1354"/>
      <c r="Y22" s="369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0"/>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60"/>
      <c r="Q24" s="1351"/>
      <c r="R24" s="705"/>
      <c r="S24" s="706"/>
      <c r="T24" s="705"/>
      <c r="U24" s="706"/>
      <c r="V24" s="705"/>
      <c r="W24" s="706"/>
      <c r="X24" s="1354"/>
      <c r="Y24" s="369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60"/>
      <c r="Q25" s="1351" t="str">
        <f>B25</f>
        <v>毗邻道路的类型与等级</v>
      </c>
      <c r="R25" s="705" t="s">
        <v>14</v>
      </c>
      <c r="S25" s="706">
        <f>F25</f>
        <v>100</v>
      </c>
      <c r="T25" s="705" t="s">
        <v>14</v>
      </c>
      <c r="U25" s="706">
        <f>H25</f>
        <v>100</v>
      </c>
      <c r="V25" s="705" t="s">
        <v>14</v>
      </c>
      <c r="W25" s="706">
        <f>J25</f>
        <v>100</v>
      </c>
      <c r="X25" s="1354"/>
      <c r="Y25" s="369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60"/>
      <c r="Q26" s="1351"/>
      <c r="R26" s="705"/>
      <c r="S26" s="706"/>
      <c r="T26" s="705"/>
      <c r="U26" s="706"/>
      <c r="V26" s="705"/>
      <c r="W26" s="706"/>
      <c r="X26" s="1354"/>
      <c r="Y26" s="369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0"/>
      <c r="Q27" s="1351" t="str">
        <f t="shared" ref="Q27:Q47" si="11">B27</f>
        <v>楼层</v>
      </c>
      <c r="R27" s="705" t="s">
        <v>14</v>
      </c>
      <c r="S27" s="706">
        <f>F27</f>
        <v>100</v>
      </c>
      <c r="T27" s="705" t="s">
        <v>14</v>
      </c>
      <c r="U27" s="706">
        <f>H27</f>
        <v>100</v>
      </c>
      <c r="V27" s="705" t="s">
        <v>14</v>
      </c>
      <c r="W27" s="706">
        <f>J27</f>
        <v>100</v>
      </c>
      <c r="X27" s="1354"/>
      <c r="Y27" s="369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60"/>
      <c r="Q28" s="1342" t="str">
        <f t="shared" si="11"/>
        <v>朝向</v>
      </c>
      <c r="R28" s="701" t="s">
        <v>14</v>
      </c>
      <c r="S28" s="702">
        <f>F28</f>
        <v>100</v>
      </c>
      <c r="T28" s="701" t="s">
        <v>14</v>
      </c>
      <c r="U28" s="702">
        <f>H28</f>
        <v>100</v>
      </c>
      <c r="V28" s="701" t="s">
        <v>14</v>
      </c>
      <c r="W28" s="702">
        <f>J28</f>
        <v>100</v>
      </c>
      <c r="X28" s="703"/>
      <c r="Y28" s="369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60"/>
      <c r="Q29" s="1351">
        <f t="shared" si="11"/>
        <v>111</v>
      </c>
      <c r="R29" s="705" t="s">
        <v>14</v>
      </c>
      <c r="S29" s="706">
        <f t="shared" ref="S29:S47" si="12">F29</f>
        <v>100</v>
      </c>
      <c r="T29" s="705" t="s">
        <v>14</v>
      </c>
      <c r="U29" s="706">
        <f t="shared" ref="U29:U47" si="13">H29</f>
        <v>100</v>
      </c>
      <c r="V29" s="705" t="s">
        <v>14</v>
      </c>
      <c r="W29" s="706">
        <f t="shared" ref="W29:W47" si="14">J29</f>
        <v>100</v>
      </c>
      <c r="X29" s="1354"/>
      <c r="Y29" s="369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60"/>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60"/>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60"/>
      <c r="Q32" s="1351">
        <f t="shared" si="11"/>
        <v>111</v>
      </c>
      <c r="R32" s="705" t="s">
        <v>14</v>
      </c>
      <c r="S32" s="706">
        <f t="shared" si="12"/>
        <v>100</v>
      </c>
      <c r="T32" s="705" t="s">
        <v>14</v>
      </c>
      <c r="U32" s="706">
        <f t="shared" si="13"/>
        <v>100</v>
      </c>
      <c r="V32" s="705" t="s">
        <v>14</v>
      </c>
      <c r="W32" s="706">
        <f t="shared" si="14"/>
        <v>100</v>
      </c>
      <c r="X32" s="1354"/>
      <c r="Y32" s="369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55" t="s">
        <v>1696</v>
      </c>
      <c r="Q33" s="1351" t="str">
        <f t="shared" si="11"/>
        <v>建筑类型</v>
      </c>
      <c r="R33" s="705" t="s">
        <v>14</v>
      </c>
      <c r="S33" s="706">
        <f t="shared" si="12"/>
        <v>100</v>
      </c>
      <c r="T33" s="705" t="s">
        <v>14</v>
      </c>
      <c r="U33" s="706">
        <f t="shared" si="13"/>
        <v>100</v>
      </c>
      <c r="V33" s="705" t="s">
        <v>14</v>
      </c>
      <c r="W33" s="706">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6"/>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6"/>
      <c r="Q35" s="1351" t="str">
        <f t="shared" si="11"/>
        <v>建筑结构</v>
      </c>
      <c r="R35" s="705" t="s">
        <v>14</v>
      </c>
      <c r="S35" s="706">
        <f t="shared" si="12"/>
        <v>100</v>
      </c>
      <c r="T35" s="705" t="s">
        <v>14</v>
      </c>
      <c r="U35" s="706">
        <f t="shared" si="13"/>
        <v>100</v>
      </c>
      <c r="V35" s="705" t="s">
        <v>14</v>
      </c>
      <c r="W35" s="706">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6"/>
      <c r="Q36" s="1351" t="str">
        <f t="shared" si="11"/>
        <v>公共部分装修</v>
      </c>
      <c r="R36" s="705" t="s">
        <v>14</v>
      </c>
      <c r="S36" s="706">
        <f t="shared" si="12"/>
        <v>100</v>
      </c>
      <c r="T36" s="705" t="s">
        <v>14</v>
      </c>
      <c r="U36" s="706">
        <f t="shared" si="13"/>
        <v>100</v>
      </c>
      <c r="V36" s="705" t="s">
        <v>14</v>
      </c>
      <c r="W36" s="706">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6"/>
      <c r="Q37" s="1351" t="str">
        <f t="shared" si="11"/>
        <v>成新度</v>
      </c>
      <c r="R37" s="705" t="s">
        <v>14</v>
      </c>
      <c r="S37" s="706" t="e">
        <f t="shared" si="12"/>
        <v>#N/A</v>
      </c>
      <c r="T37" s="705" t="s">
        <v>14</v>
      </c>
      <c r="U37" s="706" t="e">
        <f t="shared" si="13"/>
        <v>#N/A</v>
      </c>
      <c r="V37" s="705" t="s">
        <v>14</v>
      </c>
      <c r="W37" s="706"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6"/>
      <c r="Q38" s="1342"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6" t="s">
        <v>1696</v>
      </c>
      <c r="Q39" s="1351" t="str">
        <f t="shared" si="11"/>
        <v>物业管理</v>
      </c>
      <c r="R39" s="705" t="s">
        <v>14</v>
      </c>
      <c r="S39" s="706">
        <f t="shared" si="12"/>
        <v>100</v>
      </c>
      <c r="T39" s="705" t="s">
        <v>14</v>
      </c>
      <c r="U39" s="706">
        <f t="shared" si="13"/>
        <v>100</v>
      </c>
      <c r="V39" s="705" t="s">
        <v>14</v>
      </c>
      <c r="W39" s="706">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6"/>
      <c r="Q40" s="1351" t="str">
        <f t="shared" si="11"/>
        <v>市政基础设施</v>
      </c>
      <c r="R40" s="705" t="s">
        <v>14</v>
      </c>
      <c r="S40" s="706">
        <f t="shared" si="12"/>
        <v>100</v>
      </c>
      <c r="T40" s="705" t="s">
        <v>14</v>
      </c>
      <c r="U40" s="706">
        <f t="shared" si="13"/>
        <v>100</v>
      </c>
      <c r="V40" s="705" t="s">
        <v>14</v>
      </c>
      <c r="W40" s="706">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6"/>
      <c r="Q41" s="1351" t="str">
        <f t="shared" si="11"/>
        <v>层高</v>
      </c>
      <c r="R41" s="705" t="s">
        <v>14</v>
      </c>
      <c r="S41" s="706">
        <f t="shared" si="12"/>
        <v>100</v>
      </c>
      <c r="T41" s="705" t="s">
        <v>14</v>
      </c>
      <c r="U41" s="706">
        <f t="shared" si="13"/>
        <v>100</v>
      </c>
      <c r="V41" s="705" t="s">
        <v>14</v>
      </c>
      <c r="W41" s="706">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6"/>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6"/>
      <c r="Q43" s="1351" t="str">
        <f t="shared" si="11"/>
        <v>内部装修</v>
      </c>
      <c r="R43" s="705" t="s">
        <v>14</v>
      </c>
      <c r="S43" s="706">
        <f t="shared" si="12"/>
        <v>100</v>
      </c>
      <c r="T43" s="705" t="s">
        <v>14</v>
      </c>
      <c r="U43" s="706">
        <f t="shared" si="13"/>
        <v>100</v>
      </c>
      <c r="V43" s="705" t="s">
        <v>14</v>
      </c>
      <c r="W43" s="706">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56"/>
      <c r="Q44" s="1351" t="str">
        <f t="shared" si="11"/>
        <v>内部装修维护情况</v>
      </c>
      <c r="R44" s="705" t="s">
        <v>14</v>
      </c>
      <c r="S44" s="706">
        <f t="shared" si="12"/>
        <v>100</v>
      </c>
      <c r="T44" s="705" t="s">
        <v>14</v>
      </c>
      <c r="U44" s="706">
        <f t="shared" si="13"/>
        <v>100</v>
      </c>
      <c r="V44" s="705" t="s">
        <v>14</v>
      </c>
      <c r="W44" s="706">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6"/>
      <c r="Q45" s="1342">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6"/>
      <c r="Q46" s="1351">
        <f t="shared" si="11"/>
        <v>111</v>
      </c>
      <c r="R46" s="705" t="s">
        <v>14</v>
      </c>
      <c r="S46" s="706">
        <f t="shared" si="12"/>
        <v>100</v>
      </c>
      <c r="T46" s="705" t="s">
        <v>14</v>
      </c>
      <c r="U46" s="706">
        <f t="shared" si="13"/>
        <v>100</v>
      </c>
      <c r="V46" s="705" t="s">
        <v>14</v>
      </c>
      <c r="W46" s="706">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57"/>
      <c r="Q47" s="1351">
        <f t="shared" si="11"/>
        <v>111</v>
      </c>
      <c r="R47" s="705" t="s">
        <v>14</v>
      </c>
      <c r="S47" s="706">
        <f t="shared" si="12"/>
        <v>100</v>
      </c>
      <c r="T47" s="705" t="s">
        <v>14</v>
      </c>
      <c r="U47" s="706">
        <f t="shared" si="13"/>
        <v>100</v>
      </c>
      <c r="V47" s="705" t="s">
        <v>14</v>
      </c>
      <c r="W47" s="706">
        <f t="shared" si="14"/>
        <v>100</v>
      </c>
      <c r="X47" s="1354"/>
      <c r="Y47" s="3758"/>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1"/>
      <c r="M48" s="2713"/>
      <c r="N48" s="2713"/>
      <c r="O48" s="2713"/>
      <c r="P48" s="3689" t="str">
        <f>A48</f>
        <v>成交单价（元/平方米）</v>
      </c>
      <c r="Q48" s="3690"/>
      <c r="R48" s="3754">
        <f>E48</f>
        <v>0</v>
      </c>
      <c r="S48" s="3754"/>
      <c r="T48" s="3754">
        <f>G48</f>
        <v>0</v>
      </c>
      <c r="U48" s="3754"/>
      <c r="V48" s="3754">
        <f>I48</f>
        <v>0</v>
      </c>
      <c r="W48" s="3754"/>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1"/>
      <c r="M49" s="2713"/>
      <c r="N49" s="2713"/>
      <c r="O49" s="2713"/>
      <c r="P49" s="3689" t="str">
        <f>A49</f>
        <v>比较价值（元/平方米）</v>
      </c>
      <c r="Q49" s="3690"/>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24235.660000000003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99"/>
      <c r="E4" s="3700" t="s">
        <v>1771</v>
      </c>
      <c r="F4" s="3701"/>
      <c r="G4" s="3687" t="s">
        <v>1772</v>
      </c>
      <c r="H4" s="3699"/>
      <c r="I4" s="3687" t="s">
        <v>1773</v>
      </c>
      <c r="J4" s="3699"/>
      <c r="K4" s="559" t="s">
        <v>1774</v>
      </c>
      <c r="L4" s="913"/>
      <c r="M4" s="914"/>
      <c r="N4" s="914"/>
      <c r="O4" s="914"/>
      <c r="P4" s="3702" t="s">
        <v>1775</v>
      </c>
      <c r="Q4" s="3703"/>
      <c r="R4" s="3708" t="s">
        <v>1771</v>
      </c>
      <c r="S4" s="3709"/>
      <c r="T4" s="3708" t="s">
        <v>1772</v>
      </c>
      <c r="U4" s="3709"/>
      <c r="V4" s="3695" t="s">
        <v>1773</v>
      </c>
      <c r="W4" s="3695"/>
      <c r="X4" s="1354"/>
      <c r="Y4" s="3708" t="s">
        <v>1775</v>
      </c>
      <c r="Z4" s="3709"/>
      <c r="AA4" s="3696" t="s">
        <v>1771</v>
      </c>
      <c r="AB4" s="3697" t="s">
        <v>1772</v>
      </c>
      <c r="AC4" s="3696" t="s">
        <v>1773</v>
      </c>
    </row>
    <row r="5" spans="1:29" ht="15">
      <c r="A5" s="358"/>
      <c r="B5" s="359"/>
      <c r="C5" s="3716" t="s">
        <v>1673</v>
      </c>
      <c r="D5" s="3717"/>
      <c r="E5" s="3723" t="s">
        <v>1674</v>
      </c>
      <c r="F5" s="3724"/>
      <c r="G5" s="3716" t="s">
        <v>1675</v>
      </c>
      <c r="H5" s="3717"/>
      <c r="I5" s="3716" t="s">
        <v>1676</v>
      </c>
      <c r="J5" s="3717"/>
      <c r="K5" s="559"/>
      <c r="L5" s="913"/>
      <c r="M5" s="914"/>
      <c r="N5" s="914"/>
      <c r="O5" s="914"/>
      <c r="P5" s="3704"/>
      <c r="Q5" s="3705"/>
      <c r="R5" s="3710"/>
      <c r="S5" s="3711"/>
      <c r="T5" s="3710"/>
      <c r="U5" s="3711"/>
      <c r="V5" s="3695"/>
      <c r="W5" s="3695"/>
      <c r="X5" s="1354"/>
      <c r="Y5" s="3710"/>
      <c r="Z5" s="3711"/>
      <c r="AA5" s="3697"/>
      <c r="AB5" s="3697"/>
      <c r="AC5" s="3697"/>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6"/>
      <c r="Q6" s="3707"/>
      <c r="R6" s="3710"/>
      <c r="S6" s="3711"/>
      <c r="T6" s="3712"/>
      <c r="U6" s="3713"/>
      <c r="V6" s="3695"/>
      <c r="W6" s="3695"/>
      <c r="X6" s="1354"/>
      <c r="Y6" s="3712"/>
      <c r="Z6" s="3713"/>
      <c r="AA6" s="3698"/>
      <c r="AB6" s="3698"/>
      <c r="AC6" s="3698"/>
    </row>
    <row r="7" spans="1:29" s="108" customFormat="1" ht="15.75" thickBot="1">
      <c r="A7" s="362" t="s">
        <v>1679</v>
      </c>
      <c r="B7" s="363"/>
      <c r="C7" s="364">
        <f>'数据-取费表'!B2</f>
        <v>45033</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0"/>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2"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0"/>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0"/>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0"/>
      <c r="Q14" s="1342">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2"/>
      <c r="Q16" s="1351"/>
      <c r="R16" s="705"/>
      <c r="S16" s="706"/>
      <c r="T16" s="705"/>
      <c r="U16" s="706"/>
      <c r="V16" s="705"/>
      <c r="W16" s="706"/>
      <c r="X16" s="1354"/>
      <c r="Y16" s="369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2"/>
      <c r="Q18" s="1351"/>
      <c r="R18" s="705"/>
      <c r="S18" s="706"/>
      <c r="T18" s="705"/>
      <c r="U18" s="706"/>
      <c r="V18" s="705"/>
      <c r="W18" s="706"/>
      <c r="X18" s="1354"/>
      <c r="Y18" s="369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2"/>
      <c r="Q20" s="1351"/>
      <c r="R20" s="705"/>
      <c r="S20" s="706"/>
      <c r="T20" s="705"/>
      <c r="U20" s="706"/>
      <c r="V20" s="705"/>
      <c r="W20" s="706"/>
      <c r="X20" s="1354"/>
      <c r="Y20" s="369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2"/>
      <c r="Q22" s="1351"/>
      <c r="R22" s="705"/>
      <c r="S22" s="706"/>
      <c r="T22" s="705"/>
      <c r="U22" s="706"/>
      <c r="V22" s="705"/>
      <c r="W22" s="706"/>
      <c r="X22" s="1354"/>
      <c r="Y22" s="369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2"/>
      <c r="Q24" s="1351"/>
      <c r="R24" s="705"/>
      <c r="S24" s="706"/>
      <c r="T24" s="705"/>
      <c r="U24" s="706"/>
      <c r="V24" s="705"/>
      <c r="W24" s="706"/>
      <c r="X24" s="1354"/>
      <c r="Y24" s="369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1">
        <f>B25</f>
        <v>111</v>
      </c>
      <c r="R25" s="705" t="s">
        <v>14</v>
      </c>
      <c r="S25" s="706">
        <f>F25</f>
        <v>100</v>
      </c>
      <c r="T25" s="705" t="s">
        <v>14</v>
      </c>
      <c r="U25" s="706">
        <f>H25</f>
        <v>100</v>
      </c>
      <c r="V25" s="705" t="s">
        <v>14</v>
      </c>
      <c r="W25" s="706">
        <f>J25</f>
        <v>100</v>
      </c>
      <c r="X25" s="1354"/>
      <c r="Y25" s="369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1">
        <f t="shared" ref="Q26:Q40" si="11">B26</f>
        <v>111</v>
      </c>
      <c r="R26" s="705" t="s">
        <v>14</v>
      </c>
      <c r="S26" s="706">
        <f>F26</f>
        <v>100</v>
      </c>
      <c r="T26" s="705" t="s">
        <v>14</v>
      </c>
      <c r="U26" s="706">
        <f>H26</f>
        <v>100</v>
      </c>
      <c r="V26" s="705" t="s">
        <v>14</v>
      </c>
      <c r="W26" s="706">
        <f>J26</f>
        <v>100</v>
      </c>
      <c r="X26" s="1354"/>
      <c r="Y26" s="369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2">
        <f t="shared" si="11"/>
        <v>111</v>
      </c>
      <c r="R27" s="701" t="s">
        <v>14</v>
      </c>
      <c r="S27" s="702">
        <f>F27</f>
        <v>100</v>
      </c>
      <c r="T27" s="701" t="s">
        <v>14</v>
      </c>
      <c r="U27" s="702">
        <f>H27</f>
        <v>100</v>
      </c>
      <c r="V27" s="701" t="s">
        <v>14</v>
      </c>
      <c r="W27" s="702">
        <f>J27</f>
        <v>100</v>
      </c>
      <c r="X27" s="703"/>
      <c r="Y27" s="369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1">
        <f t="shared" si="11"/>
        <v>111</v>
      </c>
      <c r="R28" s="705" t="s">
        <v>14</v>
      </c>
      <c r="S28" s="706">
        <f t="shared" ref="S28:S40" si="12">F28</f>
        <v>100</v>
      </c>
      <c r="T28" s="705" t="s">
        <v>14</v>
      </c>
      <c r="U28" s="706">
        <f t="shared" ref="U28:U40" si="13">H28</f>
        <v>100</v>
      </c>
      <c r="V28" s="705" t="s">
        <v>14</v>
      </c>
      <c r="W28" s="706">
        <f t="shared" ref="W28:W40" si="14">J28</f>
        <v>100</v>
      </c>
      <c r="X28" s="1354"/>
      <c r="Y28" s="369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93" t="s">
        <v>1696</v>
      </c>
      <c r="Q29" s="1351" t="str">
        <f t="shared" si="11"/>
        <v>建筑类型</v>
      </c>
      <c r="R29" s="705" t="s">
        <v>14</v>
      </c>
      <c r="S29" s="706">
        <f t="shared" si="12"/>
        <v>100</v>
      </c>
      <c r="T29" s="705" t="s">
        <v>14</v>
      </c>
      <c r="U29" s="706">
        <f t="shared" si="13"/>
        <v>100</v>
      </c>
      <c r="V29" s="705" t="s">
        <v>14</v>
      </c>
      <c r="W29" s="706">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1" t="str">
        <f t="shared" si="11"/>
        <v>建筑结构</v>
      </c>
      <c r="R31" s="705" t="s">
        <v>14</v>
      </c>
      <c r="S31" s="706">
        <f t="shared" si="12"/>
        <v>100</v>
      </c>
      <c r="T31" s="705" t="s">
        <v>14</v>
      </c>
      <c r="U31" s="706">
        <f t="shared" si="13"/>
        <v>100</v>
      </c>
      <c r="V31" s="705" t="s">
        <v>14</v>
      </c>
      <c r="W31" s="706">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1" t="str">
        <f t="shared" si="11"/>
        <v>公共部分装修</v>
      </c>
      <c r="R32" s="705" t="s">
        <v>14</v>
      </c>
      <c r="S32" s="706">
        <f t="shared" si="12"/>
        <v>100</v>
      </c>
      <c r="T32" s="705" t="s">
        <v>14</v>
      </c>
      <c r="U32" s="706">
        <f t="shared" si="13"/>
        <v>100</v>
      </c>
      <c r="V32" s="705" t="s">
        <v>14</v>
      </c>
      <c r="W32" s="706">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1" t="str">
        <f t="shared" si="11"/>
        <v>成新度</v>
      </c>
      <c r="R33" s="705" t="s">
        <v>14</v>
      </c>
      <c r="S33" s="706" t="e">
        <f t="shared" si="12"/>
        <v>#N/A</v>
      </c>
      <c r="T33" s="705" t="s">
        <v>14</v>
      </c>
      <c r="U33" s="706" t="e">
        <f t="shared" si="13"/>
        <v>#N/A</v>
      </c>
      <c r="V33" s="705" t="s">
        <v>14</v>
      </c>
      <c r="W33" s="706"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2"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1" t="str">
        <f t="shared" si="11"/>
        <v>市政基础设施</v>
      </c>
      <c r="R35" s="705" t="s">
        <v>14</v>
      </c>
      <c r="S35" s="706">
        <f t="shared" si="12"/>
        <v>100</v>
      </c>
      <c r="T35" s="705" t="s">
        <v>14</v>
      </c>
      <c r="U35" s="706">
        <f t="shared" si="13"/>
        <v>100</v>
      </c>
      <c r="V35" s="705" t="s">
        <v>14</v>
      </c>
      <c r="W35" s="706">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1" t="str">
        <f t="shared" si="11"/>
        <v>内部装修</v>
      </c>
      <c r="R36" s="705" t="s">
        <v>14</v>
      </c>
      <c r="S36" s="706">
        <f t="shared" si="12"/>
        <v>100</v>
      </c>
      <c r="T36" s="705" t="s">
        <v>14</v>
      </c>
      <c r="U36" s="706">
        <f t="shared" si="13"/>
        <v>100</v>
      </c>
      <c r="V36" s="705" t="s">
        <v>14</v>
      </c>
      <c r="W36" s="706">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1" t="str">
        <f t="shared" si="11"/>
        <v>内部装修状况</v>
      </c>
      <c r="R37" s="705" t="s">
        <v>14</v>
      </c>
      <c r="S37" s="706">
        <f t="shared" si="12"/>
        <v>100</v>
      </c>
      <c r="T37" s="705" t="s">
        <v>14</v>
      </c>
      <c r="U37" s="706">
        <f t="shared" si="13"/>
        <v>100</v>
      </c>
      <c r="V37" s="705" t="s">
        <v>14</v>
      </c>
      <c r="W37" s="706">
        <f t="shared" si="14"/>
        <v>100</v>
      </c>
      <c r="X37" s="1354"/>
      <c r="Y37" s="369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1">
        <f t="shared" si="11"/>
        <v>111</v>
      </c>
      <c r="R39" s="705" t="s">
        <v>14</v>
      </c>
      <c r="S39" s="706">
        <f t="shared" si="12"/>
        <v>100</v>
      </c>
      <c r="T39" s="705" t="s">
        <v>14</v>
      </c>
      <c r="U39" s="706">
        <f t="shared" si="13"/>
        <v>100</v>
      </c>
      <c r="V39" s="705" t="s">
        <v>14</v>
      </c>
      <c r="W39" s="706">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1">
        <f t="shared" si="11"/>
        <v>111</v>
      </c>
      <c r="R40" s="705" t="s">
        <v>14</v>
      </c>
      <c r="S40" s="706">
        <f t="shared" si="12"/>
        <v>100</v>
      </c>
      <c r="T40" s="705" t="s">
        <v>14</v>
      </c>
      <c r="U40" s="706">
        <f t="shared" si="13"/>
        <v>100</v>
      </c>
      <c r="V40" s="705" t="s">
        <v>14</v>
      </c>
      <c r="W40" s="706">
        <f t="shared" si="14"/>
        <v>100</v>
      </c>
      <c r="X40" s="1354"/>
      <c r="Y40" s="375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754">
        <f>E41</f>
        <v>0</v>
      </c>
      <c r="S41" s="3754"/>
      <c r="T41" s="3754">
        <f>G41</f>
        <v>0</v>
      </c>
      <c r="U41" s="3754"/>
      <c r="V41" s="3754">
        <f>I41</f>
        <v>0</v>
      </c>
      <c r="W41" s="375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0" t="str">
        <f>A42</f>
        <v>比较价值（元/平方米）</v>
      </c>
      <c r="Q42" s="3690"/>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87" t="s">
        <v>1770</v>
      </c>
      <c r="D4" s="3699"/>
      <c r="E4" s="3700" t="s">
        <v>1771</v>
      </c>
      <c r="F4" s="3701"/>
      <c r="G4" s="3687" t="s">
        <v>1772</v>
      </c>
      <c r="H4" s="3699"/>
      <c r="I4" s="3687" t="s">
        <v>1773</v>
      </c>
      <c r="J4" s="3699"/>
      <c r="K4" s="559" t="s">
        <v>1774</v>
      </c>
      <c r="L4" s="2712"/>
      <c r="M4" s="2713"/>
      <c r="N4" s="2713"/>
      <c r="O4" s="2713"/>
      <c r="P4" s="3702" t="s">
        <v>1775</v>
      </c>
      <c r="Q4" s="3703"/>
      <c r="R4" s="3708" t="s">
        <v>1771</v>
      </c>
      <c r="S4" s="3709"/>
      <c r="T4" s="3708" t="s">
        <v>1772</v>
      </c>
      <c r="U4" s="3709"/>
      <c r="V4" s="3695" t="s">
        <v>1773</v>
      </c>
      <c r="W4" s="3695"/>
      <c r="X4" s="1354"/>
      <c r="Y4" s="3708" t="s">
        <v>1775</v>
      </c>
      <c r="Z4" s="3709"/>
      <c r="AA4" s="3696" t="s">
        <v>1771</v>
      </c>
      <c r="AB4" s="3697" t="s">
        <v>1772</v>
      </c>
      <c r="AC4" s="3696" t="s">
        <v>1773</v>
      </c>
    </row>
    <row r="5" spans="1:29" ht="15">
      <c r="A5" s="358"/>
      <c r="B5" s="359"/>
      <c r="C5" s="3716" t="s">
        <v>1673</v>
      </c>
      <c r="D5" s="3717"/>
      <c r="E5" s="3723" t="s">
        <v>1674</v>
      </c>
      <c r="F5" s="3724"/>
      <c r="G5" s="3716" t="s">
        <v>1675</v>
      </c>
      <c r="H5" s="3717"/>
      <c r="I5" s="3716" t="s">
        <v>1676</v>
      </c>
      <c r="J5" s="3717"/>
      <c r="K5" s="559"/>
      <c r="L5" s="2712"/>
      <c r="M5" s="2713"/>
      <c r="N5" s="2713"/>
      <c r="O5" s="2713"/>
      <c r="P5" s="3704"/>
      <c r="Q5" s="3705"/>
      <c r="R5" s="3710"/>
      <c r="S5" s="3711"/>
      <c r="T5" s="3710"/>
      <c r="U5" s="3711"/>
      <c r="V5" s="3695"/>
      <c r="W5" s="3695"/>
      <c r="X5" s="1354"/>
      <c r="Y5" s="3710"/>
      <c r="Z5" s="3711"/>
      <c r="AA5" s="3697"/>
      <c r="AB5" s="3697"/>
      <c r="AC5" s="3697"/>
    </row>
    <row r="6" spans="1:29" ht="15.75" thickBot="1">
      <c r="A6" s="360"/>
      <c r="B6" s="361"/>
      <c r="C6" s="3714" t="s">
        <v>1677</v>
      </c>
      <c r="D6" s="3715"/>
      <c r="E6" s="3721" t="s">
        <v>1677</v>
      </c>
      <c r="F6" s="3722"/>
      <c r="G6" s="3714" t="s">
        <v>1677</v>
      </c>
      <c r="H6" s="3715"/>
      <c r="I6" s="3714" t="s">
        <v>1677</v>
      </c>
      <c r="J6" s="3715"/>
      <c r="K6" s="559" t="s">
        <v>1678</v>
      </c>
      <c r="L6" s="2712"/>
      <c r="M6" s="2713"/>
      <c r="N6" s="2713"/>
      <c r="O6" s="2713"/>
      <c r="P6" s="3706"/>
      <c r="Q6" s="3707"/>
      <c r="R6" s="3710"/>
      <c r="S6" s="3711"/>
      <c r="T6" s="3712"/>
      <c r="U6" s="3713"/>
      <c r="V6" s="3695"/>
      <c r="W6" s="3695"/>
      <c r="X6" s="1354"/>
      <c r="Y6" s="3712"/>
      <c r="Z6" s="3713"/>
      <c r="AA6" s="3698"/>
      <c r="AB6" s="3698"/>
      <c r="AC6" s="3698"/>
    </row>
    <row r="7" spans="1:29" s="108" customFormat="1" ht="15.75" thickBot="1">
      <c r="A7" s="362" t="s">
        <v>1679</v>
      </c>
      <c r="B7" s="363"/>
      <c r="C7" s="364">
        <f>'数据-取费表'!B2</f>
        <v>45033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0" t="s">
        <v>1686</v>
      </c>
      <c r="Q9" s="1342" t="str">
        <f t="shared" ref="Q9:Q14" si="6">B9</f>
        <v>用途</v>
      </c>
      <c r="R9" s="701" t="s">
        <v>14</v>
      </c>
      <c r="S9" s="702">
        <f t="shared" si="0"/>
        <v>100</v>
      </c>
      <c r="T9" s="701" t="s">
        <v>14</v>
      </c>
      <c r="U9" s="702">
        <f t="shared" si="1"/>
        <v>100</v>
      </c>
      <c r="V9" s="701" t="s">
        <v>14</v>
      </c>
      <c r="W9" s="702">
        <f t="shared" si="2"/>
        <v>100</v>
      </c>
      <c r="X9" s="703"/>
      <c r="Y9" s="358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0"/>
      <c r="Q11" s="1342">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92"/>
      <c r="Q15" s="1351"/>
      <c r="R15" s="705"/>
      <c r="S15" s="706"/>
      <c r="T15" s="705"/>
      <c r="U15" s="706"/>
      <c r="V15" s="705"/>
      <c r="W15" s="706"/>
      <c r="X15" s="1354"/>
      <c r="Y15" s="369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92"/>
      <c r="Q17" s="1351"/>
      <c r="R17" s="705"/>
      <c r="S17" s="706"/>
      <c r="T17" s="705"/>
      <c r="U17" s="706"/>
      <c r="V17" s="705"/>
      <c r="W17" s="706"/>
      <c r="X17" s="1354"/>
      <c r="Y17" s="369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92"/>
      <c r="Q19" s="1351"/>
      <c r="R19" s="705"/>
      <c r="S19" s="706"/>
      <c r="T19" s="705"/>
      <c r="U19" s="706"/>
      <c r="V19" s="705"/>
      <c r="W19" s="706"/>
      <c r="X19" s="1354"/>
      <c r="Y19" s="369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92"/>
      <c r="Q21" s="1351"/>
      <c r="R21" s="705"/>
      <c r="S21" s="706"/>
      <c r="T21" s="705"/>
      <c r="U21" s="706"/>
      <c r="V21" s="705"/>
      <c r="W21" s="706"/>
      <c r="X21" s="1354"/>
      <c r="Y21" s="369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2"/>
      <c r="Q24" s="1351">
        <f t="shared" ref="Q24:Q36"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9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4"/>
      <c r="Q28" s="1351" t="str">
        <f t="shared" si="11"/>
        <v>公共部分装修</v>
      </c>
      <c r="R28" s="705" t="s">
        <v>14</v>
      </c>
      <c r="S28" s="706">
        <f t="shared" si="12"/>
        <v>100</v>
      </c>
      <c r="T28" s="705" t="s">
        <v>14</v>
      </c>
      <c r="U28" s="706">
        <f t="shared" si="13"/>
        <v>100</v>
      </c>
      <c r="V28" s="705" t="s">
        <v>14</v>
      </c>
      <c r="W28" s="706">
        <f t="shared" si="14"/>
        <v>100</v>
      </c>
      <c r="X28" s="1354"/>
      <c r="Y28" s="369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4"/>
      <c r="Q29" s="1351" t="str">
        <f t="shared" si="11"/>
        <v>成新率</v>
      </c>
      <c r="R29" s="705" t="s">
        <v>14</v>
      </c>
      <c r="S29" s="706" t="e">
        <f t="shared" si="12"/>
        <v>#N/A</v>
      </c>
      <c r="T29" s="705" t="s">
        <v>14</v>
      </c>
      <c r="U29" s="706" t="e">
        <f t="shared" si="13"/>
        <v>#N/A</v>
      </c>
      <c r="V29" s="705" t="s">
        <v>14</v>
      </c>
      <c r="W29" s="706" t="e">
        <f t="shared" si="14"/>
        <v>#N/A</v>
      </c>
      <c r="X29" s="1354"/>
      <c r="Y29" s="369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4"/>
      <c r="Q30" s="1351" t="str">
        <f t="shared" si="11"/>
        <v>物业等级</v>
      </c>
      <c r="R30" s="705" t="s">
        <v>14</v>
      </c>
      <c r="S30" s="706">
        <f t="shared" si="12"/>
        <v>100</v>
      </c>
      <c r="T30" s="705" t="s">
        <v>14</v>
      </c>
      <c r="U30" s="706">
        <f t="shared" si="13"/>
        <v>100</v>
      </c>
      <c r="V30" s="705" t="s">
        <v>14</v>
      </c>
      <c r="W30" s="706">
        <f t="shared" si="14"/>
        <v>100</v>
      </c>
      <c r="X30" s="1354"/>
      <c r="Y30" s="369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4"/>
      <c r="Q31" s="1342"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4" t="s">
        <v>1696</v>
      </c>
      <c r="Q32" s="1351" t="str">
        <f t="shared" si="11"/>
        <v>车位类型</v>
      </c>
      <c r="R32" s="705" t="s">
        <v>14</v>
      </c>
      <c r="S32" s="706">
        <f t="shared" si="12"/>
        <v>100</v>
      </c>
      <c r="T32" s="705" t="s">
        <v>14</v>
      </c>
      <c r="U32" s="706">
        <f t="shared" si="13"/>
        <v>100</v>
      </c>
      <c r="V32" s="705" t="s">
        <v>14</v>
      </c>
      <c r="W32" s="706">
        <f t="shared" si="14"/>
        <v>100</v>
      </c>
      <c r="X32" s="1354"/>
      <c r="Y32" s="369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4"/>
      <c r="Q33" s="1351" t="str">
        <f t="shared" si="11"/>
        <v>是否直接入户</v>
      </c>
      <c r="R33" s="705" t="s">
        <v>14</v>
      </c>
      <c r="S33" s="706">
        <f t="shared" si="12"/>
        <v>100</v>
      </c>
      <c r="T33" s="705" t="s">
        <v>14</v>
      </c>
      <c r="U33" s="706">
        <f t="shared" si="13"/>
        <v>100</v>
      </c>
      <c r="V33" s="705" t="s">
        <v>14</v>
      </c>
      <c r="W33" s="706">
        <f t="shared" si="14"/>
        <v>100</v>
      </c>
      <c r="X33" s="1354"/>
      <c r="Y33" s="369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4"/>
      <c r="Q36" s="1351">
        <f t="shared" si="11"/>
        <v>111</v>
      </c>
      <c r="R36" s="705" t="s">
        <v>14</v>
      </c>
      <c r="S36" s="706">
        <f t="shared" si="12"/>
        <v>100</v>
      </c>
      <c r="T36" s="705" t="s">
        <v>14</v>
      </c>
      <c r="U36" s="706">
        <f t="shared" si="13"/>
        <v>100</v>
      </c>
      <c r="V36" s="705" t="s">
        <v>14</v>
      </c>
      <c r="W36" s="706">
        <f t="shared" si="14"/>
        <v>100</v>
      </c>
      <c r="X36" s="1354"/>
      <c r="Y36" s="3694"/>
      <c r="Z36" s="1355">
        <f t="shared" si="15"/>
        <v>111</v>
      </c>
      <c r="AA36" s="1352">
        <f t="shared" si="3"/>
        <v>1</v>
      </c>
      <c r="AB36" s="1352">
        <f t="shared" si="4"/>
        <v>1</v>
      </c>
      <c r="AC36" s="1352">
        <f t="shared" si="5"/>
        <v>1</v>
      </c>
    </row>
    <row r="37" spans="1:29" ht="15">
      <c r="A37" s="430" t="s">
        <v>1844</v>
      </c>
      <c r="B37" s="1972" t="s">
        <v>3361</v>
      </c>
      <c r="C37" s="1154" t="s">
        <v>0</v>
      </c>
      <c r="D37" s="1155"/>
      <c r="E37" s="1156"/>
      <c r="F37" s="1157"/>
      <c r="G37" s="1158"/>
      <c r="H37" s="1159"/>
      <c r="I37" s="1156"/>
      <c r="J37" s="1159"/>
      <c r="K37" s="568"/>
      <c r="L37" s="2721"/>
      <c r="M37" s="2722"/>
      <c r="N37" s="2713"/>
      <c r="O37" s="2722"/>
      <c r="P37" s="3690" t="str">
        <f>A37</f>
        <v>成交单价</v>
      </c>
      <c r="Q37" s="3690"/>
      <c r="R37" s="3754">
        <f>E37</f>
        <v>0</v>
      </c>
      <c r="S37" s="3754"/>
      <c r="T37" s="3754">
        <f>G37</f>
        <v>0</v>
      </c>
      <c r="U37" s="3754"/>
      <c r="V37" s="3754">
        <f>I37</f>
        <v>0</v>
      </c>
      <c r="W37" s="375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1"/>
      <c r="M38" s="2722"/>
      <c r="N38" s="2722"/>
      <c r="O38" s="2722"/>
      <c r="P38" s="3690" t="str">
        <f>A38</f>
        <v>比较价值（元/平方米）</v>
      </c>
      <c r="Q38" s="3690"/>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4" t="str">
        <f>A39</f>
        <v>估价对象XX用房的比较价值（楼面单价，元/平方米）</v>
      </c>
      <c r="Q39" s="3685"/>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7" t="s">
        <v>1770</v>
      </c>
      <c r="D4" s="3699"/>
      <c r="E4" s="3700" t="s">
        <v>1771</v>
      </c>
      <c r="F4" s="3701"/>
      <c r="G4" s="3687" t="s">
        <v>1772</v>
      </c>
      <c r="H4" s="3699"/>
      <c r="I4" s="3687" t="s">
        <v>1773</v>
      </c>
      <c r="J4" s="3699"/>
      <c r="K4" s="559" t="s">
        <v>1774</v>
      </c>
      <c r="L4" s="2712"/>
      <c r="M4" s="2713"/>
      <c r="N4" s="2713"/>
      <c r="O4" s="2713"/>
      <c r="P4" s="3702" t="s">
        <v>1775</v>
      </c>
      <c r="Q4" s="3703"/>
      <c r="R4" s="3708" t="s">
        <v>1771</v>
      </c>
      <c r="S4" s="3709"/>
      <c r="T4" s="3708" t="s">
        <v>1772</v>
      </c>
      <c r="U4" s="3709"/>
      <c r="V4" s="3695" t="s">
        <v>1773</v>
      </c>
      <c r="W4" s="3695"/>
      <c r="X4" s="1354"/>
      <c r="Y4" s="3708" t="s">
        <v>1775</v>
      </c>
      <c r="Z4" s="3709"/>
      <c r="AA4" s="3696" t="s">
        <v>1771</v>
      </c>
      <c r="AB4" s="3697" t="s">
        <v>1772</v>
      </c>
      <c r="AC4" s="3696" t="s">
        <v>1773</v>
      </c>
    </row>
    <row r="5" spans="1:29" ht="15">
      <c r="A5" s="358"/>
      <c r="B5" s="359"/>
      <c r="C5" s="3716" t="s">
        <v>1673</v>
      </c>
      <c r="D5" s="3717"/>
      <c r="E5" s="3723" t="s">
        <v>1674</v>
      </c>
      <c r="F5" s="3724"/>
      <c r="G5" s="3716" t="s">
        <v>1675</v>
      </c>
      <c r="H5" s="3717"/>
      <c r="I5" s="3716" t="s">
        <v>1676</v>
      </c>
      <c r="J5" s="3717"/>
      <c r="K5" s="559"/>
      <c r="L5" s="2712"/>
      <c r="M5" s="2713"/>
      <c r="N5" s="2713"/>
      <c r="O5" s="2713"/>
      <c r="P5" s="3704"/>
      <c r="Q5" s="3705"/>
      <c r="R5" s="3710"/>
      <c r="S5" s="3711"/>
      <c r="T5" s="3710"/>
      <c r="U5" s="3711"/>
      <c r="V5" s="3695"/>
      <c r="W5" s="3695"/>
      <c r="X5" s="1354"/>
      <c r="Y5" s="3710"/>
      <c r="Z5" s="3711"/>
      <c r="AA5" s="3697"/>
      <c r="AB5" s="3697"/>
      <c r="AC5" s="3697"/>
    </row>
    <row r="6" spans="1:29" ht="15.75" thickBot="1">
      <c r="A6" s="360"/>
      <c r="B6" s="361"/>
      <c r="C6" s="3714" t="s">
        <v>1677</v>
      </c>
      <c r="D6" s="3715"/>
      <c r="E6" s="3721" t="s">
        <v>1677</v>
      </c>
      <c r="F6" s="3722"/>
      <c r="G6" s="3714" t="s">
        <v>1677</v>
      </c>
      <c r="H6" s="3715"/>
      <c r="I6" s="3714" t="s">
        <v>1677</v>
      </c>
      <c r="J6" s="3715"/>
      <c r="K6" s="559" t="s">
        <v>1678</v>
      </c>
      <c r="L6" s="2712"/>
      <c r="M6" s="2713"/>
      <c r="N6" s="2713"/>
      <c r="O6" s="2713"/>
      <c r="P6" s="3706"/>
      <c r="Q6" s="3707"/>
      <c r="R6" s="3710"/>
      <c r="S6" s="3711"/>
      <c r="T6" s="3712"/>
      <c r="U6" s="3713"/>
      <c r="V6" s="3695"/>
      <c r="W6" s="3695"/>
      <c r="X6" s="1354"/>
      <c r="Y6" s="3712"/>
      <c r="Z6" s="3713"/>
      <c r="AA6" s="3698"/>
      <c r="AB6" s="3698"/>
      <c r="AC6" s="3698"/>
    </row>
    <row r="7" spans="1:29" s="108" customFormat="1" ht="15.75" thickBot="1">
      <c r="A7" s="362" t="s">
        <v>1679</v>
      </c>
      <c r="B7" s="363"/>
      <c r="C7" s="364">
        <f>'数据-取费表'!B2</f>
        <v>45033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0" t="s">
        <v>1686</v>
      </c>
      <c r="Q9" s="1342" t="str">
        <f t="shared" ref="Q9:Q14" si="6">B9</f>
        <v>用途</v>
      </c>
      <c r="R9" s="701" t="s">
        <v>14</v>
      </c>
      <c r="S9" s="702">
        <f t="shared" si="0"/>
        <v>100</v>
      </c>
      <c r="T9" s="701" t="s">
        <v>14</v>
      </c>
      <c r="U9" s="702">
        <f t="shared" si="1"/>
        <v>100</v>
      </c>
      <c r="V9" s="701" t="s">
        <v>14</v>
      </c>
      <c r="W9" s="702">
        <f t="shared" si="2"/>
        <v>100</v>
      </c>
      <c r="X9" s="703"/>
      <c r="Y9" s="358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0"/>
      <c r="Q10" s="1342"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0"/>
      <c r="Q11" s="1342">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0"/>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0"/>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92"/>
      <c r="Q15" s="1351"/>
      <c r="R15" s="705"/>
      <c r="S15" s="706"/>
      <c r="T15" s="705"/>
      <c r="U15" s="706"/>
      <c r="V15" s="705"/>
      <c r="W15" s="706"/>
      <c r="X15" s="1354"/>
      <c r="Y15" s="369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92"/>
      <c r="Q17" s="1351"/>
      <c r="R17" s="705"/>
      <c r="S17" s="706"/>
      <c r="T17" s="705"/>
      <c r="U17" s="706"/>
      <c r="V17" s="705"/>
      <c r="W17" s="706"/>
      <c r="X17" s="1354"/>
      <c r="Y17" s="369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92"/>
      <c r="Q19" s="1351"/>
      <c r="R19" s="705"/>
      <c r="S19" s="706"/>
      <c r="T19" s="705"/>
      <c r="U19" s="706"/>
      <c r="V19" s="705"/>
      <c r="W19" s="706"/>
      <c r="X19" s="1354"/>
      <c r="Y19" s="369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92"/>
      <c r="Q21" s="1351"/>
      <c r="R21" s="705"/>
      <c r="S21" s="706"/>
      <c r="T21" s="705"/>
      <c r="U21" s="706"/>
      <c r="V21" s="705"/>
      <c r="W21" s="706"/>
      <c r="X21" s="1354"/>
      <c r="Y21" s="369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2"/>
      <c r="Q24" s="1351">
        <f t="shared" ref="Q24:Q34"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69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4"/>
      <c r="Q28" s="1351" t="str">
        <f t="shared" si="11"/>
        <v>物业等级</v>
      </c>
      <c r="R28" s="705" t="s">
        <v>14</v>
      </c>
      <c r="S28" s="706">
        <f t="shared" si="12"/>
        <v>100</v>
      </c>
      <c r="T28" s="705" t="s">
        <v>14</v>
      </c>
      <c r="U28" s="706">
        <f t="shared" si="13"/>
        <v>100</v>
      </c>
      <c r="V28" s="705" t="s">
        <v>14</v>
      </c>
      <c r="W28" s="706">
        <f t="shared" si="14"/>
        <v>100</v>
      </c>
      <c r="X28" s="1354"/>
      <c r="Y28" s="369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4"/>
      <c r="Q29" s="1351" t="str">
        <f t="shared" si="11"/>
        <v>有无电梯</v>
      </c>
      <c r="R29" s="705" t="s">
        <v>14</v>
      </c>
      <c r="S29" s="706">
        <f t="shared" si="12"/>
        <v>100</v>
      </c>
      <c r="T29" s="705" t="s">
        <v>14</v>
      </c>
      <c r="U29" s="706">
        <f t="shared" si="13"/>
        <v>100</v>
      </c>
      <c r="V29" s="705" t="s">
        <v>14</v>
      </c>
      <c r="W29" s="706">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4"/>
      <c r="Q30" s="1351" t="str">
        <f t="shared" si="11"/>
        <v>建筑面积</v>
      </c>
      <c r="R30" s="705" t="s">
        <v>14</v>
      </c>
      <c r="S30" s="706" t="e">
        <f t="shared" si="12"/>
        <v>#N/A</v>
      </c>
      <c r="T30" s="705" t="s">
        <v>14</v>
      </c>
      <c r="U30" s="706" t="e">
        <f t="shared" si="13"/>
        <v>#N/A</v>
      </c>
      <c r="V30" s="705" t="s">
        <v>14</v>
      </c>
      <c r="W30" s="706"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4"/>
      <c r="Q31" s="1342"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4" t="s">
        <v>1696</v>
      </c>
      <c r="Q32" s="1351">
        <f t="shared" si="11"/>
        <v>111</v>
      </c>
      <c r="R32" s="705" t="s">
        <v>14</v>
      </c>
      <c r="S32" s="706">
        <f t="shared" si="12"/>
        <v>100</v>
      </c>
      <c r="T32" s="705" t="s">
        <v>14</v>
      </c>
      <c r="U32" s="706">
        <f t="shared" si="13"/>
        <v>100</v>
      </c>
      <c r="V32" s="705" t="s">
        <v>14</v>
      </c>
      <c r="W32" s="706">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4"/>
      <c r="Q33" s="1351">
        <f t="shared" si="11"/>
        <v>111</v>
      </c>
      <c r="R33" s="705" t="s">
        <v>14</v>
      </c>
      <c r="S33" s="706">
        <f t="shared" si="12"/>
        <v>100</v>
      </c>
      <c r="T33" s="705" t="s">
        <v>14</v>
      </c>
      <c r="U33" s="706">
        <f t="shared" si="13"/>
        <v>100</v>
      </c>
      <c r="V33" s="705" t="s">
        <v>14</v>
      </c>
      <c r="W33" s="706">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90" t="str">
        <f>A35</f>
        <v>成交单价（元/平方米）</v>
      </c>
      <c r="Q35" s="3690"/>
      <c r="R35" s="3754">
        <f>E35</f>
        <v>0</v>
      </c>
      <c r="S35" s="3754"/>
      <c r="T35" s="3754">
        <f>G35</f>
        <v>0</v>
      </c>
      <c r="U35" s="3754"/>
      <c r="V35" s="3754">
        <f>I35</f>
        <v>0</v>
      </c>
      <c r="W35" s="375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1"/>
      <c r="M36" s="2722"/>
      <c r="N36" s="2713"/>
      <c r="O36" s="2722"/>
      <c r="P36" s="3690" t="str">
        <f>A36</f>
        <v>比较价值（元/平方米）</v>
      </c>
      <c r="Q36" s="3690"/>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4" t="str">
        <f>A37</f>
        <v>估价对象XX用房的比较价值（楼面单价，元/平方米）</v>
      </c>
      <c r="Q37" s="3685"/>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7" t="s">
        <v>1770</v>
      </c>
      <c r="D4" s="3699"/>
      <c r="E4" s="3700" t="s">
        <v>1771</v>
      </c>
      <c r="F4" s="3701"/>
      <c r="G4" s="3687" t="s">
        <v>1772</v>
      </c>
      <c r="H4" s="3699"/>
      <c r="I4" s="3687" t="s">
        <v>1773</v>
      </c>
      <c r="J4" s="3699"/>
      <c r="K4" s="559" t="s">
        <v>1774</v>
      </c>
      <c r="L4" s="2712"/>
      <c r="M4" s="2713"/>
      <c r="N4" s="2713"/>
      <c r="O4" s="2713"/>
      <c r="P4" s="3702" t="s">
        <v>1775</v>
      </c>
      <c r="Q4" s="3703"/>
      <c r="R4" s="3708" t="s">
        <v>1771</v>
      </c>
      <c r="S4" s="3709"/>
      <c r="T4" s="3708" t="s">
        <v>1772</v>
      </c>
      <c r="U4" s="3709"/>
      <c r="V4" s="3695" t="s">
        <v>1773</v>
      </c>
      <c r="W4" s="3695"/>
      <c r="X4" s="1354"/>
      <c r="Y4" s="3708" t="s">
        <v>1775</v>
      </c>
      <c r="Z4" s="3709"/>
      <c r="AA4" s="3696" t="s">
        <v>1771</v>
      </c>
      <c r="AB4" s="3697" t="s">
        <v>1772</v>
      </c>
      <c r="AC4" s="3696" t="s">
        <v>1773</v>
      </c>
    </row>
    <row r="5" spans="1:29" ht="15">
      <c r="A5" s="358"/>
      <c r="B5" s="359"/>
      <c r="C5" s="3716" t="s">
        <v>1673</v>
      </c>
      <c r="D5" s="3717"/>
      <c r="E5" s="3723" t="s">
        <v>1674</v>
      </c>
      <c r="F5" s="3724"/>
      <c r="G5" s="3716" t="s">
        <v>1675</v>
      </c>
      <c r="H5" s="3717"/>
      <c r="I5" s="3716" t="s">
        <v>1676</v>
      </c>
      <c r="J5" s="3717"/>
      <c r="K5" s="559"/>
      <c r="L5" s="2712"/>
      <c r="M5" s="2713"/>
      <c r="N5" s="2713"/>
      <c r="O5" s="2713"/>
      <c r="P5" s="3704"/>
      <c r="Q5" s="3705"/>
      <c r="R5" s="3710"/>
      <c r="S5" s="3711"/>
      <c r="T5" s="3710"/>
      <c r="U5" s="3711"/>
      <c r="V5" s="3695"/>
      <c r="W5" s="3695"/>
      <c r="X5" s="1354"/>
      <c r="Y5" s="3710"/>
      <c r="Z5" s="3711"/>
      <c r="AA5" s="3697"/>
      <c r="AB5" s="3697"/>
      <c r="AC5" s="3697"/>
    </row>
    <row r="6" spans="1:29" ht="15.75" thickBot="1">
      <c r="A6" s="360"/>
      <c r="B6" s="361"/>
      <c r="C6" s="3779" t="s">
        <v>1919</v>
      </c>
      <c r="D6" s="3780"/>
      <c r="E6" s="3781" t="s">
        <v>1919</v>
      </c>
      <c r="F6" s="3782"/>
      <c r="G6" s="3779" t="s">
        <v>1919</v>
      </c>
      <c r="H6" s="3780"/>
      <c r="I6" s="3779" t="s">
        <v>1919</v>
      </c>
      <c r="J6" s="3780"/>
      <c r="K6" s="559" t="s">
        <v>1678</v>
      </c>
      <c r="L6" s="2712"/>
      <c r="M6" s="2713"/>
      <c r="N6" s="2713"/>
      <c r="O6" s="2713"/>
      <c r="P6" s="3706"/>
      <c r="Q6" s="3707"/>
      <c r="R6" s="3710"/>
      <c r="S6" s="3711"/>
      <c r="T6" s="3712"/>
      <c r="U6" s="3713"/>
      <c r="V6" s="3695"/>
      <c r="W6" s="3695"/>
      <c r="X6" s="1354"/>
      <c r="Y6" s="3712"/>
      <c r="Z6" s="3713"/>
      <c r="AA6" s="3698"/>
      <c r="AB6" s="3698"/>
      <c r="AC6" s="3698"/>
    </row>
    <row r="7" spans="1:29" s="108" customFormat="1" ht="15.75" thickBot="1">
      <c r="A7" s="362" t="s">
        <v>1679</v>
      </c>
      <c r="B7" s="363"/>
      <c r="C7" s="364">
        <f>'数据-取费表'!B2</f>
        <v>45033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0" t="s">
        <v>1686</v>
      </c>
      <c r="Q9" s="1342"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6"/>
      <c r="M10" s="2717"/>
      <c r="N10" s="2717"/>
      <c r="O10" s="2770"/>
      <c r="P10" s="3690"/>
      <c r="Q10" s="1342" t="str">
        <f t="shared" si="6"/>
        <v>土地使用年限（年）</v>
      </c>
      <c r="R10" s="701" t="s">
        <v>14</v>
      </c>
      <c r="S10" s="702">
        <f t="shared" si="0"/>
        <v>102</v>
      </c>
      <c r="T10" s="701" t="s">
        <v>14</v>
      </c>
      <c r="U10" s="702">
        <f t="shared" si="1"/>
        <v>102</v>
      </c>
      <c r="V10" s="701" t="s">
        <v>14</v>
      </c>
      <c r="W10" s="702">
        <f t="shared" si="2"/>
        <v>102</v>
      </c>
      <c r="X10" s="703"/>
      <c r="Y10" s="3587"/>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0"/>
      <c r="Q11" s="1342"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0"/>
      <c r="Q12" s="1342">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0"/>
      <c r="Q13" s="1342">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0"/>
      <c r="Q14" s="1342">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92"/>
      <c r="Q16" s="1351"/>
      <c r="R16" s="705"/>
      <c r="S16" s="706"/>
      <c r="T16" s="705"/>
      <c r="U16" s="706"/>
      <c r="V16" s="705"/>
      <c r="W16" s="706"/>
      <c r="X16" s="1354"/>
      <c r="Y16" s="369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92"/>
      <c r="Q18" s="1351"/>
      <c r="R18" s="705"/>
      <c r="S18" s="706"/>
      <c r="T18" s="705"/>
      <c r="U18" s="706"/>
      <c r="V18" s="705"/>
      <c r="W18" s="706"/>
      <c r="X18" s="1354"/>
      <c r="Y18" s="369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2"/>
      <c r="Q19" s="1351" t="str">
        <f t="shared" ref="Q19:Q33" si="8">B19</f>
        <v>区域土地利用方向</v>
      </c>
      <c r="R19" s="705" t="s">
        <v>14</v>
      </c>
      <c r="S19" s="706">
        <f>F19</f>
        <v>100</v>
      </c>
      <c r="T19" s="705" t="s">
        <v>14</v>
      </c>
      <c r="U19" s="706">
        <f>H19</f>
        <v>100</v>
      </c>
      <c r="V19" s="705" t="s">
        <v>14</v>
      </c>
      <c r="W19" s="706">
        <f>J19</f>
        <v>100</v>
      </c>
      <c r="X19" s="1354"/>
      <c r="Y19" s="369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92"/>
      <c r="Q20" s="1351"/>
      <c r="R20" s="705"/>
      <c r="S20" s="706"/>
      <c r="T20" s="705"/>
      <c r="U20" s="706"/>
      <c r="V20" s="705"/>
      <c r="W20" s="706"/>
      <c r="X20" s="1354"/>
      <c r="Y20" s="369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2"/>
      <c r="Q21" s="1351" t="str">
        <f t="shared" si="8"/>
        <v>环境状况</v>
      </c>
      <c r="R21" s="705" t="s">
        <v>14</v>
      </c>
      <c r="S21" s="706">
        <f>F21</f>
        <v>100</v>
      </c>
      <c r="T21" s="705" t="s">
        <v>14</v>
      </c>
      <c r="U21" s="706">
        <f>H21</f>
        <v>100</v>
      </c>
      <c r="V21" s="705" t="s">
        <v>14</v>
      </c>
      <c r="W21" s="706">
        <f>J21</f>
        <v>100</v>
      </c>
      <c r="X21" s="1354"/>
      <c r="Y21" s="369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92"/>
      <c r="Q22" s="1351"/>
      <c r="R22" s="705"/>
      <c r="S22" s="706"/>
      <c r="T22" s="705"/>
      <c r="U22" s="706"/>
      <c r="V22" s="705"/>
      <c r="W22" s="706"/>
      <c r="X22" s="1354"/>
      <c r="Y22" s="369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2"/>
      <c r="Q23" s="1342" t="str">
        <f t="shared" si="8"/>
        <v>公共配套设施</v>
      </c>
      <c r="R23" s="701" t="s">
        <v>14</v>
      </c>
      <c r="S23" s="702">
        <f>F23</f>
        <v>100</v>
      </c>
      <c r="T23" s="701" t="s">
        <v>14</v>
      </c>
      <c r="U23" s="702">
        <f>H23</f>
        <v>100</v>
      </c>
      <c r="V23" s="701" t="s">
        <v>14</v>
      </c>
      <c r="W23" s="702">
        <f>J23</f>
        <v>100</v>
      </c>
      <c r="X23" s="703"/>
      <c r="Y23" s="369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92"/>
      <c r="Q24" s="1342"/>
      <c r="R24" s="701"/>
      <c r="S24" s="702"/>
      <c r="T24" s="701"/>
      <c r="U24" s="702"/>
      <c r="V24" s="701"/>
      <c r="W24" s="702"/>
      <c r="X24" s="703"/>
      <c r="Y24" s="369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2"/>
      <c r="Q25" s="1342"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92"/>
      <c r="Q26" s="1342"/>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2"/>
      <c r="Q28" s="1351" t="str">
        <f t="shared" si="8"/>
        <v>毗邻道路的类型与等级</v>
      </c>
      <c r="R28" s="705" t="s">
        <v>14</v>
      </c>
      <c r="S28" s="706">
        <f t="shared" si="10"/>
        <v>100</v>
      </c>
      <c r="T28" s="705" t="s">
        <v>14</v>
      </c>
      <c r="U28" s="706">
        <f t="shared" si="11"/>
        <v>100</v>
      </c>
      <c r="V28" s="705" t="s">
        <v>14</v>
      </c>
      <c r="W28" s="706">
        <f t="shared" si="12"/>
        <v>100</v>
      </c>
      <c r="X28" s="1354"/>
      <c r="Y28" s="369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92"/>
      <c r="Q29" s="1351"/>
      <c r="R29" s="705"/>
      <c r="S29" s="706"/>
      <c r="T29" s="705"/>
      <c r="U29" s="706"/>
      <c r="V29" s="705"/>
      <c r="W29" s="706"/>
      <c r="X29" s="1354"/>
      <c r="Y29" s="369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2"/>
      <c r="Q30" s="1351" t="str">
        <f t="shared" si="8"/>
        <v>土地级别</v>
      </c>
      <c r="R30" s="705" t="s">
        <v>14</v>
      </c>
      <c r="S30" s="706">
        <f t="shared" si="10"/>
        <v>100</v>
      </c>
      <c r="T30" s="705" t="s">
        <v>14</v>
      </c>
      <c r="U30" s="706">
        <f t="shared" si="11"/>
        <v>100</v>
      </c>
      <c r="V30" s="705" t="s">
        <v>14</v>
      </c>
      <c r="W30" s="706">
        <f t="shared" si="12"/>
        <v>100</v>
      </c>
      <c r="X30" s="1354"/>
      <c r="Y30" s="369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2"/>
      <c r="Q31" s="1351">
        <f t="shared" si="8"/>
        <v>111</v>
      </c>
      <c r="R31" s="705" t="s">
        <v>14</v>
      </c>
      <c r="S31" s="706">
        <f t="shared" si="10"/>
        <v>100</v>
      </c>
      <c r="T31" s="705" t="s">
        <v>14</v>
      </c>
      <c r="U31" s="706">
        <f t="shared" si="11"/>
        <v>100</v>
      </c>
      <c r="V31" s="705" t="s">
        <v>14</v>
      </c>
      <c r="W31" s="706">
        <f t="shared" si="12"/>
        <v>100</v>
      </c>
      <c r="X31" s="1354"/>
      <c r="Y31" s="369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93" t="s">
        <v>1696</v>
      </c>
      <c r="Q32" s="1351">
        <f t="shared" si="8"/>
        <v>111</v>
      </c>
      <c r="R32" s="705" t="s">
        <v>14</v>
      </c>
      <c r="S32" s="706">
        <f t="shared" si="10"/>
        <v>100</v>
      </c>
      <c r="T32" s="705" t="s">
        <v>14</v>
      </c>
      <c r="U32" s="706">
        <f t="shared" si="11"/>
        <v>100</v>
      </c>
      <c r="V32" s="705" t="s">
        <v>14</v>
      </c>
      <c r="W32" s="706">
        <f t="shared" si="12"/>
        <v>100</v>
      </c>
      <c r="X32" s="1354"/>
      <c r="Y32" s="369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4"/>
      <c r="Q33" s="1351">
        <f t="shared" si="8"/>
        <v>111</v>
      </c>
      <c r="R33" s="708" t="s">
        <v>14</v>
      </c>
      <c r="S33" s="709">
        <f t="shared" si="10"/>
        <v>100</v>
      </c>
      <c r="T33" s="708" t="s">
        <v>14</v>
      </c>
      <c r="U33" s="709">
        <f t="shared" si="11"/>
        <v>100</v>
      </c>
      <c r="V33" s="708" t="s">
        <v>14</v>
      </c>
      <c r="W33" s="709">
        <f t="shared" si="12"/>
        <v>100</v>
      </c>
      <c r="X33" s="710"/>
      <c r="Y33" s="369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4"/>
      <c r="Q34" s="1351" t="str">
        <f>B34</f>
        <v>宗地面积</v>
      </c>
      <c r="R34" s="705" t="s">
        <v>14</v>
      </c>
      <c r="S34" s="706" t="e">
        <f t="shared" si="10"/>
        <v>#N/A</v>
      </c>
      <c r="T34" s="705" t="s">
        <v>14</v>
      </c>
      <c r="U34" s="706" t="e">
        <f t="shared" si="11"/>
        <v>#N/A</v>
      </c>
      <c r="V34" s="705" t="s">
        <v>14</v>
      </c>
      <c r="W34" s="706"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94"/>
      <c r="Q35" s="1351" t="str">
        <f t="shared" ref="Q35:Q40" si="14">B35</f>
        <v>宗地形状</v>
      </c>
      <c r="R35" s="705" t="s">
        <v>14</v>
      </c>
      <c r="S35" s="706">
        <f t="shared" si="10"/>
        <v>100</v>
      </c>
      <c r="T35" s="705" t="s">
        <v>14</v>
      </c>
      <c r="U35" s="706">
        <f t="shared" si="11"/>
        <v>100</v>
      </c>
      <c r="V35" s="705" t="s">
        <v>14</v>
      </c>
      <c r="W35" s="706">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94"/>
      <c r="Q36" s="1351"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94" t="s">
        <v>1696</v>
      </c>
      <c r="Q37" s="1351" t="str">
        <f t="shared" si="14"/>
        <v>工程地质条件</v>
      </c>
      <c r="R37" s="705" t="s">
        <v>14</v>
      </c>
      <c r="S37" s="706">
        <f t="shared" si="10"/>
        <v>100</v>
      </c>
      <c r="T37" s="705" t="s">
        <v>14</v>
      </c>
      <c r="U37" s="706">
        <f t="shared" si="11"/>
        <v>100</v>
      </c>
      <c r="V37" s="705" t="s">
        <v>14</v>
      </c>
      <c r="W37" s="706">
        <f t="shared" si="12"/>
        <v>100</v>
      </c>
      <c r="X37" s="1354"/>
      <c r="Y37" s="369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4"/>
      <c r="Q38" s="1351">
        <f t="shared" si="14"/>
        <v>111</v>
      </c>
      <c r="R38" s="705" t="s">
        <v>14</v>
      </c>
      <c r="S38" s="706">
        <f t="shared" si="10"/>
        <v>100</v>
      </c>
      <c r="T38" s="705" t="s">
        <v>14</v>
      </c>
      <c r="U38" s="706">
        <f t="shared" si="11"/>
        <v>100</v>
      </c>
      <c r="V38" s="705" t="s">
        <v>14</v>
      </c>
      <c r="W38" s="706">
        <f t="shared" si="12"/>
        <v>100</v>
      </c>
      <c r="X38" s="1354"/>
      <c r="Y38" s="369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4"/>
      <c r="Q39" s="1351">
        <f t="shared" si="14"/>
        <v>111</v>
      </c>
      <c r="R39" s="705" t="s">
        <v>14</v>
      </c>
      <c r="S39" s="706">
        <f t="shared" si="10"/>
        <v>100</v>
      </c>
      <c r="T39" s="705" t="s">
        <v>14</v>
      </c>
      <c r="U39" s="706">
        <f t="shared" si="11"/>
        <v>100</v>
      </c>
      <c r="V39" s="705" t="s">
        <v>14</v>
      </c>
      <c r="W39" s="706">
        <f t="shared" si="12"/>
        <v>100</v>
      </c>
      <c r="X39" s="1354"/>
      <c r="Y39" s="369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4"/>
      <c r="Q40" s="1351">
        <f t="shared" si="14"/>
        <v>111</v>
      </c>
      <c r="R40" s="708" t="s">
        <v>14</v>
      </c>
      <c r="S40" s="709">
        <f t="shared" si="10"/>
        <v>100</v>
      </c>
      <c r="T40" s="708" t="s">
        <v>14</v>
      </c>
      <c r="U40" s="709">
        <f t="shared" si="11"/>
        <v>100</v>
      </c>
      <c r="V40" s="708" t="s">
        <v>14</v>
      </c>
      <c r="W40" s="709">
        <f t="shared" si="12"/>
        <v>100</v>
      </c>
      <c r="X40" s="710"/>
      <c r="Y40" s="369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690" t="str">
        <f>A41</f>
        <v>成交单价</v>
      </c>
      <c r="Q41" s="369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90" t="str">
        <f>A42</f>
        <v>比较价值（元/平方米）</v>
      </c>
      <c r="Q42" s="3690"/>
      <c r="R42" s="3683" t="e">
        <f>ROUND(PRODUCT(R41,AA7:AA40),0)</f>
        <v>#DIV/0!</v>
      </c>
      <c r="S42" s="3683"/>
      <c r="T42" s="3683" t="e">
        <f>ROUND(PRODUCT(T41,AB7:AB40),0)</f>
        <v>#DIV/0!</v>
      </c>
      <c r="U42" s="3683"/>
      <c r="V42" s="3683" t="e">
        <f>ROUND(PRODUCT(V41,AC7:AC40),0)</f>
        <v>#DIV/0!</v>
      </c>
      <c r="W42" s="368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4" t="str">
        <f>A43</f>
        <v>估价对象XX用房的比较价值（楼面单价，元/平方米）</v>
      </c>
      <c r="Q43" s="3685"/>
      <c r="R43" s="3686" t="e">
        <f>ROUND(IF(D42="简单平均",AVERAGE(R42:W42),R42*F42+T42*H42+V42*J42),0)</f>
        <v>#DIV/0!</v>
      </c>
      <c r="S43" s="3686"/>
      <c r="T43" s="3686"/>
      <c r="U43" s="3686"/>
      <c r="V43" s="3686"/>
      <c r="W43" s="368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87" t="s">
        <v>1887</v>
      </c>
      <c r="H50" s="3688"/>
      <c r="I50" s="1355" t="s">
        <v>1923</v>
      </c>
      <c r="J50" s="1355" t="str">
        <f>项目基本情况!F35</f>
        <v>河北省</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20168.190000000002</v>
      </c>
      <c r="F51" s="639" t="e">
        <f t="shared" ref="F51:F60" si="15">ROUND(B51*E51/10000,0)</f>
        <v>#DIV/0!</v>
      </c>
      <c r="G51" s="3689"/>
      <c r="H51" s="369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887.47</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3179.9999999999995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8768.82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估价结果一览表（市场价值不需“结果表-1”）</v>
      </c>
      <c r="B3" s="3490"/>
      <c r="C3" s="3490"/>
      <c r="D3" s="3490"/>
      <c r="E3" s="3490"/>
    </row>
    <row r="4" spans="1:5" ht="19.5" thickBot="1">
      <c r="A4" s="1492"/>
      <c r="B4" s="3488" t="s">
        <v>917</v>
      </c>
      <c r="C4" s="3488"/>
      <c r="D4" s="3488"/>
      <c r="E4" s="1492"/>
    </row>
    <row r="5" spans="1:5" ht="16.5" thickTop="1">
      <c r="A5" s="1490"/>
      <c r="B5" s="3486" t="s">
        <v>909</v>
      </c>
      <c r="C5" s="1493" t="s">
        <v>910</v>
      </c>
      <c r="D5" s="850">
        <f ca="1">结果表!H101</f>
        <v>46382</v>
      </c>
      <c r="E5" s="1490"/>
    </row>
    <row r="6" spans="1:5" ht="15.75">
      <c r="A6" s="1490"/>
      <c r="B6" s="3486"/>
      <c r="C6" s="1493" t="s">
        <v>911</v>
      </c>
      <c r="D6" s="850" t="str">
        <f ca="1">NUMBERSTRING(INT(D5*10000),2)&amp;"元整"</f>
        <v>肆亿陆仟叁佰捌拾贰万元整</v>
      </c>
      <c r="E6" s="1490"/>
    </row>
    <row r="7" spans="1:5" ht="15.75">
      <c r="A7" s="1490"/>
      <c r="B7" s="3491"/>
      <c r="C7" s="1494" t="s">
        <v>912</v>
      </c>
      <c r="D7" s="851">
        <f ca="1">结果表!H102</f>
        <v>19138</v>
      </c>
      <c r="E7" s="1490"/>
    </row>
    <row r="8" spans="1:5" ht="15.75">
      <c r="A8" s="1490"/>
      <c r="B8" s="3492" t="str">
        <f>结果表!E103</f>
        <v>2.估价师知悉的法定优先受偿款</v>
      </c>
      <c r="C8" s="1495" t="s">
        <v>913</v>
      </c>
      <c r="D8" s="851">
        <f>结果表!H103</f>
        <v>0</v>
      </c>
      <c r="E8" s="1490"/>
    </row>
    <row r="9" spans="1:5" ht="15.75">
      <c r="A9" s="1490"/>
      <c r="B9" s="349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5" t="str">
        <f>结果表!E107</f>
        <v>3.房地产抵押价值</v>
      </c>
      <c r="C13" s="1498" t="s">
        <v>910</v>
      </c>
      <c r="D13" s="853">
        <f ca="1">结果表!H107</f>
        <v>46382</v>
      </c>
      <c r="E13" s="1490"/>
    </row>
    <row r="14" spans="1:5" ht="15.75">
      <c r="A14" s="1490"/>
      <c r="B14" s="3486"/>
      <c r="C14" s="1493" t="s">
        <v>911</v>
      </c>
      <c r="D14" s="850" t="str">
        <f ca="1">NUMBERSTRING(INT(D13*10000),2)&amp;"元整"</f>
        <v>肆亿陆仟叁佰捌拾贰万元整</v>
      </c>
      <c r="E14" s="1490"/>
    </row>
    <row r="15" spans="1:5" ht="15">
      <c r="A15" s="1490"/>
      <c r="B15" s="3491"/>
      <c r="C15" s="1494" t="s">
        <v>921</v>
      </c>
      <c r="D15" s="859">
        <f ca="1">结果表!H108</f>
        <v>19138</v>
      </c>
      <c r="E15" s="1490"/>
    </row>
    <row r="16" spans="1:5" ht="15">
      <c r="A16" s="1490"/>
      <c r="B16" s="3492" t="str">
        <f>结果表!E109</f>
        <v>——</v>
      </c>
      <c r="C16" s="1498" t="s">
        <v>922</v>
      </c>
      <c r="D16" s="1499" t="str">
        <f>结果表!H109</f>
        <v>——</v>
      </c>
      <c r="E16" s="1490"/>
    </row>
    <row r="17" spans="1:5" ht="15.75">
      <c r="A17" s="1490"/>
      <c r="B17" s="3493"/>
      <c r="C17" s="1493" t="s">
        <v>923</v>
      </c>
      <c r="D17" s="850" t="e">
        <f>NUMBERSTRING(INT(D16*10000),2)&amp;"元整"</f>
        <v>#VALUE!</v>
      </c>
      <c r="E17" s="1490"/>
    </row>
    <row r="18" spans="1:5" ht="15">
      <c r="A18" s="1490"/>
      <c r="B18" s="3494"/>
      <c r="C18" s="1494" t="s">
        <v>912</v>
      </c>
      <c r="D18" s="859" t="str">
        <f>结果表!H110</f>
        <v>——</v>
      </c>
      <c r="E18" s="1490"/>
    </row>
    <row r="19" spans="1:5" ht="15.75">
      <c r="A19" s="1490"/>
      <c r="B19" s="3485" t="str">
        <f>结果表!E111</f>
        <v>——</v>
      </c>
      <c r="C19" s="1498" t="s">
        <v>910</v>
      </c>
      <c r="D19" s="851" t="str">
        <f>结果表!H111</f>
        <v>——</v>
      </c>
      <c r="E19" s="1490"/>
    </row>
    <row r="20" spans="1:5" ht="15.75">
      <c r="A20" s="1490"/>
      <c r="B20" s="3486"/>
      <c r="C20" s="1493" t="s">
        <v>923</v>
      </c>
      <c r="D20" s="850" t="e">
        <f>NUMBERSTRING(INT(D19*10000),2)&amp;"元整"</f>
        <v>#VALUE!</v>
      </c>
      <c r="E20" s="1490"/>
    </row>
    <row r="21" spans="1:5" ht="15.75" thickBot="1">
      <c r="A21" s="1490"/>
      <c r="B21" s="348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6" t="s">
        <v>2084</v>
      </c>
      <c r="D1" s="3787"/>
      <c r="E1" s="3787"/>
      <c r="F1" s="3787"/>
      <c r="G1" s="3787"/>
      <c r="H1" s="3787"/>
      <c r="I1" s="3787"/>
      <c r="J1" s="3787"/>
      <c r="K1" s="3787"/>
      <c r="L1" s="3787"/>
      <c r="M1" s="3787"/>
      <c r="N1" s="3787"/>
      <c r="O1" s="3787"/>
      <c r="P1" s="3787"/>
      <c r="Q1" s="3787"/>
      <c r="R1" s="3787"/>
      <c r="S1" s="378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0</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96"/>
      <c r="B4" s="3797"/>
      <c r="C4" s="3797"/>
      <c r="D4" s="3798"/>
      <c r="E4" s="3798"/>
      <c r="F4" s="3798"/>
      <c r="G4" s="3798"/>
      <c r="H4" s="3798"/>
      <c r="I4" s="3798"/>
      <c r="J4" s="3799"/>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3244</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93" t="s">
        <v>1960</v>
      </c>
      <c r="X8" s="379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95"/>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9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3" t="s">
        <v>1982</v>
      </c>
      <c r="C13" s="755">
        <f>ROUND(C16*D16*E16*F16*G16*H16*I16*J16,4)</f>
        <v>0</v>
      </c>
      <c r="D13" s="2034" t="s">
        <v>1983</v>
      </c>
      <c r="E13" s="2035"/>
      <c r="F13" s="2035"/>
      <c r="G13" s="2036"/>
      <c r="H13" s="2036"/>
      <c r="I13" s="2036"/>
      <c r="J13" s="2037"/>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6"/>
      <c r="M16" s="1996"/>
      <c r="N16" s="1996"/>
      <c r="O16" s="1996"/>
      <c r="P16" s="1996"/>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0"/>
      <c r="B18" s="3007"/>
      <c r="C18" s="3325"/>
      <c r="D18" s="3320" t="s">
        <v>3255</v>
      </c>
      <c r="E18" s="3326"/>
      <c r="F18" s="3321" t="s">
        <v>3258</v>
      </c>
      <c r="G18" s="3325">
        <f>ROUND(1-(1/(POWER(1+G24,E18))),4)</f>
        <v>0</v>
      </c>
      <c r="H18" s="3321" t="s">
        <v>3260</v>
      </c>
      <c r="I18" s="3325">
        <f>ROUND(1-(1/(POWER(1+G24,J24))),4)</f>
        <v>0</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2"/>
      <c r="B19" s="3333"/>
      <c r="C19" s="3334"/>
      <c r="D19" s="3334" t="s">
        <v>3256</v>
      </c>
      <c r="E19" s="3335"/>
      <c r="F19" s="3336" t="s">
        <v>3259</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800" t="s">
        <v>3261</v>
      </c>
      <c r="B20" s="167" t="s">
        <v>1994</v>
      </c>
      <c r="C20" s="3322" t="e">
        <f>ROUND(IF(F21="与级别开发程度一致",0,(G21-E21)/C21),0)</f>
        <v>#DIV/0!</v>
      </c>
      <c r="D20" s="3338" t="s">
        <v>1998</v>
      </c>
      <c r="E20" s="3339"/>
      <c r="F20" s="3806" t="s">
        <v>1995</v>
      </c>
      <c r="G20" s="3807"/>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15" thickBot="1">
      <c r="A21" s="380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2000</v>
      </c>
      <c r="C22" s="2159">
        <f>SUMIF(修正!C20:C51,E3,修正!E20:E51)</f>
        <v>0</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45033</v>
      </c>
      <c r="H23" s="3340" t="s">
        <v>3263</v>
      </c>
      <c r="I23" s="3341" t="str">
        <f>IF(H23="季度增幅（自定义）",SUMIF(N25:N28,E2,O25:O28),"")</f>
        <v/>
      </c>
      <c r="J23" s="3443" t="s">
        <v>3262</v>
      </c>
      <c r="K23" s="1125"/>
      <c r="L23" s="2054" t="s">
        <v>2004</v>
      </c>
      <c r="M23" s="1327">
        <f>ROUND(SUMIF(地价!B2:G2,E2,地价!B16:G16),0)</f>
        <v>0</v>
      </c>
      <c r="N23" s="2055"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3342</v>
      </c>
      <c r="C25" s="771">
        <f>IF(B25="容积率修正",IF(G3&lt;10,D26,J26),C27)</f>
        <v>0</v>
      </c>
      <c r="D25" s="2066"/>
      <c r="E25" s="2066"/>
      <c r="F25" s="2066"/>
      <c r="G25" s="2066"/>
      <c r="H25" s="2066"/>
      <c r="I25" s="2066"/>
      <c r="J25" s="2067"/>
      <c r="K25" s="1125"/>
      <c r="L25" s="2785"/>
      <c r="M25" s="2785"/>
      <c r="N25" s="2068"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5"/>
      <c r="M28" s="278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0" t="s">
        <v>1996</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3" t="s">
        <v>3267</v>
      </c>
      <c r="G33" s="2098"/>
      <c r="H33" s="2098"/>
      <c r="I33" s="2098"/>
      <c r="J33" s="2099"/>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4"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3272</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805"/>
      <c r="B39" s="2040" t="s">
        <v>3266</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7"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6" t="s">
        <v>3276</v>
      </c>
      <c r="B74" s="2133">
        <f>估价对象房地状况!C19</f>
        <v>0</v>
      </c>
      <c r="C74" s="2043"/>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36">
      <c r="A85" s="3366" t="s">
        <v>3277</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2" t="s">
        <v>3301</v>
      </c>
      <c r="B103" s="3802"/>
      <c r="C103" s="3802"/>
      <c r="D103" s="3802"/>
      <c r="E103" s="3802"/>
      <c r="F103" s="3802"/>
      <c r="G103" s="3802"/>
      <c r="H103" s="3802"/>
      <c r="I103" s="3802"/>
      <c r="J103" s="3802"/>
      <c r="K103" s="3387"/>
      <c r="L103" s="3387"/>
      <c r="M103" s="3387"/>
      <c r="N103" s="3387"/>
    </row>
    <row r="104" spans="1:14">
      <c r="A104" s="3803" t="s">
        <v>3302</v>
      </c>
      <c r="B104" s="3803" t="s">
        <v>3303</v>
      </c>
      <c r="C104" s="3388" t="s">
        <v>3304</v>
      </c>
      <c r="D104" s="3389"/>
      <c r="E104" s="3389"/>
      <c r="F104" s="3389"/>
      <c r="G104" s="3389"/>
      <c r="H104" s="3389"/>
      <c r="I104" s="3389"/>
      <c r="J104" s="3390"/>
      <c r="K104" s="3391"/>
      <c r="L104" s="3391"/>
      <c r="M104" s="3391"/>
      <c r="N104" s="3391"/>
    </row>
    <row r="105" spans="1:14">
      <c r="A105" s="3803"/>
      <c r="B105" s="3803"/>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89"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0"/>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2" t="s">
        <v>3318</v>
      </c>
      <c r="B113" s="3792"/>
      <c r="C113" s="3792"/>
      <c r="D113" s="3792"/>
      <c r="E113" s="3792"/>
      <c r="F113" s="3792"/>
      <c r="G113" s="3792"/>
      <c r="H113" s="3792"/>
      <c r="I113" s="3792"/>
      <c r="J113" s="379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9" t="s">
        <v>3321</v>
      </c>
      <c r="F116" s="3399">
        <f>E2</f>
        <v>0</v>
      </c>
      <c r="G116" s="1999" t="s">
        <v>3322</v>
      </c>
      <c r="H116" s="3399">
        <f>G2</f>
        <v>0</v>
      </c>
      <c r="I116" s="1999"/>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17" t="s">
        <v>2610</v>
      </c>
      <c r="B20" s="3812" t="s">
        <v>2631</v>
      </c>
      <c r="C20" s="3100" t="s">
        <v>2442</v>
      </c>
      <c r="D20" s="3101"/>
      <c r="E20" s="3102">
        <v>1</v>
      </c>
      <c r="F20" s="3103" t="s">
        <v>2443</v>
      </c>
      <c r="G20" s="3103"/>
    </row>
    <row r="21" spans="1:13" ht="19.5" customHeight="1">
      <c r="A21" s="3818"/>
      <c r="B21" s="3811"/>
      <c r="C21" s="3104" t="s">
        <v>2444</v>
      </c>
      <c r="D21" s="3105"/>
      <c r="E21" s="3106">
        <v>1</v>
      </c>
      <c r="F21" s="3103" t="s">
        <v>2445</v>
      </c>
      <c r="G21" s="3103"/>
    </row>
    <row r="22" spans="1:13" ht="19.5" customHeight="1">
      <c r="A22" s="3818"/>
      <c r="B22" s="3811"/>
      <c r="C22" s="3104" t="s">
        <v>2446</v>
      </c>
      <c r="D22" s="3105"/>
      <c r="E22" s="3106">
        <v>0.9</v>
      </c>
      <c r="F22" s="3103" t="s">
        <v>2447</v>
      </c>
      <c r="G22" s="3103"/>
    </row>
    <row r="23" spans="1:13" ht="19.5" customHeight="1">
      <c r="A23" s="3818"/>
      <c r="B23" s="3811"/>
      <c r="C23" s="3104" t="s">
        <v>2448</v>
      </c>
      <c r="D23" s="3105"/>
      <c r="E23" s="3106">
        <v>0.9</v>
      </c>
      <c r="F23" s="3103" t="s">
        <v>2449</v>
      </c>
      <c r="G23" s="3103"/>
    </row>
    <row r="24" spans="1:13" ht="19.5" customHeight="1">
      <c r="A24" s="3818"/>
      <c r="B24" s="3811"/>
      <c r="C24" s="3104" t="s">
        <v>2450</v>
      </c>
      <c r="D24" s="3105"/>
      <c r="E24" s="3106">
        <v>0.8</v>
      </c>
      <c r="F24" s="3103" t="s">
        <v>2451</v>
      </c>
      <c r="G24" s="3103"/>
    </row>
    <row r="25" spans="1:13" ht="19.5" customHeight="1" thickBot="1">
      <c r="A25" s="3819"/>
      <c r="B25" s="3813"/>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814" t="s">
        <v>2634</v>
      </c>
      <c r="B27" s="3812" t="s">
        <v>2615</v>
      </c>
      <c r="C27" s="3100" t="s">
        <v>2455</v>
      </c>
      <c r="D27" s="3101"/>
      <c r="E27" s="3102">
        <v>1</v>
      </c>
      <c r="F27" s="3103" t="s">
        <v>2456</v>
      </c>
      <c r="G27" s="3103"/>
    </row>
    <row r="28" spans="1:13" ht="19.5" customHeight="1">
      <c r="A28" s="3815"/>
      <c r="B28" s="3811"/>
      <c r="C28" s="3104" t="s">
        <v>2457</v>
      </c>
      <c r="D28" s="3105"/>
      <c r="E28" s="3106">
        <v>1</v>
      </c>
      <c r="F28" s="3103" t="s">
        <v>2458</v>
      </c>
      <c r="G28" s="3103"/>
    </row>
    <row r="29" spans="1:13" ht="19.5" customHeight="1">
      <c r="A29" s="3815"/>
      <c r="B29" s="3811"/>
      <c r="C29" s="3104" t="s">
        <v>2459</v>
      </c>
      <c r="D29" s="3105"/>
      <c r="E29" s="3106">
        <v>0.8</v>
      </c>
      <c r="F29" s="3103" t="s">
        <v>2460</v>
      </c>
      <c r="G29" s="3103"/>
    </row>
    <row r="30" spans="1:13" ht="19.5" customHeight="1">
      <c r="A30" s="3815"/>
      <c r="B30" s="3811"/>
      <c r="C30" s="3104" t="s">
        <v>2461</v>
      </c>
      <c r="D30" s="3105"/>
      <c r="E30" s="3106">
        <v>0.8</v>
      </c>
      <c r="F30" s="3103" t="s">
        <v>2462</v>
      </c>
      <c r="G30" s="3103"/>
    </row>
    <row r="31" spans="1:13" ht="19.5" customHeight="1">
      <c r="A31" s="3815"/>
      <c r="B31" s="3811"/>
      <c r="C31" s="3104" t="s">
        <v>2463</v>
      </c>
      <c r="D31" s="3105"/>
      <c r="E31" s="3106">
        <v>0.8</v>
      </c>
      <c r="F31" s="3103" t="s">
        <v>2464</v>
      </c>
      <c r="G31" s="3103"/>
    </row>
    <row r="32" spans="1:13" ht="19.5" customHeight="1">
      <c r="A32" s="3815"/>
      <c r="B32" s="3811"/>
      <c r="C32" s="3104" t="s">
        <v>2465</v>
      </c>
      <c r="D32" s="3105"/>
      <c r="E32" s="3106">
        <v>0.7</v>
      </c>
      <c r="F32" s="3103" t="s">
        <v>2466</v>
      </c>
      <c r="G32" s="3103"/>
    </row>
    <row r="33" spans="1:7" ht="19.5" customHeight="1">
      <c r="A33" s="3815"/>
      <c r="B33" s="3811"/>
      <c r="C33" s="3104" t="s">
        <v>2467</v>
      </c>
      <c r="D33" s="3105"/>
      <c r="E33" s="3106">
        <v>0.8</v>
      </c>
      <c r="F33" s="3103" t="s">
        <v>2468</v>
      </c>
      <c r="G33" s="3103"/>
    </row>
    <row r="34" spans="1:7" ht="19.5" customHeight="1">
      <c r="A34" s="3815"/>
      <c r="B34" s="3811"/>
      <c r="C34" s="3104" t="s">
        <v>2469</v>
      </c>
      <c r="D34" s="3105"/>
      <c r="E34" s="3106">
        <v>0.6</v>
      </c>
      <c r="F34" s="3103" t="s">
        <v>2470</v>
      </c>
      <c r="G34" s="3103"/>
    </row>
    <row r="35" spans="1:7" ht="19.5" customHeight="1">
      <c r="A35" s="3815"/>
      <c r="B35" s="3811"/>
      <c r="C35" s="3104" t="s">
        <v>2471</v>
      </c>
      <c r="D35" s="3105"/>
      <c r="E35" s="3106">
        <v>0.2</v>
      </c>
      <c r="F35" s="3103" t="s">
        <v>2472</v>
      </c>
      <c r="G35" s="3103"/>
    </row>
    <row r="36" spans="1:7" ht="19.5" customHeight="1">
      <c r="A36" s="3815"/>
      <c r="B36" s="3811"/>
      <c r="C36" s="3104" t="s">
        <v>2473</v>
      </c>
      <c r="D36" s="3105"/>
      <c r="E36" s="3106">
        <v>0.2</v>
      </c>
      <c r="F36" s="3103" t="s">
        <v>2474</v>
      </c>
      <c r="G36" s="3103"/>
    </row>
    <row r="37" spans="1:7" ht="19.5" customHeight="1">
      <c r="A37" s="3815"/>
      <c r="B37" s="3809" t="s">
        <v>2635</v>
      </c>
      <c r="C37" s="3104" t="s">
        <v>2475</v>
      </c>
      <c r="D37" s="3105"/>
      <c r="E37" s="3106">
        <v>0.6</v>
      </c>
      <c r="F37" s="3103" t="s">
        <v>2476</v>
      </c>
      <c r="G37" s="3103"/>
    </row>
    <row r="38" spans="1:7" ht="19.5" customHeight="1">
      <c r="A38" s="3815"/>
      <c r="B38" s="3811"/>
      <c r="C38" s="3104" t="s">
        <v>2477</v>
      </c>
      <c r="D38" s="3105"/>
      <c r="E38" s="3106">
        <v>0.6</v>
      </c>
      <c r="F38" s="3103" t="s">
        <v>2478</v>
      </c>
      <c r="G38" s="3103"/>
    </row>
    <row r="39" spans="1:7" ht="19.5" customHeight="1" thickBot="1">
      <c r="A39" s="3816"/>
      <c r="B39" s="3813"/>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17" t="s">
        <v>2613</v>
      </c>
      <c r="B41" s="3812" t="s">
        <v>2637</v>
      </c>
      <c r="C41" s="3100" t="s">
        <v>2482</v>
      </c>
      <c r="D41" s="3101"/>
      <c r="E41" s="3102">
        <v>1</v>
      </c>
      <c r="F41" s="3103" t="s">
        <v>2483</v>
      </c>
      <c r="G41" s="3103"/>
    </row>
    <row r="42" spans="1:7" ht="19.5" customHeight="1">
      <c r="A42" s="3818"/>
      <c r="B42" s="3811"/>
      <c r="C42" s="3104" t="s">
        <v>2484</v>
      </c>
      <c r="D42" s="3105"/>
      <c r="E42" s="3106">
        <v>1</v>
      </c>
      <c r="F42" s="3103" t="s">
        <v>2485</v>
      </c>
      <c r="G42" s="3103"/>
    </row>
    <row r="43" spans="1:7" ht="19.5" customHeight="1">
      <c r="A43" s="3818"/>
      <c r="B43" s="3810"/>
      <c r="C43" s="3104" t="s">
        <v>2486</v>
      </c>
      <c r="D43" s="3105"/>
      <c r="E43" s="3106">
        <v>1.5</v>
      </c>
      <c r="F43" s="3103" t="s">
        <v>2487</v>
      </c>
      <c r="G43" s="3103"/>
    </row>
    <row r="44" spans="1:7" ht="19.5" customHeight="1">
      <c r="A44" s="3818"/>
      <c r="B44" s="3115" t="s">
        <v>2638</v>
      </c>
      <c r="C44" s="3104" t="s">
        <v>2639</v>
      </c>
      <c r="D44" s="3105"/>
      <c r="E44" s="3106">
        <v>2</v>
      </c>
      <c r="F44" s="3103" t="s">
        <v>2488</v>
      </c>
      <c r="G44" s="3103"/>
    </row>
    <row r="45" spans="1:7" ht="19.5" customHeight="1">
      <c r="A45" s="3818"/>
      <c r="B45" s="3809" t="s">
        <v>2640</v>
      </c>
      <c r="C45" s="3104" t="s">
        <v>2489</v>
      </c>
      <c r="D45" s="3105"/>
      <c r="E45" s="3106">
        <v>1</v>
      </c>
      <c r="F45" s="3103" t="s">
        <v>2490</v>
      </c>
      <c r="G45" s="3103"/>
    </row>
    <row r="46" spans="1:7" ht="19.5" customHeight="1">
      <c r="A46" s="3818"/>
      <c r="B46" s="3811"/>
      <c r="C46" s="3104" t="s">
        <v>2491</v>
      </c>
      <c r="D46" s="3105"/>
      <c r="E46" s="3106">
        <v>1</v>
      </c>
      <c r="F46" s="3103" t="s">
        <v>2492</v>
      </c>
      <c r="G46" s="3103"/>
    </row>
    <row r="47" spans="1:7" ht="19.5" customHeight="1">
      <c r="A47" s="3818"/>
      <c r="B47" s="3811"/>
      <c r="C47" s="3104" t="s">
        <v>2493</v>
      </c>
      <c r="D47" s="3105"/>
      <c r="E47" s="3106">
        <v>1</v>
      </c>
      <c r="F47" s="3103" t="s">
        <v>2494</v>
      </c>
      <c r="G47" s="3103"/>
    </row>
    <row r="48" spans="1:7" ht="19.5" customHeight="1">
      <c r="A48" s="3818"/>
      <c r="B48" s="3811"/>
      <c r="C48" s="3104" t="s">
        <v>2495</v>
      </c>
      <c r="D48" s="3105"/>
      <c r="E48" s="3106">
        <v>1</v>
      </c>
      <c r="F48" s="3103" t="s">
        <v>2496</v>
      </c>
      <c r="G48" s="3103"/>
    </row>
    <row r="49" spans="1:7" ht="19.5" customHeight="1">
      <c r="A49" s="3818"/>
      <c r="B49" s="3811"/>
      <c r="C49" s="3104" t="s">
        <v>2497</v>
      </c>
      <c r="D49" s="3105"/>
      <c r="E49" s="3106">
        <v>1</v>
      </c>
      <c r="F49" s="3103" t="s">
        <v>2498</v>
      </c>
      <c r="G49" s="3103"/>
    </row>
    <row r="50" spans="1:7" ht="19.5" customHeight="1">
      <c r="A50" s="3818"/>
      <c r="B50" s="3811"/>
      <c r="C50" s="3104" t="s">
        <v>2499</v>
      </c>
      <c r="D50" s="3105"/>
      <c r="E50" s="3106">
        <v>1</v>
      </c>
      <c r="F50" s="3103" t="s">
        <v>2500</v>
      </c>
      <c r="G50" s="3103"/>
    </row>
    <row r="51" spans="1:7" ht="19.5" customHeight="1" thickBot="1">
      <c r="A51" s="3819"/>
      <c r="B51" s="3813"/>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809" t="s">
        <v>2654</v>
      </c>
      <c r="C73" s="3089" t="s">
        <v>2655</v>
      </c>
      <c r="D73" s="3089" t="s">
        <v>2656</v>
      </c>
      <c r="E73" s="3115">
        <v>0.2</v>
      </c>
      <c r="F73" s="3115">
        <v>25</v>
      </c>
    </row>
    <row r="74" spans="1:7" ht="24">
      <c r="A74" s="3115">
        <v>2</v>
      </c>
      <c r="B74" s="3811"/>
      <c r="C74" s="3089" t="s">
        <v>2657</v>
      </c>
      <c r="D74" s="3089" t="s">
        <v>2658</v>
      </c>
      <c r="E74" s="3115">
        <v>0.2</v>
      </c>
      <c r="F74" s="3115">
        <v>25</v>
      </c>
    </row>
    <row r="75" spans="1:7" ht="24">
      <c r="A75" s="3115">
        <v>3</v>
      </c>
      <c r="B75" s="3811"/>
      <c r="C75" s="3089" t="s">
        <v>2659</v>
      </c>
      <c r="D75" s="3089" t="s">
        <v>2660</v>
      </c>
      <c r="E75" s="3115">
        <v>0.2</v>
      </c>
      <c r="F75" s="3115">
        <v>25</v>
      </c>
    </row>
    <row r="76" spans="1:7" ht="13.5">
      <c r="A76" s="3115">
        <v>4</v>
      </c>
      <c r="B76" s="3811"/>
      <c r="C76" s="3089" t="s">
        <v>2661</v>
      </c>
      <c r="D76" s="3089" t="s">
        <v>2662</v>
      </c>
      <c r="E76" s="3115">
        <v>0.15</v>
      </c>
      <c r="F76" s="3115">
        <v>20</v>
      </c>
    </row>
    <row r="77" spans="1:7" ht="24">
      <c r="A77" s="3115">
        <v>5</v>
      </c>
      <c r="B77" s="3811"/>
      <c r="C77" s="3089" t="s">
        <v>2663</v>
      </c>
      <c r="D77" s="3089" t="s">
        <v>2664</v>
      </c>
      <c r="E77" s="3115">
        <v>0.15</v>
      </c>
      <c r="F77" s="3115">
        <v>20</v>
      </c>
    </row>
    <row r="78" spans="1:7" ht="24">
      <c r="A78" s="3115">
        <v>6</v>
      </c>
      <c r="B78" s="3811"/>
      <c r="C78" s="3089" t="s">
        <v>2665</v>
      </c>
      <c r="D78" s="3089" t="s">
        <v>2666</v>
      </c>
      <c r="E78" s="3115">
        <v>0.15</v>
      </c>
      <c r="F78" s="3115">
        <v>20</v>
      </c>
    </row>
    <row r="79" spans="1:7" ht="24">
      <c r="A79" s="3115">
        <v>7</v>
      </c>
      <c r="B79" s="3811"/>
      <c r="C79" s="3089" t="s">
        <v>2667</v>
      </c>
      <c r="D79" s="3089" t="s">
        <v>2668</v>
      </c>
      <c r="E79" s="3115">
        <v>0.15</v>
      </c>
      <c r="F79" s="3115">
        <v>20</v>
      </c>
    </row>
    <row r="80" spans="1:7" ht="24">
      <c r="A80" s="3115">
        <v>8</v>
      </c>
      <c r="B80" s="3811"/>
      <c r="C80" s="3089" t="s">
        <v>2669</v>
      </c>
      <c r="D80" s="3089" t="s">
        <v>2670</v>
      </c>
      <c r="E80" s="3115">
        <v>0.1</v>
      </c>
      <c r="F80" s="3115">
        <v>15</v>
      </c>
    </row>
    <row r="81" spans="1:6" ht="24">
      <c r="A81" s="3115">
        <v>9</v>
      </c>
      <c r="B81" s="3811"/>
      <c r="C81" s="3089" t="s">
        <v>2671</v>
      </c>
      <c r="D81" s="3089" t="s">
        <v>2672</v>
      </c>
      <c r="E81" s="3115">
        <v>0.1</v>
      </c>
      <c r="F81" s="3115">
        <v>15</v>
      </c>
    </row>
    <row r="82" spans="1:6" ht="24">
      <c r="A82" s="3115">
        <v>10</v>
      </c>
      <c r="B82" s="3811"/>
      <c r="C82" s="3089" t="s">
        <v>2673</v>
      </c>
      <c r="D82" s="3089" t="s">
        <v>2674</v>
      </c>
      <c r="E82" s="3115">
        <v>0.1</v>
      </c>
      <c r="F82" s="3115">
        <v>15</v>
      </c>
    </row>
    <row r="83" spans="1:6" ht="24">
      <c r="A83" s="3115">
        <v>11</v>
      </c>
      <c r="B83" s="3811"/>
      <c r="C83" s="3089" t="s">
        <v>2675</v>
      </c>
      <c r="D83" s="3089" t="s">
        <v>2676</v>
      </c>
      <c r="E83" s="3115">
        <v>0.1</v>
      </c>
      <c r="F83" s="3115">
        <v>15</v>
      </c>
    </row>
    <row r="84" spans="1:6" ht="24">
      <c r="A84" s="3115">
        <v>12</v>
      </c>
      <c r="B84" s="3811"/>
      <c r="C84" s="3089" t="s">
        <v>2677</v>
      </c>
      <c r="D84" s="3089" t="s">
        <v>2678</v>
      </c>
      <c r="E84" s="3115">
        <v>0.1</v>
      </c>
      <c r="F84" s="3115">
        <v>15</v>
      </c>
    </row>
    <row r="85" spans="1:6" ht="13.5">
      <c r="A85" s="3115">
        <v>13</v>
      </c>
      <c r="B85" s="3811"/>
      <c r="C85" s="3089" t="s">
        <v>2679</v>
      </c>
      <c r="D85" s="3089" t="s">
        <v>2680</v>
      </c>
      <c r="E85" s="3115">
        <v>0.1</v>
      </c>
      <c r="F85" s="3115">
        <v>15</v>
      </c>
    </row>
    <row r="86" spans="1:6" ht="13.5">
      <c r="A86" s="3115">
        <v>14</v>
      </c>
      <c r="B86" s="3811"/>
      <c r="C86" s="3089" t="s">
        <v>2681</v>
      </c>
      <c r="D86" s="3089" t="s">
        <v>2682</v>
      </c>
      <c r="E86" s="3115">
        <v>0.1</v>
      </c>
      <c r="F86" s="3115">
        <v>15</v>
      </c>
    </row>
    <row r="87" spans="1:6" ht="13.5">
      <c r="A87" s="3115">
        <v>15</v>
      </c>
      <c r="B87" s="3811"/>
      <c r="C87" s="3089" t="s">
        <v>2683</v>
      </c>
      <c r="D87" s="3089" t="s">
        <v>2684</v>
      </c>
      <c r="E87" s="3115">
        <v>0.1</v>
      </c>
      <c r="F87" s="3115">
        <v>15</v>
      </c>
    </row>
    <row r="88" spans="1:6" ht="24">
      <c r="A88" s="3115">
        <v>16</v>
      </c>
      <c r="B88" s="3811"/>
      <c r="C88" s="3089" t="s">
        <v>2685</v>
      </c>
      <c r="D88" s="3089" t="s">
        <v>2686</v>
      </c>
      <c r="E88" s="3115">
        <v>0.1</v>
      </c>
      <c r="F88" s="3115">
        <v>15</v>
      </c>
    </row>
    <row r="89" spans="1:6" ht="24">
      <c r="A89" s="3115">
        <v>17</v>
      </c>
      <c r="B89" s="3810"/>
      <c r="C89" s="3089" t="s">
        <v>2687</v>
      </c>
      <c r="D89" s="3089" t="s">
        <v>2688</v>
      </c>
      <c r="E89" s="3115">
        <v>0.1</v>
      </c>
      <c r="F89" s="3115">
        <v>15</v>
      </c>
    </row>
    <row r="90" spans="1:6" ht="13.5">
      <c r="A90" s="3115">
        <v>18</v>
      </c>
      <c r="B90" s="3809" t="s">
        <v>2689</v>
      </c>
      <c r="C90" s="3089" t="s">
        <v>2690</v>
      </c>
      <c r="D90" s="3089" t="s">
        <v>2691</v>
      </c>
      <c r="E90" s="3115">
        <v>0.2</v>
      </c>
      <c r="F90" s="3115">
        <v>25</v>
      </c>
    </row>
    <row r="91" spans="1:6" ht="24">
      <c r="A91" s="3115">
        <v>19</v>
      </c>
      <c r="B91" s="3811"/>
      <c r="C91" s="3089" t="s">
        <v>2692</v>
      </c>
      <c r="D91" s="3089" t="s">
        <v>2693</v>
      </c>
      <c r="E91" s="3115">
        <v>0.2</v>
      </c>
      <c r="F91" s="3115">
        <v>25</v>
      </c>
    </row>
    <row r="92" spans="1:6" ht="13.5">
      <c r="A92" s="3115">
        <v>20</v>
      </c>
      <c r="B92" s="3811"/>
      <c r="C92" s="3089" t="s">
        <v>2694</v>
      </c>
      <c r="D92" s="3089" t="s">
        <v>2695</v>
      </c>
      <c r="E92" s="3115">
        <v>0.15</v>
      </c>
      <c r="F92" s="3115">
        <v>20</v>
      </c>
    </row>
    <row r="93" spans="1:6" ht="13.5">
      <c r="A93" s="3115">
        <v>21</v>
      </c>
      <c r="B93" s="3811"/>
      <c r="C93" s="3089" t="s">
        <v>2696</v>
      </c>
      <c r="D93" s="3089" t="s">
        <v>2697</v>
      </c>
      <c r="E93" s="3115">
        <v>0.15</v>
      </c>
      <c r="F93" s="3115">
        <v>20</v>
      </c>
    </row>
    <row r="94" spans="1:6" ht="13.5">
      <c r="A94" s="3115">
        <v>22</v>
      </c>
      <c r="B94" s="3811"/>
      <c r="C94" s="3089" t="s">
        <v>2698</v>
      </c>
      <c r="D94" s="3089" t="s">
        <v>2699</v>
      </c>
      <c r="E94" s="3115">
        <v>0.15</v>
      </c>
      <c r="F94" s="3115">
        <v>20</v>
      </c>
    </row>
    <row r="95" spans="1:6" ht="36">
      <c r="A95" s="3115">
        <v>23</v>
      </c>
      <c r="B95" s="3811"/>
      <c r="C95" s="3089" t="s">
        <v>2700</v>
      </c>
      <c r="D95" s="3089" t="s">
        <v>2701</v>
      </c>
      <c r="E95" s="3115">
        <v>0.15</v>
      </c>
      <c r="F95" s="3115">
        <v>20</v>
      </c>
    </row>
    <row r="96" spans="1:6" ht="13.5">
      <c r="A96" s="3115">
        <v>24</v>
      </c>
      <c r="B96" s="3811"/>
      <c r="C96" s="3089" t="s">
        <v>2702</v>
      </c>
      <c r="D96" s="3089" t="s">
        <v>2703</v>
      </c>
      <c r="E96" s="3115">
        <v>0.1</v>
      </c>
      <c r="F96" s="3115">
        <v>15</v>
      </c>
    </row>
    <row r="97" spans="1:6" ht="13.5">
      <c r="A97" s="3115">
        <v>25</v>
      </c>
      <c r="B97" s="3811"/>
      <c r="C97" s="3089" t="s">
        <v>2704</v>
      </c>
      <c r="D97" s="3089" t="s">
        <v>2705</v>
      </c>
      <c r="E97" s="3115">
        <v>0.1</v>
      </c>
      <c r="F97" s="3115">
        <v>15</v>
      </c>
    </row>
    <row r="98" spans="1:6" ht="24">
      <c r="A98" s="3115">
        <v>26</v>
      </c>
      <c r="B98" s="3811"/>
      <c r="C98" s="3089" t="s">
        <v>2706</v>
      </c>
      <c r="D98" s="3089" t="s">
        <v>2707</v>
      </c>
      <c r="E98" s="3115">
        <v>0.1</v>
      </c>
      <c r="F98" s="3115">
        <v>15</v>
      </c>
    </row>
    <row r="99" spans="1:6" ht="24">
      <c r="A99" s="3115">
        <v>27</v>
      </c>
      <c r="B99" s="3811"/>
      <c r="C99" s="3089" t="s">
        <v>2708</v>
      </c>
      <c r="D99" s="3089" t="s">
        <v>2709</v>
      </c>
      <c r="E99" s="3115">
        <v>0.1</v>
      </c>
      <c r="F99" s="3115">
        <v>15</v>
      </c>
    </row>
    <row r="100" spans="1:6" ht="13.5">
      <c r="A100" s="3115">
        <v>28</v>
      </c>
      <c r="B100" s="3811"/>
      <c r="C100" s="3089" t="s">
        <v>2710</v>
      </c>
      <c r="D100" s="3089" t="s">
        <v>2711</v>
      </c>
      <c r="E100" s="3115">
        <v>0.1</v>
      </c>
      <c r="F100" s="3115">
        <v>15</v>
      </c>
    </row>
    <row r="101" spans="1:6" ht="13.5">
      <c r="A101" s="3115">
        <v>29</v>
      </c>
      <c r="B101" s="3811"/>
      <c r="C101" s="3089" t="s">
        <v>2712</v>
      </c>
      <c r="D101" s="3089" t="s">
        <v>2713</v>
      </c>
      <c r="E101" s="3115">
        <v>0.1</v>
      </c>
      <c r="F101" s="3115">
        <v>15</v>
      </c>
    </row>
    <row r="102" spans="1:6" ht="13.5">
      <c r="A102" s="3115">
        <v>30</v>
      </c>
      <c r="B102" s="3811"/>
      <c r="C102" s="3089" t="s">
        <v>2714</v>
      </c>
      <c r="D102" s="3089" t="s">
        <v>2715</v>
      </c>
      <c r="E102" s="3115">
        <v>0.1</v>
      </c>
      <c r="F102" s="3115">
        <v>15</v>
      </c>
    </row>
    <row r="103" spans="1:6" ht="24">
      <c r="A103" s="3115">
        <v>31</v>
      </c>
      <c r="B103" s="3811"/>
      <c r="C103" s="3089" t="s">
        <v>2716</v>
      </c>
      <c r="D103" s="3089" t="s">
        <v>2717</v>
      </c>
      <c r="E103" s="3115">
        <v>0.1</v>
      </c>
      <c r="F103" s="3115">
        <v>15</v>
      </c>
    </row>
    <row r="104" spans="1:6" ht="24">
      <c r="A104" s="3115">
        <v>32</v>
      </c>
      <c r="B104" s="3811"/>
      <c r="C104" s="3089" t="s">
        <v>2718</v>
      </c>
      <c r="D104" s="3089" t="s">
        <v>2719</v>
      </c>
      <c r="E104" s="3115">
        <v>0.1</v>
      </c>
      <c r="F104" s="3115">
        <v>15</v>
      </c>
    </row>
    <row r="105" spans="1:6" ht="24">
      <c r="A105" s="3115">
        <v>33</v>
      </c>
      <c r="B105" s="3811"/>
      <c r="C105" s="3089" t="s">
        <v>2720</v>
      </c>
      <c r="D105" s="3089" t="s">
        <v>2721</v>
      </c>
      <c r="E105" s="3115">
        <v>0.1</v>
      </c>
      <c r="F105" s="3115">
        <v>15</v>
      </c>
    </row>
    <row r="106" spans="1:6" ht="24">
      <c r="A106" s="3115">
        <v>34</v>
      </c>
      <c r="B106" s="3810"/>
      <c r="C106" s="3089" t="s">
        <v>2722</v>
      </c>
      <c r="D106" s="3089" t="s">
        <v>2723</v>
      </c>
      <c r="E106" s="3115">
        <v>0.1</v>
      </c>
      <c r="F106" s="3115">
        <v>15</v>
      </c>
    </row>
    <row r="107" spans="1:6" ht="24">
      <c r="A107" s="3115">
        <v>35</v>
      </c>
      <c r="B107" s="3809" t="s">
        <v>2724</v>
      </c>
      <c r="C107" s="3115" t="s">
        <v>2725</v>
      </c>
      <c r="D107" s="3089" t="s">
        <v>2726</v>
      </c>
      <c r="E107" s="3115">
        <v>0.15</v>
      </c>
      <c r="F107" s="3115">
        <v>20</v>
      </c>
    </row>
    <row r="108" spans="1:6" ht="13.5">
      <c r="A108" s="3115">
        <v>36</v>
      </c>
      <c r="B108" s="3811"/>
      <c r="C108" s="3115" t="s">
        <v>2727</v>
      </c>
      <c r="D108" s="3089" t="s">
        <v>2728</v>
      </c>
      <c r="E108" s="3115">
        <v>0.15</v>
      </c>
      <c r="F108" s="3115">
        <v>20</v>
      </c>
    </row>
    <row r="109" spans="1:6" ht="13.5">
      <c r="A109" s="3115">
        <v>37</v>
      </c>
      <c r="B109" s="3811"/>
      <c r="C109" s="3115" t="s">
        <v>2729</v>
      </c>
      <c r="D109" s="3089" t="s">
        <v>2730</v>
      </c>
      <c r="E109" s="3115">
        <v>0.15</v>
      </c>
      <c r="F109" s="3115">
        <v>20</v>
      </c>
    </row>
    <row r="110" spans="1:6" ht="13.5">
      <c r="A110" s="3115">
        <v>38</v>
      </c>
      <c r="B110" s="3811"/>
      <c r="C110" s="3115" t="s">
        <v>2731</v>
      </c>
      <c r="D110" s="3089" t="s">
        <v>2732</v>
      </c>
      <c r="E110" s="3115">
        <v>0.1</v>
      </c>
      <c r="F110" s="3115">
        <v>15</v>
      </c>
    </row>
    <row r="111" spans="1:6" ht="24">
      <c r="A111" s="3115">
        <v>39</v>
      </c>
      <c r="B111" s="3811"/>
      <c r="C111" s="3115" t="s">
        <v>2733</v>
      </c>
      <c r="D111" s="3089" t="s">
        <v>2734</v>
      </c>
      <c r="E111" s="3115">
        <v>0.1</v>
      </c>
      <c r="F111" s="3115">
        <v>15</v>
      </c>
    </row>
    <row r="112" spans="1:6" ht="24">
      <c r="A112" s="3115">
        <v>40</v>
      </c>
      <c r="B112" s="3810"/>
      <c r="C112" s="3115" t="s">
        <v>2735</v>
      </c>
      <c r="D112" s="3089" t="s">
        <v>2736</v>
      </c>
      <c r="E112" s="3115">
        <v>0.1</v>
      </c>
      <c r="F112" s="3115">
        <v>15</v>
      </c>
    </row>
    <row r="113" spans="1:6" ht="13.5">
      <c r="A113" s="3115">
        <v>41</v>
      </c>
      <c r="B113" s="3808" t="s">
        <v>2737</v>
      </c>
      <c r="C113" s="3115" t="s">
        <v>2738</v>
      </c>
      <c r="D113" s="3089" t="s">
        <v>2739</v>
      </c>
      <c r="E113" s="3115">
        <v>0.1</v>
      </c>
      <c r="F113" s="3115">
        <v>15</v>
      </c>
    </row>
    <row r="114" spans="1:6" ht="13.5">
      <c r="A114" s="3115">
        <v>42</v>
      </c>
      <c r="B114" s="3808"/>
      <c r="C114" s="3115" t="s">
        <v>2740</v>
      </c>
      <c r="D114" s="3089" t="s">
        <v>2741</v>
      </c>
      <c r="E114" s="3115">
        <v>0.1</v>
      </c>
      <c r="F114" s="3115">
        <v>15</v>
      </c>
    </row>
    <row r="115" spans="1:6" ht="24">
      <c r="A115" s="3115">
        <v>43</v>
      </c>
      <c r="B115" s="3808"/>
      <c r="C115" s="3115" t="s">
        <v>2742</v>
      </c>
      <c r="D115" s="3089" t="s">
        <v>2743</v>
      </c>
      <c r="E115" s="3115">
        <v>0.1</v>
      </c>
      <c r="F115" s="3115">
        <v>15</v>
      </c>
    </row>
    <row r="116" spans="1:6" ht="13.5">
      <c r="A116" s="3115">
        <v>44</v>
      </c>
      <c r="B116" s="3809" t="s">
        <v>2744</v>
      </c>
      <c r="C116" s="3115" t="s">
        <v>2745</v>
      </c>
      <c r="D116" s="3089" t="s">
        <v>2746</v>
      </c>
      <c r="E116" s="3115">
        <v>0.1</v>
      </c>
      <c r="F116" s="3115">
        <v>15</v>
      </c>
    </row>
    <row r="117" spans="1:6" ht="24">
      <c r="A117" s="3115">
        <v>45</v>
      </c>
      <c r="B117" s="3810"/>
      <c r="C117" s="3089" t="s">
        <v>2747</v>
      </c>
      <c r="D117" s="3089" t="s">
        <v>2748</v>
      </c>
      <c r="E117" s="3115">
        <v>0.1</v>
      </c>
      <c r="F117" s="3115">
        <v>15</v>
      </c>
    </row>
    <row r="118" spans="1:6" ht="24">
      <c r="A118" s="3115">
        <v>46</v>
      </c>
      <c r="B118" s="3809" t="s">
        <v>2749</v>
      </c>
      <c r="C118" s="3115" t="s">
        <v>2750</v>
      </c>
      <c r="D118" s="3089" t="s">
        <v>2751</v>
      </c>
      <c r="E118" s="3115">
        <v>0.1</v>
      </c>
      <c r="F118" s="3115">
        <v>15</v>
      </c>
    </row>
    <row r="119" spans="1:6" ht="24">
      <c r="A119" s="3115">
        <v>47</v>
      </c>
      <c r="B119" s="3810"/>
      <c r="C119" s="3115" t="s">
        <v>2752</v>
      </c>
      <c r="D119" s="3089" t="s">
        <v>2753</v>
      </c>
      <c r="E119" s="3115">
        <v>0.1</v>
      </c>
      <c r="F119" s="3115">
        <v>15</v>
      </c>
    </row>
    <row r="120" spans="1:6" ht="13.5">
      <c r="A120" s="3115">
        <v>48</v>
      </c>
      <c r="B120" s="3809" t="s">
        <v>2754</v>
      </c>
      <c r="C120" s="3115" t="s">
        <v>2755</v>
      </c>
      <c r="D120" s="3089" t="s">
        <v>2756</v>
      </c>
      <c r="E120" s="3115">
        <v>0.1</v>
      </c>
      <c r="F120" s="3115">
        <v>15</v>
      </c>
    </row>
    <row r="121" spans="1:6" ht="13.5">
      <c r="A121" s="3115">
        <v>49</v>
      </c>
      <c r="B121" s="3810"/>
      <c r="C121" s="3115" t="s">
        <v>2757</v>
      </c>
      <c r="D121" s="3089" t="s">
        <v>2758</v>
      </c>
      <c r="E121" s="3115">
        <v>0.1</v>
      </c>
      <c r="F121" s="3115">
        <v>15</v>
      </c>
    </row>
    <row r="122" spans="1:6" ht="24">
      <c r="A122" s="3115">
        <v>50</v>
      </c>
      <c r="B122" s="3808" t="s">
        <v>2759</v>
      </c>
      <c r="C122" s="3115" t="s">
        <v>2760</v>
      </c>
      <c r="D122" s="3089" t="s">
        <v>2761</v>
      </c>
      <c r="E122" s="3115">
        <v>0.1</v>
      </c>
      <c r="F122" s="3115">
        <v>15</v>
      </c>
    </row>
    <row r="123" spans="1:6" ht="24">
      <c r="A123" s="3115">
        <v>51</v>
      </c>
      <c r="B123" s="3808"/>
      <c r="C123" s="3115" t="s">
        <v>2762</v>
      </c>
      <c r="D123" s="3089" t="s">
        <v>2763</v>
      </c>
      <c r="E123" s="3115">
        <v>0.1</v>
      </c>
      <c r="F123" s="3115">
        <v>15</v>
      </c>
    </row>
    <row r="124" spans="1:6" ht="24">
      <c r="A124" s="3115">
        <v>52</v>
      </c>
      <c r="B124" s="3808" t="s">
        <v>2764</v>
      </c>
      <c r="C124" s="3115" t="s">
        <v>2765</v>
      </c>
      <c r="D124" s="3089" t="s">
        <v>2766</v>
      </c>
      <c r="E124" s="3115">
        <v>0.1</v>
      </c>
      <c r="F124" s="3115">
        <v>15</v>
      </c>
    </row>
    <row r="125" spans="1:6" ht="24">
      <c r="A125" s="3115">
        <v>53</v>
      </c>
      <c r="B125" s="3808"/>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808" t="s">
        <v>2772</v>
      </c>
      <c r="C127" s="3115" t="s">
        <v>2773</v>
      </c>
      <c r="D127" s="3089" t="s">
        <v>2774</v>
      </c>
      <c r="E127" s="3115">
        <v>0.1</v>
      </c>
      <c r="F127" s="3115">
        <v>15</v>
      </c>
    </row>
    <row r="128" spans="1:6" ht="13.5">
      <c r="A128" s="3115">
        <v>56</v>
      </c>
      <c r="B128" s="3808"/>
      <c r="C128" s="3115" t="s">
        <v>2775</v>
      </c>
      <c r="D128" s="3089" t="s">
        <v>2776</v>
      </c>
      <c r="E128" s="3115">
        <v>0.1</v>
      </c>
      <c r="F128" s="3115">
        <v>15</v>
      </c>
    </row>
    <row r="129" spans="1:6" ht="24">
      <c r="A129" s="3115">
        <v>57</v>
      </c>
      <c r="B129" s="3808"/>
      <c r="C129" s="3115" t="s">
        <v>2777</v>
      </c>
      <c r="D129" s="3089" t="s">
        <v>2778</v>
      </c>
      <c r="E129" s="3115">
        <v>0.1</v>
      </c>
      <c r="F129" s="3115">
        <v>15</v>
      </c>
    </row>
    <row r="130" spans="1:6" ht="24">
      <c r="A130" s="3115">
        <v>58</v>
      </c>
      <c r="B130" s="3808" t="s">
        <v>2779</v>
      </c>
      <c r="C130" s="3115" t="s">
        <v>2780</v>
      </c>
      <c r="D130" s="3089" t="s">
        <v>2781</v>
      </c>
      <c r="E130" s="3115">
        <v>0.1</v>
      </c>
      <c r="F130" s="3115">
        <v>15</v>
      </c>
    </row>
    <row r="131" spans="1:6" ht="13.5">
      <c r="A131" s="3115">
        <v>59</v>
      </c>
      <c r="B131" s="3808"/>
      <c r="C131" s="3115" t="s">
        <v>2782</v>
      </c>
      <c r="D131" s="3089" t="s">
        <v>2783</v>
      </c>
      <c r="E131" s="3115">
        <v>0.1</v>
      </c>
      <c r="F131" s="3115">
        <v>15</v>
      </c>
    </row>
    <row r="132" spans="1:6" ht="13.5">
      <c r="A132" s="3115">
        <v>60</v>
      </c>
      <c r="B132" s="3809" t="s">
        <v>2784</v>
      </c>
      <c r="C132" s="3115" t="s">
        <v>2785</v>
      </c>
      <c r="D132" s="3089" t="s">
        <v>2786</v>
      </c>
      <c r="E132" s="3115">
        <v>0.1</v>
      </c>
      <c r="F132" s="3115">
        <v>15</v>
      </c>
    </row>
    <row r="133" spans="1:6" ht="13.5">
      <c r="A133" s="3115">
        <v>61</v>
      </c>
      <c r="B133" s="3810"/>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808" t="s">
        <v>2792</v>
      </c>
      <c r="C135" s="3115" t="s">
        <v>2793</v>
      </c>
      <c r="D135" s="3089" t="s">
        <v>2794</v>
      </c>
      <c r="E135" s="3115">
        <v>0.1</v>
      </c>
      <c r="F135" s="3115">
        <v>15</v>
      </c>
    </row>
    <row r="136" spans="1:6" ht="13.5">
      <c r="A136" s="3115">
        <v>64</v>
      </c>
      <c r="B136" s="3808"/>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53963</v>
      </c>
      <c r="C2" s="2" t="s">
        <v>106</v>
      </c>
      <c r="D2" s="199"/>
      <c r="E2" s="199"/>
      <c r="F2" s="199"/>
      <c r="G2" s="199"/>
    </row>
    <row r="3" spans="1:7" s="200" customFormat="1" ht="18" customHeight="1" thickBot="1">
      <c r="A3" s="203" t="s">
        <v>58</v>
      </c>
      <c r="B3" s="204">
        <f ca="1">ROUND(B2*10000/'数据-汇总表'!E3,0)</f>
        <v>22266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180</v>
      </c>
      <c r="F9" s="221"/>
      <c r="G9" s="226"/>
    </row>
    <row r="10" spans="1:7" s="214" customFormat="1" ht="13.5" customHeight="1">
      <c r="A10" s="779" t="s">
        <v>356</v>
      </c>
      <c r="B10" s="224" t="s">
        <v>67</v>
      </c>
      <c r="C10" s="225">
        <f>ROUND(D10*E10/10000,0)</f>
        <v>388</v>
      </c>
      <c r="D10" s="845">
        <f>'数据-汇总表'!E6</f>
        <v>24235.660000000003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485</v>
      </c>
      <c r="D19" s="849">
        <f>'数据-汇总表'!E3</f>
        <v>24235.660000000003</v>
      </c>
      <c r="E19" s="211">
        <f>'数据-取费表'!B31</f>
        <v>200</v>
      </c>
      <c r="F19" s="231"/>
      <c r="G19" s="1" t="s">
        <v>436</v>
      </c>
    </row>
    <row r="20" spans="1:7" s="214" customFormat="1" ht="13.5" customHeight="1">
      <c r="A20" s="777" t="s">
        <v>419</v>
      </c>
      <c r="B20" s="210" t="s">
        <v>77</v>
      </c>
      <c r="C20" s="232">
        <f>ROUND((C5+C19)*F20,0)</f>
        <v>633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1813</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4346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30631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15143</v>
      </c>
      <c r="D34" s="217"/>
      <c r="E34" s="220"/>
      <c r="F34" s="257">
        <f>IF('数据-取费表'!B24=0,1,'数据-取费表'!N16)</f>
        <v>1</v>
      </c>
      <c r="G34" s="219" t="s">
        <v>89</v>
      </c>
    </row>
    <row r="35" spans="1:7" ht="13.5" customHeight="1">
      <c r="A35" s="780" t="s">
        <v>351</v>
      </c>
      <c r="B35" s="215" t="s">
        <v>33</v>
      </c>
      <c r="C35" s="220">
        <f>ROUND(C34*F35,0)</f>
        <v>757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485</v>
      </c>
      <c r="D37" s="217">
        <f>'数据-汇总表'!E3</f>
        <v>24235.660000000003</v>
      </c>
      <c r="E37" s="249">
        <f>'数据-取费表'!B35</f>
        <v>200</v>
      </c>
      <c r="F37" s="259"/>
      <c r="G37" s="261" t="s">
        <v>92</v>
      </c>
    </row>
    <row r="38" spans="1:7" ht="13.5" customHeight="1">
      <c r="A38" s="780" t="s">
        <v>354</v>
      </c>
      <c r="B38" s="215" t="s">
        <v>36</v>
      </c>
      <c r="C38" s="220">
        <f>ROUND(C34*F38,0)</f>
        <v>227</v>
      </c>
      <c r="D38" s="220"/>
      <c r="E38" s="220"/>
      <c r="F38" s="259">
        <f>'数据-取费表'!B36</f>
        <v>1.4999999999999999E-2</v>
      </c>
      <c r="G38" s="219" t="s">
        <v>90</v>
      </c>
    </row>
    <row r="39" spans="1:7" s="214" customFormat="1" ht="13.5" customHeight="1">
      <c r="A39" s="777" t="s">
        <v>338</v>
      </c>
      <c r="B39" s="210" t="s">
        <v>77</v>
      </c>
      <c r="C39" s="232">
        <f>ROUND(C33*F20,0)</f>
        <v>498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710</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689</v>
      </c>
      <c r="D42" s="238"/>
      <c r="E42" s="238"/>
      <c r="F42" s="239"/>
      <c r="G42" s="3680" t="s">
        <v>94</v>
      </c>
    </row>
    <row r="43" spans="1:7" ht="13.5" customHeight="1">
      <c r="A43" s="780" t="s">
        <v>347</v>
      </c>
      <c r="B43" s="215" t="s">
        <v>426</v>
      </c>
      <c r="C43" s="238">
        <f ca="1">ROUND(IF('数据-取费表'!B22&lt;=1,C39*F22*'数据-取费表'!B21/2,C39*(POWER((1+F22),'数据-取费表'!B21/2)-1)),0)</f>
        <v>21</v>
      </c>
      <c r="D43" s="238"/>
      <c r="E43" s="238"/>
      <c r="F43" s="239"/>
      <c r="G43" s="3681"/>
    </row>
    <row r="44" spans="1:7" ht="13.5" customHeight="1">
      <c r="A44" s="780" t="s">
        <v>348</v>
      </c>
      <c r="B44" s="215" t="s">
        <v>428</v>
      </c>
      <c r="C44" s="238">
        <f ca="1">ROUND(IF('数据-取费表'!B22&lt;=1,C40*F22*'数据-取费表'!B21/2,C40*(POWER((1+F22),'数据-取费表'!B21/2)-1)),4)</f>
        <v>1.1999999999999999E-3</v>
      </c>
      <c r="D44" s="238"/>
      <c r="E44" s="238"/>
      <c r="F44" s="239"/>
      <c r="G44" s="3682"/>
    </row>
    <row r="45" spans="1:7" s="214" customFormat="1" ht="13.5" customHeight="1">
      <c r="A45" s="777" t="s">
        <v>341</v>
      </c>
      <c r="B45" s="244" t="s">
        <v>85</v>
      </c>
      <c r="C45" s="245">
        <f>C46</f>
        <v>3422</v>
      </c>
      <c r="D45" s="235">
        <f>C47</f>
        <v>6.0000000000000001E-3</v>
      </c>
      <c r="E45" s="236" t="s">
        <v>102</v>
      </c>
      <c r="F45" s="246"/>
      <c r="G45" s="247" t="s">
        <v>434</v>
      </c>
    </row>
    <row r="46" spans="1:7" s="214" customFormat="1" ht="13.5" customHeight="1">
      <c r="A46" s="780" t="s">
        <v>349</v>
      </c>
      <c r="B46" s="248" t="s">
        <v>427</v>
      </c>
      <c r="C46" s="249">
        <f>ROUND((C33+C39)*F27,0)</f>
        <v>3422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23332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23332</v>
      </c>
      <c r="D51" s="232"/>
      <c r="E51" s="232"/>
      <c r="F51" s="264"/>
      <c r="G51" s="234" t="s">
        <v>37</v>
      </c>
    </row>
    <row r="52" spans="1:7" s="208" customFormat="1" ht="16.5" thickBot="1">
      <c r="A52" s="265" t="s">
        <v>38</v>
      </c>
      <c r="B52" s="266"/>
      <c r="C52" s="267">
        <f ca="1">C31+C51</f>
        <v>53963</v>
      </c>
      <c r="D52" s="266"/>
      <c r="E52" s="266"/>
      <c r="F52" s="266"/>
      <c r="G52" s="268"/>
    </row>
    <row r="55" spans="1:7" ht="15">
      <c r="B55" s="270" t="s">
        <v>39</v>
      </c>
      <c r="C55" s="271"/>
    </row>
    <row r="56" spans="1:7">
      <c r="B56" s="273" t="s">
        <v>40</v>
      </c>
      <c r="C56" s="274">
        <f ca="1">ROUND(C51/C52,3)</f>
        <v>0.432</v>
      </c>
    </row>
    <row r="57" spans="1:7">
      <c r="B57" s="273" t="s">
        <v>41</v>
      </c>
      <c r="C57" s="275">
        <f ca="1">1-C56</f>
        <v>0.56800000000000006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2" t="s">
        <v>2846</v>
      </c>
      <c r="B1" s="3822"/>
      <c r="C1" s="3822"/>
      <c r="D1" s="3822"/>
      <c r="E1" s="3822"/>
      <c r="F1" s="3822"/>
      <c r="G1" s="3823"/>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20"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821"/>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4" t="s">
        <v>3188</v>
      </c>
      <c r="B1" s="3824"/>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5" t="s">
        <v>3239</v>
      </c>
      <c r="B1" s="3825"/>
      <c r="C1" s="3825"/>
      <c r="D1" s="3825"/>
      <c r="E1" s="3825"/>
      <c r="F1" s="3826"/>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45033</v>
      </c>
      <c r="B1" s="3207" t="s">
        <v>2845</v>
      </c>
      <c r="C1" s="3208"/>
      <c r="D1" s="3208"/>
      <c r="E1" s="3208"/>
      <c r="F1" s="3208"/>
      <c r="G1" s="3208"/>
      <c r="H1" s="3208"/>
      <c r="I1" s="3208"/>
      <c r="J1" s="3162"/>
      <c r="K1" s="3208" t="s">
        <v>454</v>
      </c>
      <c r="L1" s="3208"/>
      <c r="M1" s="3208"/>
      <c r="N1" s="3208"/>
      <c r="O1" s="3208"/>
      <c r="P1" s="3208"/>
      <c r="Q1" s="3162"/>
      <c r="R1" s="3827" t="s">
        <v>456</v>
      </c>
      <c r="S1" s="3828"/>
      <c r="T1" s="3828"/>
      <c r="U1" s="3828"/>
      <c r="V1" s="3828"/>
      <c r="W1" s="3828"/>
      <c r="X1" s="3162"/>
      <c r="Y1" s="3827" t="s">
        <v>457</v>
      </c>
      <c r="Z1" s="3828"/>
      <c r="AA1" s="3828"/>
      <c r="AB1" s="3828"/>
      <c r="AC1" s="3828"/>
      <c r="AD1" s="3828"/>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27" t="s">
        <v>2833</v>
      </c>
      <c r="S21" s="3828"/>
      <c r="T21" s="3828"/>
      <c r="U21" s="3828"/>
      <c r="V21" s="3828"/>
      <c r="W21" s="3828"/>
      <c r="X21" s="3162"/>
      <c r="Y21" s="3827" t="s">
        <v>2834</v>
      </c>
      <c r="Z21" s="3828"/>
      <c r="AA21" s="3828"/>
      <c r="AB21" s="3828"/>
      <c r="AC21" s="3828"/>
      <c r="AD21" s="3828"/>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
      <c r="A3" s="3498"/>
      <c r="B3" s="3498"/>
      <c r="C3" s="3498"/>
      <c r="D3" s="854" t="s">
        <v>925</v>
      </c>
      <c r="E3" s="854" t="s">
        <v>931</v>
      </c>
      <c r="F3" s="854" t="s">
        <v>925</v>
      </c>
      <c r="G3" s="854" t="s">
        <v>926</v>
      </c>
      <c r="H3" s="854" t="s">
        <v>925</v>
      </c>
      <c r="I3" s="854" t="s">
        <v>926</v>
      </c>
    </row>
    <row r="4" spans="1:9" ht="15">
      <c r="A4" s="1504" t="str">
        <f>项目基本情况!S2</f>
        <v>河北省保定市房地产</v>
      </c>
      <c r="B4" s="854">
        <f>项目基本情况!C17</f>
        <v>24235.660000000003</v>
      </c>
      <c r="C4" s="854">
        <f>项目基本情况!C18</f>
        <v>8768.82</v>
      </c>
      <c r="D4" s="854">
        <f ca="1">结果表!D118</f>
        <v>13172</v>
      </c>
      <c r="E4" s="854">
        <f ca="1">结果表!E118</f>
        <v>5435</v>
      </c>
      <c r="F4" s="854">
        <f ca="1">结果表!F118</f>
        <v>33210</v>
      </c>
      <c r="G4" s="854">
        <f ca="1">结果表!G118</f>
        <v>13703</v>
      </c>
      <c r="H4" s="854">
        <f ca="1">结果表!H118</f>
        <v>46382</v>
      </c>
      <c r="I4" s="854">
        <f ca="1">结果表!I118</f>
        <v>19138</v>
      </c>
    </row>
    <row r="5" spans="1:9" ht="30" customHeight="1">
      <c r="A5" s="3498" t="s">
        <v>927</v>
      </c>
      <c r="B5" s="3498"/>
      <c r="C5" s="3498"/>
      <c r="D5" s="3498" t="str">
        <f ca="1">结果表!D119</f>
        <v>壹亿叁仟壹佰柒拾贰万元整</v>
      </c>
      <c r="E5" s="3498"/>
      <c r="F5" s="3498" t="str">
        <f ca="1">结果表!F119</f>
        <v>叁亿叁仟贰佰壹拾万元整</v>
      </c>
      <c r="G5" s="3498"/>
      <c r="H5" s="3498" t="str">
        <f ca="1">结果表!H119</f>
        <v>肆亿陆仟叁佰捌拾贰万元整</v>
      </c>
      <c r="I5" s="3498"/>
    </row>
    <row r="6" spans="1:9" ht="15.75">
      <c r="A6" s="3497" t="str">
        <f>结果表!A120</f>
        <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
      </c>
      <c r="B8" s="3497"/>
      <c r="C8" s="3497"/>
      <c r="D8" s="3497">
        <f ca="1">结果表!D122</f>
        <v>46382</v>
      </c>
      <c r="E8" s="3497"/>
      <c r="F8" s="3497"/>
      <c r="G8" s="3497"/>
      <c r="H8" s="3497"/>
      <c r="I8" s="3497"/>
    </row>
    <row r="9" spans="1:9" ht="15">
      <c r="A9" s="3498" t="s">
        <v>927</v>
      </c>
      <c r="B9" s="3498"/>
      <c r="C9" s="3498"/>
      <c r="D9" s="3498" t="str">
        <f ca="1">结果表!D123</f>
        <v>肆亿陆仟叁佰捌拾贰万元整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45033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45085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2"/>
      <c r="E18" s="3523" t="s">
        <v>2162</v>
      </c>
      <c r="F18" s="3522"/>
      <c r="G18" s="352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价值拆分</vt:lpstr>
      <vt:lpstr>面积清单</vt:lpstr>
      <vt:lpstr>市调信息汇总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比较法-住宅</vt:lpstr>
      <vt:lpstr>比较法-商业</vt:lpstr>
      <vt:lpstr>收益法(地下1层)</vt:lpstr>
      <vt:lpstr>收益法(车库)</vt:lpstr>
      <vt:lpstr>收益法（汇总）</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'收益法(地下1层)'!Print_Area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2023-06-08T05:02:55Z</dcterms:modified>
</cp:coreProperties>
</file>