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685"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比较法-商业" sheetId="33" r:id="rId33"/>
    <sheet name="典型户型修正" sheetId="31" r:id="rId34"/>
    <sheet name="不动产收益法" sheetId="15" state="hidden" r:id="rId35"/>
    <sheet name="酒店收入计算" sheetId="57" state="hidden" r:id="rId36"/>
    <sheet name="成本逼近法" sheetId="11"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典型户型修正 (2)" sheetId="70" r:id="rId43"/>
    <sheet name="Sheet4" sheetId="71" r:id="rId44"/>
  </sheet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2">'典型户型修正 (2)'!$5:$5</definedName>
    <definedName name="一修多修正项2">典型户型修正!$5:$5</definedName>
    <definedName name="一修多修正项3" localSheetId="42">'典型户型修正 (2)'!$7:$7</definedName>
    <definedName name="一修多修正项3">典型户型修正!$7:$7</definedName>
    <definedName name="一修多修正项4" localSheetId="42">'典型户型修正 (2)'!$9:$9</definedName>
    <definedName name="一修多修正项4">典型户型修正!$9:$9</definedName>
    <definedName name="一修多修正项5" localSheetId="42">'典型户型修正 (2)'!$11:$11</definedName>
    <definedName name="一修多修正项5">典型户型修正!$11:$11</definedName>
    <definedName name="一修多修正项6" localSheetId="42">'典型户型修正 (2)'!$13:$13</definedName>
    <definedName name="一修多修正项6">典型户型修正!$13:$13</definedName>
    <definedName name="一修多修正项7" localSheetId="42">'典型户型修正 (2)'!$15:$15</definedName>
    <definedName name="一修多修正项7">典型户型修正!$15:$15</definedName>
    <definedName name="一修多修正项8" localSheetId="42">'典型户型修正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D19" i="9"/>
  <c r="G19" i="9"/>
  <c r="C32" i="9"/>
  <c r="C33" i="9"/>
  <c r="R24" i="70"/>
  <c r="R25" i="70"/>
  <c r="S25" i="70"/>
  <c r="T25" i="70"/>
  <c r="D15" i="66"/>
  <c r="C20" i="9"/>
  <c r="B3" i="12"/>
  <c r="D20" i="9"/>
  <c r="G20" i="9"/>
  <c r="S24" i="70"/>
  <c r="R26" i="70"/>
  <c r="S26" i="70"/>
  <c r="R27" i="70"/>
  <c r="S27" i="70"/>
  <c r="R28" i="70"/>
  <c r="S28" i="70"/>
  <c r="R29" i="70"/>
  <c r="S29" i="70"/>
  <c r="R30" i="70"/>
  <c r="S30" i="70"/>
  <c r="R31" i="70"/>
  <c r="S31" i="70"/>
  <c r="R32" i="70"/>
  <c r="S32" i="70"/>
  <c r="R33" i="70"/>
  <c r="S33" i="70"/>
  <c r="R34" i="70"/>
  <c r="S34" i="70"/>
  <c r="R35" i="70"/>
  <c r="S35" i="70"/>
  <c r="R36" i="70"/>
  <c r="S36" i="70"/>
  <c r="R37" i="70"/>
  <c r="S37" i="70"/>
  <c r="R38" i="70"/>
  <c r="S38" i="70"/>
  <c r="R39" i="70"/>
  <c r="S39" i="70"/>
  <c r="R40" i="70"/>
  <c r="S40" i="70"/>
  <c r="R41" i="70"/>
  <c r="S41" i="70"/>
  <c r="R42" i="70"/>
  <c r="S42" i="70"/>
  <c r="R43" i="70"/>
  <c r="S43" i="70"/>
  <c r="R44" i="70"/>
  <c r="S44" i="70"/>
  <c r="R45" i="70"/>
  <c r="S45" i="70"/>
  <c r="R46" i="70"/>
  <c r="S46" i="70"/>
  <c r="R47" i="70"/>
  <c r="S47" i="70"/>
  <c r="R48" i="70"/>
  <c r="S48" i="70"/>
  <c r="R49" i="70"/>
  <c r="S49" i="70"/>
  <c r="R50" i="70"/>
  <c r="S50" i="70"/>
  <c r="R51" i="70"/>
  <c r="S51" i="70"/>
  <c r="R52" i="70"/>
  <c r="S52" i="70"/>
  <c r="R53" i="70"/>
  <c r="S53" i="70"/>
  <c r="R54" i="70"/>
  <c r="S54" i="70"/>
  <c r="R55" i="70"/>
  <c r="S55" i="70"/>
  <c r="R56" i="70"/>
  <c r="S56" i="70"/>
  <c r="R57" i="70"/>
  <c r="S57" i="70"/>
  <c r="R58" i="70"/>
  <c r="S58" i="70"/>
  <c r="R59" i="70"/>
  <c r="S59" i="70"/>
  <c r="R60" i="70"/>
  <c r="S60" i="70"/>
  <c r="R61" i="70"/>
  <c r="S61" i="70"/>
  <c r="R62" i="70"/>
  <c r="S62" i="70"/>
  <c r="R63" i="70"/>
  <c r="S63" i="70"/>
  <c r="R64" i="70"/>
  <c r="S64" i="70"/>
  <c r="R65" i="70"/>
  <c r="S65" i="70"/>
  <c r="R66" i="70"/>
  <c r="S66" i="70"/>
  <c r="R67" i="70"/>
  <c r="S67" i="70"/>
  <c r="R68" i="70"/>
  <c r="S68" i="70"/>
  <c r="R69" i="70"/>
  <c r="S69" i="70"/>
  <c r="R70" i="70"/>
  <c r="S70" i="70"/>
  <c r="R71" i="70"/>
  <c r="S71" i="70"/>
  <c r="R72" i="70"/>
  <c r="S72" i="70"/>
  <c r="R73" i="70"/>
  <c r="S73" i="70"/>
  <c r="R74" i="70"/>
  <c r="S74" i="70"/>
  <c r="R75" i="70"/>
  <c r="S75" i="70"/>
  <c r="R76" i="70"/>
  <c r="S76" i="70"/>
  <c r="R77" i="70"/>
  <c r="S77" i="70"/>
  <c r="R78" i="70"/>
  <c r="S78" i="70"/>
  <c r="R79" i="70"/>
  <c r="S79" i="70"/>
  <c r="R80" i="70"/>
  <c r="S80" i="70"/>
  <c r="R81" i="70"/>
  <c r="S81" i="70"/>
  <c r="R82" i="70"/>
  <c r="S82" i="70"/>
  <c r="R83" i="70"/>
  <c r="S83" i="70"/>
  <c r="R84" i="70"/>
  <c r="S84" i="70"/>
  <c r="R85" i="70"/>
  <c r="S85" i="70"/>
  <c r="R86" i="70"/>
  <c r="S86" i="70"/>
  <c r="R87" i="70"/>
  <c r="S87" i="70"/>
  <c r="R88" i="70"/>
  <c r="S88" i="70"/>
  <c r="R89" i="70"/>
  <c r="S89" i="70"/>
  <c r="R90" i="70"/>
  <c r="S90" i="70"/>
  <c r="R91" i="70"/>
  <c r="S91" i="70"/>
  <c r="R92" i="70"/>
  <c r="S92" i="70"/>
  <c r="R93" i="70"/>
  <c r="S93" i="70"/>
  <c r="R94" i="70"/>
  <c r="S94" i="70"/>
  <c r="R95" i="70"/>
  <c r="S95" i="70"/>
  <c r="R96" i="70"/>
  <c r="S96" i="70"/>
  <c r="R97" i="70"/>
  <c r="S97" i="70"/>
  <c r="R98" i="70"/>
  <c r="S98" i="70"/>
  <c r="R99" i="70"/>
  <c r="S99" i="70"/>
  <c r="R100" i="70"/>
  <c r="S100" i="70"/>
  <c r="R101" i="70"/>
  <c r="S101" i="70"/>
  <c r="R102" i="70"/>
  <c r="S102" i="70"/>
  <c r="R103" i="70"/>
  <c r="S103" i="70"/>
  <c r="R104" i="70"/>
  <c r="S104" i="70"/>
  <c r="R105" i="70"/>
  <c r="S105" i="70"/>
  <c r="R106" i="70"/>
  <c r="S106" i="70"/>
  <c r="R107" i="70"/>
  <c r="S107" i="70"/>
  <c r="R108" i="70"/>
  <c r="S108" i="70"/>
  <c r="R109" i="70"/>
  <c r="S109" i="70"/>
  <c r="R110" i="70"/>
  <c r="S110" i="70"/>
  <c r="R111" i="70"/>
  <c r="S111" i="70"/>
  <c r="R112" i="70"/>
  <c r="S112" i="70"/>
  <c r="R113" i="70"/>
  <c r="S113" i="70"/>
  <c r="R114" i="70"/>
  <c r="S114" i="70"/>
  <c r="R115" i="70"/>
  <c r="S115" i="70"/>
  <c r="R116" i="70"/>
  <c r="S116" i="70"/>
  <c r="R117" i="70"/>
  <c r="S117" i="70"/>
  <c r="R118" i="70"/>
  <c r="S118" i="70"/>
  <c r="R119" i="70"/>
  <c r="S119" i="70"/>
  <c r="R120" i="70"/>
  <c r="S120" i="70"/>
  <c r="R121" i="70"/>
  <c r="S121" i="70"/>
  <c r="R122" i="70"/>
  <c r="S122" i="70"/>
  <c r="R123" i="70"/>
  <c r="S123" i="70"/>
  <c r="R124" i="70"/>
  <c r="S124" i="70"/>
  <c r="R125" i="70"/>
  <c r="S125" i="70"/>
  <c r="R126" i="70"/>
  <c r="S126" i="70"/>
  <c r="R127" i="70"/>
  <c r="S127" i="70"/>
  <c r="R128" i="70"/>
  <c r="S128" i="70"/>
  <c r="R129" i="70"/>
  <c r="S129" i="70"/>
  <c r="R130" i="70"/>
  <c r="S130" i="70"/>
  <c r="R131" i="70"/>
  <c r="S131" i="70"/>
  <c r="R132" i="70"/>
  <c r="S132" i="70"/>
  <c r="R133" i="70"/>
  <c r="S133" i="70"/>
  <c r="R134" i="70"/>
  <c r="S134" i="70"/>
  <c r="R135" i="70"/>
  <c r="S135" i="70"/>
  <c r="R136" i="70"/>
  <c r="S136" i="70"/>
  <c r="R137" i="70"/>
  <c r="S137" i="70"/>
  <c r="R138" i="70"/>
  <c r="S138" i="70"/>
  <c r="R139" i="70"/>
  <c r="S139" i="70"/>
  <c r="R140" i="70"/>
  <c r="S140" i="70"/>
  <c r="R141" i="70"/>
  <c r="S141" i="70"/>
  <c r="R142" i="70"/>
  <c r="S142" i="70"/>
  <c r="R143" i="70"/>
  <c r="S143" i="70"/>
  <c r="R144" i="70"/>
  <c r="S144" i="70"/>
  <c r="R145" i="70"/>
  <c r="S145" i="70"/>
  <c r="R146" i="70"/>
  <c r="S146" i="70"/>
  <c r="R147" i="70"/>
  <c r="S147" i="70"/>
  <c r="R148" i="70"/>
  <c r="S148" i="70"/>
  <c r="R149" i="70"/>
  <c r="S149" i="70"/>
  <c r="R150" i="70"/>
  <c r="S150" i="70"/>
  <c r="R151" i="70"/>
  <c r="S151" i="70"/>
  <c r="R152" i="70"/>
  <c r="S152" i="70"/>
  <c r="R153" i="70"/>
  <c r="S153" i="70"/>
  <c r="R154" i="70"/>
  <c r="S154" i="70"/>
  <c r="R155" i="70"/>
  <c r="S155" i="70"/>
  <c r="R156" i="70"/>
  <c r="S156" i="70"/>
  <c r="R157" i="70"/>
  <c r="S157" i="70"/>
  <c r="R158" i="70"/>
  <c r="S158" i="70"/>
  <c r="R159" i="70"/>
  <c r="S159" i="70"/>
  <c r="R160" i="70"/>
  <c r="S160" i="70"/>
  <c r="R161" i="70"/>
  <c r="S161" i="70"/>
  <c r="R162" i="70"/>
  <c r="S162" i="70"/>
  <c r="R163" i="70"/>
  <c r="S163" i="70"/>
  <c r="R164" i="70"/>
  <c r="S164" i="70"/>
  <c r="R165" i="70"/>
  <c r="S165" i="70"/>
  <c r="R166" i="70"/>
  <c r="S166" i="70"/>
  <c r="R167" i="70"/>
  <c r="S167" i="70"/>
  <c r="R168" i="70"/>
  <c r="S168" i="70"/>
  <c r="R169" i="70"/>
  <c r="S169" i="70"/>
  <c r="R170" i="70"/>
  <c r="S170" i="70"/>
  <c r="R171" i="70"/>
  <c r="S171" i="70"/>
  <c r="R172" i="70"/>
  <c r="S172" i="70"/>
  <c r="R173" i="70"/>
  <c r="S173" i="70"/>
  <c r="R174" i="70"/>
  <c r="S174" i="70"/>
  <c r="R175" i="70"/>
  <c r="S175" i="70"/>
  <c r="R176" i="70"/>
  <c r="S176" i="70"/>
  <c r="R177" i="70"/>
  <c r="S177" i="70"/>
  <c r="R178" i="70"/>
  <c r="S178" i="70"/>
  <c r="R179" i="70"/>
  <c r="S179" i="70"/>
  <c r="R180" i="70"/>
  <c r="S180" i="70"/>
  <c r="R181" i="70"/>
  <c r="S181" i="70"/>
  <c r="R182" i="70"/>
  <c r="S182" i="70"/>
  <c r="R183" i="70"/>
  <c r="S183" i="70"/>
  <c r="R184" i="70"/>
  <c r="S184" i="70"/>
  <c r="R185" i="70"/>
  <c r="S185" i="70"/>
  <c r="R186" i="70"/>
  <c r="S186" i="70"/>
  <c r="R187" i="70"/>
  <c r="S187" i="70"/>
  <c r="R188" i="70"/>
  <c r="S188" i="70"/>
  <c r="R189" i="70"/>
  <c r="S189" i="70"/>
  <c r="R190" i="70"/>
  <c r="S190" i="70"/>
  <c r="R191" i="70"/>
  <c r="S191" i="70"/>
  <c r="R192" i="70"/>
  <c r="S192" i="70"/>
  <c r="R193" i="70"/>
  <c r="S193" i="70"/>
  <c r="R194" i="70"/>
  <c r="S194" i="70"/>
  <c r="R195" i="70"/>
  <c r="S195" i="70"/>
  <c r="R196" i="70"/>
  <c r="S196" i="70"/>
  <c r="R197" i="70"/>
  <c r="S197" i="70"/>
  <c r="R198" i="70"/>
  <c r="S198" i="70"/>
  <c r="R199" i="70"/>
  <c r="S199" i="70"/>
  <c r="R200" i="70"/>
  <c r="S200" i="70"/>
  <c r="R201" i="70"/>
  <c r="S201" i="70"/>
  <c r="R202" i="70"/>
  <c r="S202" i="70"/>
  <c r="R203" i="70"/>
  <c r="S203" i="70"/>
  <c r="R204" i="70"/>
  <c r="S204" i="70"/>
  <c r="R205" i="70"/>
  <c r="S205" i="70"/>
  <c r="R206" i="70"/>
  <c r="S206" i="70"/>
  <c r="R207" i="70"/>
  <c r="S207" i="70"/>
  <c r="R208" i="70"/>
  <c r="S208" i="70"/>
  <c r="R209" i="70"/>
  <c r="S209" i="70"/>
  <c r="R210" i="70"/>
  <c r="S210" i="70"/>
  <c r="R211" i="70"/>
  <c r="S211" i="70"/>
  <c r="R212" i="70"/>
  <c r="S212" i="70"/>
  <c r="R213" i="70"/>
  <c r="S213" i="70"/>
  <c r="R214" i="70"/>
  <c r="S214" i="70"/>
  <c r="R215" i="70"/>
  <c r="S215" i="70"/>
  <c r="R216" i="70"/>
  <c r="S216" i="70"/>
  <c r="R217" i="70"/>
  <c r="S217" i="70"/>
  <c r="R218" i="70"/>
  <c r="S218" i="70"/>
  <c r="R219" i="70"/>
  <c r="S219" i="70"/>
  <c r="R220" i="70"/>
  <c r="S220" i="70"/>
  <c r="R221" i="70"/>
  <c r="S221" i="70"/>
  <c r="R222" i="70"/>
  <c r="S222" i="70"/>
  <c r="R223" i="70"/>
  <c r="S223" i="70"/>
  <c r="R224" i="70"/>
  <c r="S224" i="70"/>
  <c r="R225" i="70"/>
  <c r="S225" i="70"/>
  <c r="R226" i="70"/>
  <c r="S226" i="70"/>
  <c r="R227" i="70"/>
  <c r="S227" i="70"/>
  <c r="R228" i="70"/>
  <c r="S228" i="70"/>
  <c r="R229" i="70"/>
  <c r="S229" i="70"/>
  <c r="R230" i="70"/>
  <c r="S230" i="70"/>
  <c r="R231" i="70"/>
  <c r="S231" i="70"/>
  <c r="R232" i="70"/>
  <c r="S232" i="70"/>
  <c r="R233" i="70"/>
  <c r="S233" i="70"/>
  <c r="R234" i="70"/>
  <c r="S234" i="70"/>
  <c r="R235" i="70"/>
  <c r="S235" i="70"/>
  <c r="R236" i="70"/>
  <c r="S236" i="70"/>
  <c r="R237" i="70"/>
  <c r="S237" i="70"/>
  <c r="R238" i="70"/>
  <c r="S238" i="70"/>
  <c r="R239" i="70"/>
  <c r="S239" i="70"/>
  <c r="R240" i="70"/>
  <c r="S240" i="70"/>
  <c r="R241" i="70"/>
  <c r="S241" i="70"/>
  <c r="R242" i="70"/>
  <c r="S242" i="70"/>
  <c r="R243" i="70"/>
  <c r="S243" i="70"/>
  <c r="R244" i="70"/>
  <c r="S244" i="70"/>
  <c r="R245" i="70"/>
  <c r="S245" i="70"/>
  <c r="R246" i="70"/>
  <c r="S246" i="70"/>
  <c r="R247" i="70"/>
  <c r="S247" i="70"/>
  <c r="R248" i="70"/>
  <c r="S248" i="70"/>
  <c r="R249" i="70"/>
  <c r="S249" i="70"/>
  <c r="R250" i="70"/>
  <c r="S250" i="70"/>
  <c r="R251" i="70"/>
  <c r="S251" i="70"/>
  <c r="R252" i="70"/>
  <c r="S252" i="70"/>
  <c r="R253" i="70"/>
  <c r="S253" i="70"/>
  <c r="R254" i="70"/>
  <c r="S254" i="70"/>
  <c r="R255" i="70"/>
  <c r="S255" i="70"/>
  <c r="R256" i="70"/>
  <c r="S256" i="70"/>
  <c r="R257" i="70"/>
  <c r="S257" i="70"/>
  <c r="R258" i="70"/>
  <c r="S258" i="70"/>
  <c r="R259" i="70"/>
  <c r="S259" i="70"/>
  <c r="R260" i="70"/>
  <c r="S260" i="70"/>
  <c r="R261" i="70"/>
  <c r="S261" i="70"/>
  <c r="R262" i="70"/>
  <c r="S262" i="70"/>
  <c r="R263" i="70"/>
  <c r="S263" i="70"/>
  <c r="R264" i="70"/>
  <c r="S264" i="70"/>
  <c r="R265" i="70"/>
  <c r="S265" i="70"/>
  <c r="R266" i="70"/>
  <c r="S266" i="70"/>
  <c r="R267" i="70"/>
  <c r="S267" i="70"/>
  <c r="R268" i="70"/>
  <c r="S268" i="70"/>
  <c r="R269" i="70"/>
  <c r="S269" i="70"/>
  <c r="R270" i="70"/>
  <c r="S270" i="70"/>
  <c r="R271" i="70"/>
  <c r="S271" i="70"/>
  <c r="R272" i="70"/>
  <c r="S272" i="70"/>
  <c r="R273" i="70"/>
  <c r="S273" i="70"/>
  <c r="R274" i="70"/>
  <c r="S274" i="70"/>
  <c r="R275" i="70"/>
  <c r="S275" i="70"/>
  <c r="R276" i="70"/>
  <c r="S276" i="70"/>
  <c r="R277" i="70"/>
  <c r="S277" i="70"/>
  <c r="R278" i="70"/>
  <c r="S278" i="70"/>
  <c r="R279" i="70"/>
  <c r="S279" i="70"/>
  <c r="R280" i="70"/>
  <c r="S280" i="70"/>
  <c r="R281" i="70"/>
  <c r="S281" i="70"/>
  <c r="R282" i="70"/>
  <c r="S282" i="70"/>
  <c r="R283" i="70"/>
  <c r="S283" i="70"/>
  <c r="R284" i="70"/>
  <c r="S284" i="70"/>
  <c r="R285" i="70"/>
  <c r="S285" i="70"/>
  <c r="R286" i="70"/>
  <c r="S286" i="70"/>
  <c r="R287" i="70"/>
  <c r="S287" i="70"/>
  <c r="R288" i="70"/>
  <c r="S288" i="70"/>
  <c r="R289" i="70"/>
  <c r="S289" i="70"/>
  <c r="R290" i="70"/>
  <c r="S290" i="70"/>
  <c r="R291" i="70"/>
  <c r="S291" i="70"/>
  <c r="R292" i="70"/>
  <c r="S292" i="70"/>
  <c r="R293" i="70"/>
  <c r="S293" i="70"/>
  <c r="R294" i="70"/>
  <c r="S294" i="70"/>
  <c r="R295" i="70"/>
  <c r="S295" i="70"/>
  <c r="R296" i="70"/>
  <c r="S296" i="70"/>
  <c r="R297" i="70"/>
  <c r="S297" i="70"/>
  <c r="R298" i="70"/>
  <c r="S298" i="70"/>
  <c r="R299" i="70"/>
  <c r="S299" i="70"/>
  <c r="R300" i="70"/>
  <c r="S300" i="70"/>
  <c r="R301" i="70"/>
  <c r="S301" i="70"/>
  <c r="R302" i="70"/>
  <c r="S302" i="70"/>
  <c r="R303" i="70"/>
  <c r="S303" i="70"/>
  <c r="R304" i="70"/>
  <c r="S304" i="70"/>
  <c r="R305" i="70"/>
  <c r="S305" i="70"/>
  <c r="R306" i="70"/>
  <c r="S306" i="70"/>
  <c r="R307" i="70"/>
  <c r="S307" i="70"/>
  <c r="R308" i="70"/>
  <c r="S308" i="70"/>
  <c r="R309" i="70"/>
  <c r="S309" i="70"/>
  <c r="R310" i="70"/>
  <c r="S310" i="70"/>
  <c r="R311" i="70"/>
  <c r="S311" i="70"/>
  <c r="R312" i="70"/>
  <c r="S312" i="70"/>
  <c r="R313" i="70"/>
  <c r="S313" i="70"/>
  <c r="R314" i="70"/>
  <c r="S314" i="70"/>
  <c r="R315" i="70"/>
  <c r="S315" i="70"/>
  <c r="R316" i="70"/>
  <c r="S316" i="70"/>
  <c r="R317" i="70"/>
  <c r="S317" i="70"/>
  <c r="R318" i="70"/>
  <c r="S318" i="70"/>
  <c r="R319" i="70"/>
  <c r="S319" i="70"/>
  <c r="R320" i="70"/>
  <c r="S320" i="70"/>
  <c r="R321" i="70"/>
  <c r="S321" i="70"/>
  <c r="R322" i="70"/>
  <c r="S322" i="70"/>
  <c r="R323" i="70"/>
  <c r="S323" i="70"/>
  <c r="R324" i="70"/>
  <c r="S324" i="70"/>
  <c r="R325" i="70"/>
  <c r="S325" i="70"/>
  <c r="R326" i="70"/>
  <c r="S326" i="70"/>
  <c r="R327" i="70"/>
  <c r="S327" i="70"/>
  <c r="R328" i="70"/>
  <c r="S328" i="70"/>
  <c r="R329" i="70"/>
  <c r="S329" i="70"/>
  <c r="R330" i="70"/>
  <c r="S330" i="70"/>
  <c r="R331" i="70"/>
  <c r="S331" i="70"/>
  <c r="R332" i="70"/>
  <c r="S332" i="70"/>
  <c r="R333" i="70"/>
  <c r="S333" i="70"/>
  <c r="R334" i="70"/>
  <c r="S334" i="70"/>
  <c r="R335" i="70"/>
  <c r="S335" i="70"/>
  <c r="R336" i="70"/>
  <c r="S336" i="70"/>
  <c r="R337" i="70"/>
  <c r="S337" i="70"/>
  <c r="R338" i="70"/>
  <c r="S338" i="70"/>
  <c r="R339" i="70"/>
  <c r="S339" i="70"/>
  <c r="R340" i="70"/>
  <c r="S340" i="70"/>
  <c r="R341" i="70"/>
  <c r="S341" i="70"/>
  <c r="R342" i="70"/>
  <c r="S342" i="70"/>
  <c r="R343" i="70"/>
  <c r="S343" i="70"/>
  <c r="R344" i="70"/>
  <c r="S344" i="70"/>
  <c r="R345" i="70"/>
  <c r="S345" i="70"/>
  <c r="R346" i="70"/>
  <c r="S346" i="70"/>
  <c r="R347" i="70"/>
  <c r="S347" i="70"/>
  <c r="R348" i="70"/>
  <c r="S348" i="70"/>
  <c r="R349" i="70"/>
  <c r="S349" i="70"/>
  <c r="R350" i="70"/>
  <c r="S350" i="70"/>
  <c r="R351" i="70"/>
  <c r="S351" i="70"/>
  <c r="R352" i="70"/>
  <c r="S352" i="70"/>
  <c r="R353" i="70"/>
  <c r="S353" i="70"/>
  <c r="R354" i="70"/>
  <c r="S354" i="70"/>
  <c r="R355" i="70"/>
  <c r="S355" i="70"/>
  <c r="R356" i="70"/>
  <c r="S356" i="70"/>
  <c r="R357" i="70"/>
  <c r="S357" i="70"/>
  <c r="R358" i="70"/>
  <c r="S358" i="70"/>
  <c r="R359" i="70"/>
  <c r="S359" i="70"/>
  <c r="R360" i="70"/>
  <c r="S360" i="70"/>
  <c r="R361" i="70"/>
  <c r="S361" i="70"/>
  <c r="R362" i="70"/>
  <c r="S362" i="70"/>
  <c r="R363" i="70"/>
  <c r="S363" i="70"/>
  <c r="R364" i="70"/>
  <c r="S364" i="70"/>
  <c r="R365" i="70"/>
  <c r="S365" i="70"/>
  <c r="R366" i="70"/>
  <c r="S366" i="70"/>
  <c r="R367" i="70"/>
  <c r="S367" i="70"/>
  <c r="R368" i="70"/>
  <c r="S368" i="70"/>
  <c r="R369" i="70"/>
  <c r="S369" i="70"/>
  <c r="R370" i="70"/>
  <c r="S370" i="70"/>
  <c r="R371" i="70"/>
  <c r="S371" i="70"/>
  <c r="R372" i="70"/>
  <c r="S372" i="70"/>
  <c r="R373" i="70"/>
  <c r="S373" i="70"/>
  <c r="R374" i="70"/>
  <c r="S374" i="70"/>
  <c r="R375" i="70"/>
  <c r="S375" i="70"/>
  <c r="R376" i="70"/>
  <c r="S376" i="70"/>
  <c r="R377" i="70"/>
  <c r="S377" i="70"/>
  <c r="R378" i="70"/>
  <c r="S378" i="70"/>
  <c r="R379" i="70"/>
  <c r="S379" i="70"/>
  <c r="R380" i="70"/>
  <c r="S380" i="70"/>
  <c r="R381" i="70"/>
  <c r="S381" i="70"/>
  <c r="R382" i="70"/>
  <c r="S382" i="70"/>
  <c r="R383" i="70"/>
  <c r="S383" i="70"/>
  <c r="R384" i="70"/>
  <c r="S384" i="70"/>
  <c r="R385" i="70"/>
  <c r="S385" i="70"/>
  <c r="R386" i="70"/>
  <c r="S386" i="70"/>
  <c r="R387" i="70"/>
  <c r="S387" i="70"/>
  <c r="R388" i="70"/>
  <c r="S388" i="70"/>
  <c r="R389" i="70"/>
  <c r="S389" i="70"/>
  <c r="R390" i="70"/>
  <c r="S390" i="70"/>
  <c r="R391" i="70"/>
  <c r="S391" i="70"/>
  <c r="R392" i="70"/>
  <c r="S392" i="70"/>
  <c r="R393" i="70"/>
  <c r="S393" i="70"/>
  <c r="R394" i="70"/>
  <c r="S394" i="70"/>
  <c r="R395" i="70"/>
  <c r="S395" i="70"/>
  <c r="R396" i="70"/>
  <c r="S396" i="70"/>
  <c r="R397" i="70"/>
  <c r="S397" i="70"/>
  <c r="R398" i="70"/>
  <c r="S398" i="70"/>
  <c r="R399" i="70"/>
  <c r="S399" i="70"/>
  <c r="R400" i="70"/>
  <c r="S400" i="70"/>
  <c r="R401" i="70"/>
  <c r="S401" i="70"/>
  <c r="R402" i="70"/>
  <c r="S402" i="70"/>
  <c r="R403" i="70"/>
  <c r="S403" i="70"/>
  <c r="R404" i="70"/>
  <c r="S404" i="70"/>
  <c r="R405" i="70"/>
  <c r="S405" i="70"/>
  <c r="R406" i="70"/>
  <c r="S406" i="70"/>
  <c r="R407" i="70"/>
  <c r="S407" i="70"/>
  <c r="R408" i="70"/>
  <c r="S408" i="70"/>
  <c r="R409" i="70"/>
  <c r="S409" i="70"/>
  <c r="R410" i="70"/>
  <c r="S410" i="70"/>
  <c r="R411" i="70"/>
  <c r="S411" i="70"/>
  <c r="R412" i="70"/>
  <c r="S412" i="70"/>
  <c r="R413" i="70"/>
  <c r="S413" i="70"/>
  <c r="R414" i="70"/>
  <c r="S414" i="70"/>
  <c r="R415" i="70"/>
  <c r="S415" i="70"/>
  <c r="R416" i="70"/>
  <c r="S416" i="70"/>
  <c r="R417" i="70"/>
  <c r="S417" i="70"/>
  <c r="R418" i="70"/>
  <c r="S418" i="70"/>
  <c r="R419" i="70"/>
  <c r="S419" i="70"/>
  <c r="R420" i="70"/>
  <c r="S420" i="70"/>
  <c r="R421" i="70"/>
  <c r="S421" i="70"/>
  <c r="R422" i="70"/>
  <c r="S422" i="70"/>
  <c r="R423" i="70"/>
  <c r="S423" i="70"/>
  <c r="R424" i="70"/>
  <c r="S424" i="70"/>
  <c r="R425" i="70"/>
  <c r="S425" i="70"/>
  <c r="R426" i="70"/>
  <c r="S426" i="70"/>
  <c r="R427" i="70"/>
  <c r="S427" i="70"/>
  <c r="R428" i="70"/>
  <c r="S428" i="70"/>
  <c r="R429" i="70"/>
  <c r="S429" i="70"/>
  <c r="R430" i="70"/>
  <c r="S430" i="70"/>
  <c r="R431" i="70"/>
  <c r="S431" i="70"/>
  <c r="R432" i="70"/>
  <c r="S432" i="70"/>
  <c r="R433" i="70"/>
  <c r="S433" i="70"/>
  <c r="R434" i="70"/>
  <c r="S434" i="70"/>
  <c r="R435" i="70"/>
  <c r="S435" i="70"/>
  <c r="R436" i="70"/>
  <c r="S436" i="70"/>
  <c r="R437" i="70"/>
  <c r="S437" i="70"/>
  <c r="R438" i="70"/>
  <c r="S438" i="70"/>
  <c r="R439" i="70"/>
  <c r="S439" i="70"/>
  <c r="R440" i="70"/>
  <c r="S440" i="70"/>
  <c r="R441" i="70"/>
  <c r="S441" i="70"/>
  <c r="R442" i="70"/>
  <c r="S442" i="70"/>
  <c r="R443" i="70"/>
  <c r="S443" i="70"/>
  <c r="R444" i="70"/>
  <c r="S444" i="70"/>
  <c r="R445" i="70"/>
  <c r="S445" i="70"/>
  <c r="R446" i="70"/>
  <c r="S446" i="70"/>
  <c r="R447" i="70"/>
  <c r="S447" i="70"/>
  <c r="R448" i="70"/>
  <c r="S448" i="70"/>
  <c r="R449" i="70"/>
  <c r="S449" i="70"/>
  <c r="R450" i="70"/>
  <c r="S450" i="70"/>
  <c r="R451" i="70"/>
  <c r="S451" i="70"/>
  <c r="R452" i="70"/>
  <c r="S452" i="70"/>
  <c r="R453" i="70"/>
  <c r="S453" i="70"/>
  <c r="R454" i="70"/>
  <c r="S454" i="70"/>
  <c r="R455" i="70"/>
  <c r="S455" i="70"/>
  <c r="R456" i="70"/>
  <c r="S456" i="70"/>
  <c r="R457" i="70"/>
  <c r="S457" i="70"/>
  <c r="R458" i="70"/>
  <c r="S458" i="70"/>
  <c r="R459" i="70"/>
  <c r="S459" i="70"/>
  <c r="R460" i="70"/>
  <c r="S460" i="70"/>
  <c r="R461" i="70"/>
  <c r="S461" i="70"/>
  <c r="R462" i="70"/>
  <c r="S462" i="70"/>
  <c r="R463" i="70"/>
  <c r="S463" i="70"/>
  <c r="R464" i="70"/>
  <c r="S464" i="70"/>
  <c r="R465" i="70"/>
  <c r="S465" i="70"/>
  <c r="R466" i="70"/>
  <c r="S466" i="70"/>
  <c r="R467" i="70"/>
  <c r="S467" i="70"/>
  <c r="R468" i="70"/>
  <c r="S468" i="70"/>
  <c r="R469" i="70"/>
  <c r="S469" i="70"/>
  <c r="R470" i="70"/>
  <c r="S470" i="70"/>
  <c r="R471" i="70"/>
  <c r="S471" i="70"/>
  <c r="R472" i="70"/>
  <c r="S472" i="70"/>
  <c r="R473" i="70"/>
  <c r="S473" i="70"/>
  <c r="R474" i="70"/>
  <c r="S474" i="70"/>
  <c r="R475" i="70"/>
  <c r="S475" i="70"/>
  <c r="R476" i="70"/>
  <c r="S476" i="70"/>
  <c r="R477" i="70"/>
  <c r="S477" i="70"/>
  <c r="R478" i="70"/>
  <c r="S478" i="70"/>
  <c r="R479" i="70"/>
  <c r="S479" i="70"/>
  <c r="R480" i="70"/>
  <c r="S480" i="70"/>
  <c r="R481" i="70"/>
  <c r="S481" i="70"/>
  <c r="R482" i="70"/>
  <c r="S482" i="70"/>
  <c r="R483" i="70"/>
  <c r="S483" i="70"/>
  <c r="R484" i="70"/>
  <c r="S484" i="70"/>
  <c r="R485" i="70"/>
  <c r="S485" i="70"/>
  <c r="R486" i="70"/>
  <c r="S486" i="70"/>
  <c r="R487" i="70"/>
  <c r="S487" i="70"/>
  <c r="R488" i="70"/>
  <c r="S488" i="70"/>
  <c r="R489" i="70"/>
  <c r="S489" i="70"/>
  <c r="R490" i="70"/>
  <c r="S490" i="70"/>
  <c r="R491" i="70"/>
  <c r="S491" i="70"/>
  <c r="R492" i="70"/>
  <c r="S492" i="70"/>
  <c r="R493" i="70"/>
  <c r="S493" i="70"/>
  <c r="R494" i="70"/>
  <c r="S494" i="70"/>
  <c r="R495" i="70"/>
  <c r="S495" i="70"/>
  <c r="R496" i="70"/>
  <c r="S496" i="70"/>
  <c r="R497" i="70"/>
  <c r="S497" i="70"/>
  <c r="R498" i="70"/>
  <c r="S498" i="70"/>
  <c r="R499" i="70"/>
  <c r="S499" i="70"/>
  <c r="R500" i="70"/>
  <c r="S500" i="70"/>
  <c r="R501" i="70"/>
  <c r="S501" i="70"/>
  <c r="R502" i="70"/>
  <c r="S502" i="70"/>
  <c r="R503" i="70"/>
  <c r="S503" i="70"/>
  <c r="R504" i="70"/>
  <c r="S504" i="70"/>
  <c r="R505" i="70"/>
  <c r="S505" i="70"/>
  <c r="R506" i="70"/>
  <c r="S506" i="70"/>
  <c r="R507" i="70"/>
  <c r="S507" i="70"/>
  <c r="R508" i="70"/>
  <c r="S508" i="70"/>
  <c r="R509" i="70"/>
  <c r="S509" i="70"/>
  <c r="R510" i="70"/>
  <c r="S510" i="70"/>
  <c r="R511" i="70"/>
  <c r="S511" i="70"/>
  <c r="R512" i="70"/>
  <c r="S512" i="70"/>
  <c r="R513" i="70"/>
  <c r="S513" i="70"/>
  <c r="R514" i="70"/>
  <c r="S514" i="70"/>
  <c r="R515" i="70"/>
  <c r="S515" i="70"/>
  <c r="R516" i="70"/>
  <c r="S516" i="70"/>
  <c r="R517" i="70"/>
  <c r="S517" i="70"/>
  <c r="R518" i="70"/>
  <c r="S518" i="70"/>
  <c r="R519" i="70"/>
  <c r="S519" i="70"/>
  <c r="R520" i="70"/>
  <c r="S520" i="70"/>
  <c r="R521" i="70"/>
  <c r="S521" i="70"/>
  <c r="R522" i="70"/>
  <c r="S522" i="70"/>
  <c r="R523" i="70"/>
  <c r="S523" i="70"/>
  <c r="R524" i="70"/>
  <c r="S524" i="70"/>
  <c r="S22" i="70"/>
  <c r="C42" i="9"/>
  <c r="D14" i="66"/>
  <c r="F25" i="12"/>
  <c r="C25" i="12"/>
  <c r="U25" i="70"/>
  <c r="U29" i="70"/>
  <c r="U28" i="70"/>
  <c r="V27" i="70"/>
  <c r="U27" i="70"/>
  <c r="T29" i="70"/>
  <c r="T28" i="70"/>
  <c r="C10" i="12"/>
  <c r="C8" i="12"/>
  <c r="L7" i="1"/>
  <c r="G8" i="71"/>
  <c r="F8" i="71"/>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D73" i="39"/>
  <c r="E73" i="39"/>
  <c r="F73" i="39"/>
  <c r="G73" i="39"/>
  <c r="H73" i="39"/>
  <c r="I73" i="39"/>
  <c r="J73" i="39"/>
  <c r="K73" i="39"/>
  <c r="L73" i="39"/>
  <c r="F9" i="39"/>
  <c r="AA9" i="39"/>
  <c r="F10" i="39"/>
  <c r="AA10" i="39"/>
  <c r="F11" i="39"/>
  <c r="AA11" i="39"/>
  <c r="D83" i="39"/>
  <c r="E83" i="39"/>
  <c r="F83" i="39"/>
  <c r="F13" i="39"/>
  <c r="AA13" i="39"/>
  <c r="B84" i="39"/>
  <c r="F14" i="39"/>
  <c r="AA14" i="39"/>
  <c r="B86" i="39"/>
  <c r="F15" i="39"/>
  <c r="AA15" i="39"/>
  <c r="B88" i="39"/>
  <c r="F16" i="39"/>
  <c r="AA16" i="39"/>
  <c r="D91" i="39"/>
  <c r="E91" i="39"/>
  <c r="F17" i="39"/>
  <c r="AA17" i="39"/>
  <c r="D93" i="39"/>
  <c r="E93" i="39"/>
  <c r="F19" i="39"/>
  <c r="AA19" i="39"/>
  <c r="F21" i="39"/>
  <c r="AA21" i="39"/>
  <c r="D97" i="39"/>
  <c r="F23" i="39"/>
  <c r="AA23" i="39"/>
  <c r="D99" i="39"/>
  <c r="F25" i="39"/>
  <c r="AA25" i="39"/>
  <c r="D101" i="39"/>
  <c r="E101" i="39"/>
  <c r="F27" i="39"/>
  <c r="AA27" i="39"/>
  <c r="D103" i="39"/>
  <c r="E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F44" i="39"/>
  <c r="AA44" i="39"/>
  <c r="B129" i="39"/>
  <c r="F45" i="39"/>
  <c r="AA45" i="39"/>
  <c r="B131" i="39"/>
  <c r="F46" i="39"/>
  <c r="AA46" i="39"/>
  <c r="B133" i="39"/>
  <c r="F47" i="39"/>
  <c r="AA47" i="39"/>
  <c r="C19" i="6"/>
  <c r="A6" i="1"/>
  <c r="I13" i="3"/>
  <c r="F19" i="6"/>
  <c r="E19" i="6"/>
  <c r="C20" i="6"/>
  <c r="K6" i="1"/>
  <c r="M6" i="1"/>
  <c r="O6" i="1"/>
  <c r="P6" i="1"/>
  <c r="A7" i="1"/>
  <c r="K14" i="3"/>
  <c r="F20" i="6"/>
  <c r="E20" i="6"/>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O14" i="1"/>
  <c r="P14" i="1"/>
  <c r="P16" i="1"/>
  <c r="F14" i="12"/>
  <c r="C42" i="1"/>
  <c r="F15" i="12"/>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AZ5" i="3"/>
  <c r="E3" i="6"/>
  <c r="E16" i="12"/>
  <c r="F17" i="12"/>
  <c r="E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E21" i="12"/>
  <c r="E6" i="6"/>
  <c r="E22" i="12"/>
  <c r="F23" i="12"/>
  <c r="C1" i="65"/>
  <c r="H1" i="65"/>
  <c r="B22" i="1"/>
  <c r="C2" i="65"/>
  <c r="I1" i="65"/>
  <c r="C9" i="12"/>
  <c r="R47" i="33"/>
  <c r="C7" i="33"/>
  <c r="E7" i="33"/>
  <c r="C58" i="33"/>
  <c r="D58" i="33"/>
  <c r="E58" i="33"/>
  <c r="F58" i="33"/>
  <c r="G58" i="33"/>
  <c r="H58" i="33"/>
  <c r="I58" i="33"/>
  <c r="J58" i="33"/>
  <c r="K58" i="33"/>
  <c r="L58" i="33"/>
  <c r="M58" i="33"/>
  <c r="N58" i="33"/>
  <c r="O58" i="33"/>
  <c r="F7" i="33"/>
  <c r="AA7" i="33"/>
  <c r="F8" i="33"/>
  <c r="AA8" i="33"/>
  <c r="C63" i="33"/>
  <c r="F9" i="33"/>
  <c r="AA9" i="33"/>
  <c r="F10" i="33"/>
  <c r="AA10" i="33"/>
  <c r="D69" i="33"/>
  <c r="E69" i="33"/>
  <c r="F11" i="33"/>
  <c r="AA11" i="33"/>
  <c r="B70" i="33"/>
  <c r="F12" i="33"/>
  <c r="AA12" i="33"/>
  <c r="B72" i="33"/>
  <c r="F13" i="33"/>
  <c r="AA13" i="33"/>
  <c r="B74" i="33"/>
  <c r="F14" i="33"/>
  <c r="AA14" i="33"/>
  <c r="D77" i="33"/>
  <c r="E77" i="33"/>
  <c r="F15" i="33"/>
  <c r="AA15" i="33"/>
  <c r="D79" i="33"/>
  <c r="F17" i="33"/>
  <c r="AA17" i="33"/>
  <c r="D81" i="33"/>
  <c r="E81" i="33"/>
  <c r="F19" i="33"/>
  <c r="AA19" i="33"/>
  <c r="D83"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F34" i="33"/>
  <c r="AA34" i="33"/>
  <c r="F35" i="33"/>
  <c r="AA35" i="33"/>
  <c r="D111" i="33"/>
  <c r="E111" i="33"/>
  <c r="F111" i="33"/>
  <c r="G111" i="33"/>
  <c r="F36" i="33"/>
  <c r="AA36" i="33"/>
  <c r="D113" i="33"/>
  <c r="E113" i="33"/>
  <c r="F37" i="33"/>
  <c r="AA37" i="33"/>
  <c r="D115"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31"/>
  <c r="B24" i="31"/>
  <c r="S24" i="31"/>
  <c r="B25" i="31"/>
  <c r="H3" i="31"/>
  <c r="D3" i="31"/>
  <c r="F3" i="31"/>
  <c r="G3" i="31"/>
  <c r="C3" i="31"/>
  <c r="E3" i="31"/>
  <c r="I3" i="31"/>
  <c r="C4" i="31"/>
  <c r="D4" i="31"/>
  <c r="E4" i="31"/>
  <c r="F4" i="31"/>
  <c r="G4" i="31"/>
  <c r="H4" i="31"/>
  <c r="I4" i="31"/>
  <c r="C25" i="31"/>
  <c r="E25" i="31"/>
  <c r="G25" i="31"/>
  <c r="I25" i="31"/>
  <c r="K25" i="31"/>
  <c r="M25" i="31"/>
  <c r="O25" i="31"/>
  <c r="Q25"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10" i="12"/>
  <c r="C6" i="12"/>
  <c r="F24" i="12"/>
  <c r="C24" i="12"/>
  <c r="B24" i="1"/>
  <c r="B43" i="1"/>
  <c r="B41" i="1"/>
  <c r="F29" i="12"/>
  <c r="C29" i="12"/>
  <c r="Q16" i="1"/>
  <c r="A44" i="9"/>
  <c r="B25" i="70"/>
  <c r="L20" i="1"/>
  <c r="L19" i="1"/>
  <c r="E6" i="71"/>
  <c r="C6" i="71"/>
  <c r="F5" i="71"/>
  <c r="G5" i="71"/>
  <c r="L35" i="69"/>
  <c r="P35" i="69"/>
  <c r="L34" i="69"/>
  <c r="P34" i="69"/>
  <c r="L33" i="69"/>
  <c r="P33" i="69"/>
  <c r="L32" i="69"/>
  <c r="P32" i="69"/>
  <c r="L31" i="69"/>
  <c r="P31" i="69"/>
  <c r="L30" i="69"/>
  <c r="P30" i="69"/>
  <c r="L29" i="69"/>
  <c r="P29" i="69"/>
  <c r="L28" i="69"/>
  <c r="P28" i="69"/>
  <c r="L27" i="69"/>
  <c r="P27" i="69"/>
  <c r="L26" i="69"/>
  <c r="P26" i="69"/>
  <c r="L25" i="69"/>
  <c r="P25" i="69"/>
  <c r="L24" i="69"/>
  <c r="P24" i="69"/>
  <c r="L23" i="69"/>
  <c r="P23" i="69"/>
  <c r="L22" i="69"/>
  <c r="P22" i="69"/>
  <c r="L21" i="69"/>
  <c r="P21" i="69"/>
  <c r="L20" i="69"/>
  <c r="P20" i="69"/>
  <c r="L15" i="69"/>
  <c r="P15" i="69"/>
  <c r="L14" i="69"/>
  <c r="P14" i="69"/>
  <c r="L12" i="69"/>
  <c r="P12" i="69"/>
  <c r="L11" i="69"/>
  <c r="P11" i="69"/>
  <c r="L10" i="69"/>
  <c r="P10" i="69"/>
  <c r="L9" i="69"/>
  <c r="P9" i="69"/>
  <c r="L8" i="69"/>
  <c r="P8" i="69"/>
  <c r="L7" i="69"/>
  <c r="P7" i="69"/>
  <c r="K19" i="1"/>
  <c r="M19" i="1"/>
  <c r="K20" i="1"/>
  <c r="M20" i="1"/>
  <c r="F29" i="6"/>
  <c r="G29" i="6"/>
  <c r="E29" i="6"/>
  <c r="K15" i="1"/>
  <c r="K16" i="1"/>
  <c r="K18" i="1"/>
  <c r="M18" i="1"/>
  <c r="M21" i="1"/>
  <c r="L21" i="1"/>
  <c r="E7" i="39"/>
  <c r="D6" i="70"/>
  <c r="E6" i="70"/>
  <c r="E25" i="70"/>
  <c r="G25" i="70"/>
  <c r="G40" i="39"/>
  <c r="G9" i="39"/>
  <c r="G7" i="39"/>
  <c r="H9" i="39"/>
  <c r="AB9" i="39"/>
  <c r="T48" i="39"/>
  <c r="H40" i="39"/>
  <c r="AB40" i="39"/>
  <c r="F32" i="21"/>
  <c r="AA32" i="21"/>
  <c r="F34" i="21"/>
  <c r="AA34" i="21"/>
  <c r="C7" i="21"/>
  <c r="C58" i="21"/>
  <c r="D58" i="21"/>
  <c r="E58" i="21"/>
  <c r="F58" i="21"/>
  <c r="G58" i="21"/>
  <c r="H58" i="21"/>
  <c r="I58" i="21"/>
  <c r="J58" i="21"/>
  <c r="K58" i="21"/>
  <c r="L58" i="21"/>
  <c r="M58" i="21"/>
  <c r="N58" i="21"/>
  <c r="O58" i="21"/>
  <c r="F7" i="21"/>
  <c r="AA7" i="21"/>
  <c r="R47" i="21"/>
  <c r="F15" i="21"/>
  <c r="AA15" i="21"/>
  <c r="F19" i="21"/>
  <c r="AA19" i="21"/>
  <c r="F33" i="21"/>
  <c r="AA33" i="21"/>
  <c r="R48" i="21"/>
  <c r="H32" i="21"/>
  <c r="AB32" i="21"/>
  <c r="H34" i="21"/>
  <c r="AB34" i="21"/>
  <c r="H7" i="21"/>
  <c r="AB7" i="21"/>
  <c r="T47" i="21"/>
  <c r="H15" i="21"/>
  <c r="AB15" i="21"/>
  <c r="H19" i="21"/>
  <c r="AB19" i="21"/>
  <c r="H33" i="21"/>
  <c r="AB33" i="21"/>
  <c r="T48" i="21"/>
  <c r="J32" i="21"/>
  <c r="AC32" i="21"/>
  <c r="J34" i="21"/>
  <c r="AC34" i="21"/>
  <c r="I7" i="21"/>
  <c r="J7" i="21"/>
  <c r="AC7" i="21"/>
  <c r="V47" i="21"/>
  <c r="J15" i="21"/>
  <c r="AC15" i="21"/>
  <c r="J19" i="21"/>
  <c r="AC19" i="21"/>
  <c r="J33" i="21"/>
  <c r="AC33" i="21"/>
  <c r="V48" i="21"/>
  <c r="R49" i="21"/>
  <c r="C49" i="21"/>
  <c r="B3" i="21"/>
  <c r="D3" i="21"/>
  <c r="B2" i="21"/>
  <c r="C15" i="66"/>
  <c r="B15" i="66"/>
  <c r="D4" i="70"/>
  <c r="E4" i="70"/>
  <c r="F4" i="70"/>
  <c r="C4" i="70"/>
  <c r="D3" i="70"/>
  <c r="E3" i="70"/>
  <c r="F3" i="70"/>
  <c r="C3" i="70"/>
  <c r="B24" i="70"/>
  <c r="V48" i="39"/>
  <c r="BB10" i="3"/>
  <c r="BC10" i="3"/>
  <c r="BD10" i="3"/>
  <c r="BE10" i="3"/>
  <c r="BF10" i="3"/>
  <c r="BG10" i="3"/>
  <c r="BH10" i="3"/>
  <c r="BI10" i="3"/>
  <c r="BJ10" i="3"/>
  <c r="BK10" i="3"/>
  <c r="E8" i="6"/>
  <c r="E58" i="39"/>
  <c r="E11" i="6"/>
  <c r="E63" i="39"/>
  <c r="E12" i="6"/>
  <c r="E64" i="39"/>
  <c r="E13" i="6"/>
  <c r="E65" i="39"/>
  <c r="E14" i="6"/>
  <c r="E66" i="39"/>
  <c r="E15" i="6"/>
  <c r="E67" i="39"/>
  <c r="E68" i="39"/>
  <c r="Q524" i="70"/>
  <c r="O524" i="70"/>
  <c r="M524" i="70"/>
  <c r="K524" i="70"/>
  <c r="I524" i="70"/>
  <c r="G524" i="70"/>
  <c r="E524" i="70"/>
  <c r="C524" i="70"/>
  <c r="Q523" i="70"/>
  <c r="O523" i="70"/>
  <c r="M523" i="70"/>
  <c r="K523" i="70"/>
  <c r="I523" i="70"/>
  <c r="G523" i="70"/>
  <c r="E523" i="70"/>
  <c r="C523" i="70"/>
  <c r="Q522" i="70"/>
  <c r="O522" i="70"/>
  <c r="M522" i="70"/>
  <c r="K522" i="70"/>
  <c r="I522" i="70"/>
  <c r="G522" i="70"/>
  <c r="E522" i="70"/>
  <c r="C522" i="70"/>
  <c r="Q521" i="70"/>
  <c r="O521" i="70"/>
  <c r="M521" i="70"/>
  <c r="K521" i="70"/>
  <c r="I521" i="70"/>
  <c r="G521" i="70"/>
  <c r="E521" i="70"/>
  <c r="C521" i="70"/>
  <c r="Q520" i="70"/>
  <c r="O520" i="70"/>
  <c r="M520" i="70"/>
  <c r="K520" i="70"/>
  <c r="I520" i="70"/>
  <c r="G520" i="70"/>
  <c r="E520" i="70"/>
  <c r="C520" i="70"/>
  <c r="Q519" i="70"/>
  <c r="O519" i="70"/>
  <c r="M519" i="70"/>
  <c r="K519" i="70"/>
  <c r="I519" i="70"/>
  <c r="G519" i="70"/>
  <c r="E519" i="70"/>
  <c r="C519" i="70"/>
  <c r="Q518" i="70"/>
  <c r="O518" i="70"/>
  <c r="M518" i="70"/>
  <c r="K518" i="70"/>
  <c r="I518" i="70"/>
  <c r="G518" i="70"/>
  <c r="E518" i="70"/>
  <c r="C518" i="70"/>
  <c r="Q517" i="70"/>
  <c r="O517" i="70"/>
  <c r="M517" i="70"/>
  <c r="K517" i="70"/>
  <c r="I517" i="70"/>
  <c r="G517" i="70"/>
  <c r="E517" i="70"/>
  <c r="C517" i="70"/>
  <c r="Q516" i="70"/>
  <c r="O516" i="70"/>
  <c r="M516" i="70"/>
  <c r="K516" i="70"/>
  <c r="I516" i="70"/>
  <c r="G516" i="70"/>
  <c r="E516" i="70"/>
  <c r="C516" i="70"/>
  <c r="Q515" i="70"/>
  <c r="O515" i="70"/>
  <c r="M515" i="70"/>
  <c r="K515" i="70"/>
  <c r="I515" i="70"/>
  <c r="G515" i="70"/>
  <c r="E515" i="70"/>
  <c r="C515" i="70"/>
  <c r="Q514" i="70"/>
  <c r="O514" i="70"/>
  <c r="M514" i="70"/>
  <c r="K514" i="70"/>
  <c r="I514" i="70"/>
  <c r="G514" i="70"/>
  <c r="E514" i="70"/>
  <c r="C514" i="70"/>
  <c r="Q513" i="70"/>
  <c r="O513" i="70"/>
  <c r="M513" i="70"/>
  <c r="K513" i="70"/>
  <c r="I513" i="70"/>
  <c r="G513" i="70"/>
  <c r="E513" i="70"/>
  <c r="C513" i="70"/>
  <c r="Q512" i="70"/>
  <c r="O512" i="70"/>
  <c r="M512" i="70"/>
  <c r="K512" i="70"/>
  <c r="I512" i="70"/>
  <c r="G512" i="70"/>
  <c r="E512" i="70"/>
  <c r="C512" i="70"/>
  <c r="Q511" i="70"/>
  <c r="O511" i="70"/>
  <c r="M511" i="70"/>
  <c r="K511" i="70"/>
  <c r="I511" i="70"/>
  <c r="G511" i="70"/>
  <c r="E511" i="70"/>
  <c r="C511" i="70"/>
  <c r="Q510" i="70"/>
  <c r="O510" i="70"/>
  <c r="M510" i="70"/>
  <c r="K510" i="70"/>
  <c r="I510" i="70"/>
  <c r="G510" i="70"/>
  <c r="E510" i="70"/>
  <c r="C510" i="70"/>
  <c r="Q509" i="70"/>
  <c r="O509" i="70"/>
  <c r="M509" i="70"/>
  <c r="K509" i="70"/>
  <c r="I509" i="70"/>
  <c r="G509" i="70"/>
  <c r="E509" i="70"/>
  <c r="C509" i="70"/>
  <c r="Q508" i="70"/>
  <c r="O508" i="70"/>
  <c r="M508" i="70"/>
  <c r="K508" i="70"/>
  <c r="I508" i="70"/>
  <c r="G508" i="70"/>
  <c r="E508" i="70"/>
  <c r="C508" i="70"/>
  <c r="Q507" i="70"/>
  <c r="O507" i="70"/>
  <c r="M507" i="70"/>
  <c r="K507" i="70"/>
  <c r="I507" i="70"/>
  <c r="G507" i="70"/>
  <c r="E507" i="70"/>
  <c r="C507" i="70"/>
  <c r="Q506" i="70"/>
  <c r="O506" i="70"/>
  <c r="M506" i="70"/>
  <c r="K506" i="70"/>
  <c r="I506" i="70"/>
  <c r="G506" i="70"/>
  <c r="E506" i="70"/>
  <c r="C506" i="70"/>
  <c r="Q505" i="70"/>
  <c r="O505" i="70"/>
  <c r="M505" i="70"/>
  <c r="K505" i="70"/>
  <c r="I505" i="70"/>
  <c r="G505" i="70"/>
  <c r="E505" i="70"/>
  <c r="C505" i="70"/>
  <c r="Q504" i="70"/>
  <c r="O504" i="70"/>
  <c r="M504" i="70"/>
  <c r="K504" i="70"/>
  <c r="I504" i="70"/>
  <c r="G504" i="70"/>
  <c r="E504" i="70"/>
  <c r="C504" i="70"/>
  <c r="Q503" i="70"/>
  <c r="O503" i="70"/>
  <c r="M503" i="70"/>
  <c r="K503" i="70"/>
  <c r="I503" i="70"/>
  <c r="G503" i="70"/>
  <c r="E503" i="70"/>
  <c r="C503" i="70"/>
  <c r="Q502" i="70"/>
  <c r="O502" i="70"/>
  <c r="M502" i="70"/>
  <c r="K502" i="70"/>
  <c r="I502" i="70"/>
  <c r="G502" i="70"/>
  <c r="E502" i="70"/>
  <c r="C502" i="70"/>
  <c r="Q501" i="70"/>
  <c r="O501" i="70"/>
  <c r="M501" i="70"/>
  <c r="K501" i="70"/>
  <c r="I501" i="70"/>
  <c r="G501" i="70"/>
  <c r="E501" i="70"/>
  <c r="C501" i="70"/>
  <c r="Q500" i="70"/>
  <c r="O500" i="70"/>
  <c r="M500" i="70"/>
  <c r="K500" i="70"/>
  <c r="I500" i="70"/>
  <c r="G500" i="70"/>
  <c r="E500" i="70"/>
  <c r="C500" i="70"/>
  <c r="Q499" i="70"/>
  <c r="O499" i="70"/>
  <c r="M499" i="70"/>
  <c r="K499" i="70"/>
  <c r="I499" i="70"/>
  <c r="G499" i="70"/>
  <c r="E499" i="70"/>
  <c r="C499" i="70"/>
  <c r="Q498" i="70"/>
  <c r="O498" i="70"/>
  <c r="M498" i="70"/>
  <c r="K498" i="70"/>
  <c r="I498" i="70"/>
  <c r="G498" i="70"/>
  <c r="E498" i="70"/>
  <c r="C498" i="70"/>
  <c r="Q497" i="70"/>
  <c r="O497" i="70"/>
  <c r="M497" i="70"/>
  <c r="K497" i="70"/>
  <c r="I497" i="70"/>
  <c r="G497" i="70"/>
  <c r="E497" i="70"/>
  <c r="C497" i="70"/>
  <c r="Q496" i="70"/>
  <c r="O496" i="70"/>
  <c r="M496" i="70"/>
  <c r="K496" i="70"/>
  <c r="I496" i="70"/>
  <c r="G496" i="70"/>
  <c r="E496" i="70"/>
  <c r="C496" i="70"/>
  <c r="Q495" i="70"/>
  <c r="O495" i="70"/>
  <c r="M495" i="70"/>
  <c r="K495" i="70"/>
  <c r="I495" i="70"/>
  <c r="G495" i="70"/>
  <c r="E495" i="70"/>
  <c r="C495" i="70"/>
  <c r="Q494" i="70"/>
  <c r="O494" i="70"/>
  <c r="M494" i="70"/>
  <c r="K494" i="70"/>
  <c r="I494" i="70"/>
  <c r="G494" i="70"/>
  <c r="E494" i="70"/>
  <c r="C494" i="70"/>
  <c r="Q493" i="70"/>
  <c r="O493" i="70"/>
  <c r="M493" i="70"/>
  <c r="K493" i="70"/>
  <c r="I493" i="70"/>
  <c r="G493" i="70"/>
  <c r="E493" i="70"/>
  <c r="C493" i="70"/>
  <c r="Q492" i="70"/>
  <c r="O492" i="70"/>
  <c r="M492" i="70"/>
  <c r="K492" i="70"/>
  <c r="I492" i="70"/>
  <c r="G492" i="70"/>
  <c r="E492" i="70"/>
  <c r="C492" i="70"/>
  <c r="Q491" i="70"/>
  <c r="O491" i="70"/>
  <c r="M491" i="70"/>
  <c r="K491" i="70"/>
  <c r="I491" i="70"/>
  <c r="G491" i="70"/>
  <c r="E491" i="70"/>
  <c r="C491" i="70"/>
  <c r="Q490" i="70"/>
  <c r="O490" i="70"/>
  <c r="M490" i="70"/>
  <c r="K490" i="70"/>
  <c r="I490" i="70"/>
  <c r="G490" i="70"/>
  <c r="E490" i="70"/>
  <c r="C490" i="70"/>
  <c r="Q489" i="70"/>
  <c r="O489" i="70"/>
  <c r="M489" i="70"/>
  <c r="K489" i="70"/>
  <c r="I489" i="70"/>
  <c r="G489" i="70"/>
  <c r="E489" i="70"/>
  <c r="C489" i="70"/>
  <c r="Q488" i="70"/>
  <c r="O488" i="70"/>
  <c r="M488" i="70"/>
  <c r="K488" i="70"/>
  <c r="I488" i="70"/>
  <c r="G488" i="70"/>
  <c r="E488" i="70"/>
  <c r="C488" i="70"/>
  <c r="Q487" i="70"/>
  <c r="O487" i="70"/>
  <c r="M487" i="70"/>
  <c r="K487" i="70"/>
  <c r="I487" i="70"/>
  <c r="G487" i="70"/>
  <c r="E487" i="70"/>
  <c r="C487" i="70"/>
  <c r="Q486" i="70"/>
  <c r="O486" i="70"/>
  <c r="M486" i="70"/>
  <c r="K486" i="70"/>
  <c r="I486" i="70"/>
  <c r="G486" i="70"/>
  <c r="E486" i="70"/>
  <c r="C486" i="70"/>
  <c r="Q485" i="70"/>
  <c r="O485" i="70"/>
  <c r="M485" i="70"/>
  <c r="K485" i="70"/>
  <c r="I485" i="70"/>
  <c r="G485" i="70"/>
  <c r="E485" i="70"/>
  <c r="C485" i="70"/>
  <c r="Q484" i="70"/>
  <c r="O484" i="70"/>
  <c r="M484" i="70"/>
  <c r="K484" i="70"/>
  <c r="I484" i="70"/>
  <c r="G484" i="70"/>
  <c r="E484" i="70"/>
  <c r="C484" i="70"/>
  <c r="Q483" i="70"/>
  <c r="O483" i="70"/>
  <c r="M483" i="70"/>
  <c r="K483" i="70"/>
  <c r="I483" i="70"/>
  <c r="G483" i="70"/>
  <c r="E483" i="70"/>
  <c r="C483" i="70"/>
  <c r="Q482" i="70"/>
  <c r="O482" i="70"/>
  <c r="M482" i="70"/>
  <c r="K482" i="70"/>
  <c r="I482" i="70"/>
  <c r="G482" i="70"/>
  <c r="E482" i="70"/>
  <c r="C482" i="70"/>
  <c r="Q481" i="70"/>
  <c r="O481" i="70"/>
  <c r="M481" i="70"/>
  <c r="K481" i="70"/>
  <c r="I481" i="70"/>
  <c r="G481" i="70"/>
  <c r="E481" i="70"/>
  <c r="C481" i="70"/>
  <c r="Q480" i="70"/>
  <c r="O480" i="70"/>
  <c r="M480" i="70"/>
  <c r="K480" i="70"/>
  <c r="I480" i="70"/>
  <c r="G480" i="70"/>
  <c r="E480" i="70"/>
  <c r="C480" i="70"/>
  <c r="Q479" i="70"/>
  <c r="O479" i="70"/>
  <c r="M479" i="70"/>
  <c r="K479" i="70"/>
  <c r="I479" i="70"/>
  <c r="G479" i="70"/>
  <c r="E479" i="70"/>
  <c r="C479" i="70"/>
  <c r="Q478" i="70"/>
  <c r="O478" i="70"/>
  <c r="M478" i="70"/>
  <c r="K478" i="70"/>
  <c r="I478" i="70"/>
  <c r="G478" i="70"/>
  <c r="E478" i="70"/>
  <c r="C478" i="70"/>
  <c r="Q477" i="70"/>
  <c r="O477" i="70"/>
  <c r="M477" i="70"/>
  <c r="K477" i="70"/>
  <c r="I477" i="70"/>
  <c r="G477" i="70"/>
  <c r="E477" i="70"/>
  <c r="C477" i="70"/>
  <c r="Q476" i="70"/>
  <c r="O476" i="70"/>
  <c r="M476" i="70"/>
  <c r="K476" i="70"/>
  <c r="I476" i="70"/>
  <c r="G476" i="70"/>
  <c r="E476" i="70"/>
  <c r="C476" i="70"/>
  <c r="Q475" i="70"/>
  <c r="O475" i="70"/>
  <c r="M475" i="70"/>
  <c r="K475" i="70"/>
  <c r="I475" i="70"/>
  <c r="G475" i="70"/>
  <c r="E475" i="70"/>
  <c r="C475" i="70"/>
  <c r="Q474" i="70"/>
  <c r="O474" i="70"/>
  <c r="M474" i="70"/>
  <c r="K474" i="70"/>
  <c r="I474" i="70"/>
  <c r="G474" i="70"/>
  <c r="E474" i="70"/>
  <c r="C474" i="70"/>
  <c r="Q473" i="70"/>
  <c r="O473" i="70"/>
  <c r="M473" i="70"/>
  <c r="K473" i="70"/>
  <c r="I473" i="70"/>
  <c r="G473" i="70"/>
  <c r="E473" i="70"/>
  <c r="C473" i="70"/>
  <c r="Q472" i="70"/>
  <c r="O472" i="70"/>
  <c r="M472" i="70"/>
  <c r="K472" i="70"/>
  <c r="I472" i="70"/>
  <c r="G472" i="70"/>
  <c r="E472" i="70"/>
  <c r="C472" i="70"/>
  <c r="Q471" i="70"/>
  <c r="O471" i="70"/>
  <c r="M471" i="70"/>
  <c r="K471" i="70"/>
  <c r="I471" i="70"/>
  <c r="G471" i="70"/>
  <c r="E471" i="70"/>
  <c r="C471" i="70"/>
  <c r="Q470" i="70"/>
  <c r="O470" i="70"/>
  <c r="M470" i="70"/>
  <c r="K470" i="70"/>
  <c r="I470" i="70"/>
  <c r="G470" i="70"/>
  <c r="E470" i="70"/>
  <c r="C470" i="70"/>
  <c r="Q469" i="70"/>
  <c r="O469" i="70"/>
  <c r="M469" i="70"/>
  <c r="K469" i="70"/>
  <c r="I469" i="70"/>
  <c r="G469" i="70"/>
  <c r="E469" i="70"/>
  <c r="C469" i="70"/>
  <c r="Q468" i="70"/>
  <c r="O468" i="70"/>
  <c r="M468" i="70"/>
  <c r="K468" i="70"/>
  <c r="I468" i="70"/>
  <c r="G468" i="70"/>
  <c r="E468" i="70"/>
  <c r="C468" i="70"/>
  <c r="Q467" i="70"/>
  <c r="O467" i="70"/>
  <c r="M467" i="70"/>
  <c r="K467" i="70"/>
  <c r="I467" i="70"/>
  <c r="G467" i="70"/>
  <c r="E467" i="70"/>
  <c r="C467" i="70"/>
  <c r="Q466" i="70"/>
  <c r="O466" i="70"/>
  <c r="M466" i="70"/>
  <c r="K466" i="70"/>
  <c r="I466" i="70"/>
  <c r="G466" i="70"/>
  <c r="E466" i="70"/>
  <c r="C466" i="70"/>
  <c r="Q465" i="70"/>
  <c r="O465" i="70"/>
  <c r="M465" i="70"/>
  <c r="K465" i="70"/>
  <c r="I465" i="70"/>
  <c r="G465" i="70"/>
  <c r="E465" i="70"/>
  <c r="C465" i="70"/>
  <c r="Q464" i="70"/>
  <c r="O464" i="70"/>
  <c r="M464" i="70"/>
  <c r="K464" i="70"/>
  <c r="I464" i="70"/>
  <c r="G464" i="70"/>
  <c r="E464" i="70"/>
  <c r="C464" i="70"/>
  <c r="Q463" i="70"/>
  <c r="O463" i="70"/>
  <c r="M463" i="70"/>
  <c r="K463" i="70"/>
  <c r="I463" i="70"/>
  <c r="G463" i="70"/>
  <c r="E463" i="70"/>
  <c r="C463" i="70"/>
  <c r="Q462" i="70"/>
  <c r="O462" i="70"/>
  <c r="M462" i="70"/>
  <c r="K462" i="70"/>
  <c r="I462" i="70"/>
  <c r="G462" i="70"/>
  <c r="E462" i="70"/>
  <c r="C462" i="70"/>
  <c r="Q461" i="70"/>
  <c r="O461" i="70"/>
  <c r="M461" i="70"/>
  <c r="K461" i="70"/>
  <c r="I461" i="70"/>
  <c r="G461" i="70"/>
  <c r="E461" i="70"/>
  <c r="C461" i="70"/>
  <c r="Q460" i="70"/>
  <c r="O460" i="70"/>
  <c r="M460" i="70"/>
  <c r="K460" i="70"/>
  <c r="I460" i="70"/>
  <c r="G460" i="70"/>
  <c r="E460" i="70"/>
  <c r="C460" i="70"/>
  <c r="Q459" i="70"/>
  <c r="O459" i="70"/>
  <c r="M459" i="70"/>
  <c r="K459" i="70"/>
  <c r="I459" i="70"/>
  <c r="G459" i="70"/>
  <c r="E459" i="70"/>
  <c r="C459" i="70"/>
  <c r="Q458" i="70"/>
  <c r="O458" i="70"/>
  <c r="M458" i="70"/>
  <c r="K458" i="70"/>
  <c r="I458" i="70"/>
  <c r="G458" i="70"/>
  <c r="E458" i="70"/>
  <c r="C458" i="70"/>
  <c r="Q457" i="70"/>
  <c r="O457" i="70"/>
  <c r="M457" i="70"/>
  <c r="K457" i="70"/>
  <c r="I457" i="70"/>
  <c r="G457" i="70"/>
  <c r="E457" i="70"/>
  <c r="C457" i="70"/>
  <c r="Q456" i="70"/>
  <c r="O456" i="70"/>
  <c r="M456" i="70"/>
  <c r="K456" i="70"/>
  <c r="I456" i="70"/>
  <c r="G456" i="70"/>
  <c r="E456" i="70"/>
  <c r="C456" i="70"/>
  <c r="Q455" i="70"/>
  <c r="O455" i="70"/>
  <c r="M455" i="70"/>
  <c r="K455" i="70"/>
  <c r="I455" i="70"/>
  <c r="G455" i="70"/>
  <c r="E455" i="70"/>
  <c r="C455" i="70"/>
  <c r="Q454" i="70"/>
  <c r="O454" i="70"/>
  <c r="M454" i="70"/>
  <c r="K454" i="70"/>
  <c r="I454" i="70"/>
  <c r="G454" i="70"/>
  <c r="E454" i="70"/>
  <c r="C454" i="70"/>
  <c r="Q453" i="70"/>
  <c r="O453" i="70"/>
  <c r="M453" i="70"/>
  <c r="K453" i="70"/>
  <c r="I453" i="70"/>
  <c r="G453" i="70"/>
  <c r="E453" i="70"/>
  <c r="C453" i="70"/>
  <c r="Q452" i="70"/>
  <c r="O452" i="70"/>
  <c r="M452" i="70"/>
  <c r="K452" i="70"/>
  <c r="I452" i="70"/>
  <c r="G452" i="70"/>
  <c r="E452" i="70"/>
  <c r="C452" i="70"/>
  <c r="Q451" i="70"/>
  <c r="O451" i="70"/>
  <c r="M451" i="70"/>
  <c r="K451" i="70"/>
  <c r="I451" i="70"/>
  <c r="G451" i="70"/>
  <c r="E451" i="70"/>
  <c r="C451" i="70"/>
  <c r="Q450" i="70"/>
  <c r="O450" i="70"/>
  <c r="M450" i="70"/>
  <c r="K450" i="70"/>
  <c r="I450" i="70"/>
  <c r="G450" i="70"/>
  <c r="E450" i="70"/>
  <c r="C450" i="70"/>
  <c r="Q449" i="70"/>
  <c r="O449" i="70"/>
  <c r="M449" i="70"/>
  <c r="K449" i="70"/>
  <c r="I449" i="70"/>
  <c r="G449" i="70"/>
  <c r="E449" i="70"/>
  <c r="C449" i="70"/>
  <c r="Q448" i="70"/>
  <c r="O448" i="70"/>
  <c r="M448" i="70"/>
  <c r="K448" i="70"/>
  <c r="I448" i="70"/>
  <c r="G448" i="70"/>
  <c r="E448" i="70"/>
  <c r="C448" i="70"/>
  <c r="Q447" i="70"/>
  <c r="O447" i="70"/>
  <c r="M447" i="70"/>
  <c r="K447" i="70"/>
  <c r="I447" i="70"/>
  <c r="G447" i="70"/>
  <c r="E447" i="70"/>
  <c r="C447" i="70"/>
  <c r="Q446" i="70"/>
  <c r="O446" i="70"/>
  <c r="M446" i="70"/>
  <c r="K446" i="70"/>
  <c r="I446" i="70"/>
  <c r="G446" i="70"/>
  <c r="E446" i="70"/>
  <c r="C446" i="70"/>
  <c r="Q445" i="70"/>
  <c r="O445" i="70"/>
  <c r="M445" i="70"/>
  <c r="K445" i="70"/>
  <c r="I445" i="70"/>
  <c r="G445" i="70"/>
  <c r="E445" i="70"/>
  <c r="C445" i="70"/>
  <c r="Q444" i="70"/>
  <c r="O444" i="70"/>
  <c r="M444" i="70"/>
  <c r="K444" i="70"/>
  <c r="I444" i="70"/>
  <c r="G444" i="70"/>
  <c r="E444" i="70"/>
  <c r="C444" i="70"/>
  <c r="Q443" i="70"/>
  <c r="O443" i="70"/>
  <c r="M443" i="70"/>
  <c r="K443" i="70"/>
  <c r="I443" i="70"/>
  <c r="G443" i="70"/>
  <c r="E443" i="70"/>
  <c r="C443" i="70"/>
  <c r="Q442" i="70"/>
  <c r="O442" i="70"/>
  <c r="M442" i="70"/>
  <c r="K442" i="70"/>
  <c r="I442" i="70"/>
  <c r="G442" i="70"/>
  <c r="E442" i="70"/>
  <c r="C442" i="70"/>
  <c r="Q441" i="70"/>
  <c r="O441" i="70"/>
  <c r="M441" i="70"/>
  <c r="K441" i="70"/>
  <c r="I441" i="70"/>
  <c r="G441" i="70"/>
  <c r="E441" i="70"/>
  <c r="C441" i="70"/>
  <c r="Q440" i="70"/>
  <c r="O440" i="70"/>
  <c r="M440" i="70"/>
  <c r="K440" i="70"/>
  <c r="I440" i="70"/>
  <c r="G440" i="70"/>
  <c r="E440" i="70"/>
  <c r="C440" i="70"/>
  <c r="Q439" i="70"/>
  <c r="O439" i="70"/>
  <c r="M439" i="70"/>
  <c r="K439" i="70"/>
  <c r="I439" i="70"/>
  <c r="G439" i="70"/>
  <c r="E439" i="70"/>
  <c r="C439" i="70"/>
  <c r="Q438" i="70"/>
  <c r="O438" i="70"/>
  <c r="M438" i="70"/>
  <c r="K438" i="70"/>
  <c r="I438" i="70"/>
  <c r="G438" i="70"/>
  <c r="E438" i="70"/>
  <c r="C438" i="70"/>
  <c r="Q437" i="70"/>
  <c r="O437" i="70"/>
  <c r="M437" i="70"/>
  <c r="K437" i="70"/>
  <c r="I437" i="70"/>
  <c r="G437" i="70"/>
  <c r="E437" i="70"/>
  <c r="C437" i="70"/>
  <c r="Q436" i="70"/>
  <c r="O436" i="70"/>
  <c r="M436" i="70"/>
  <c r="K436" i="70"/>
  <c r="I436" i="70"/>
  <c r="G436" i="70"/>
  <c r="E436" i="70"/>
  <c r="C436" i="70"/>
  <c r="Q435" i="70"/>
  <c r="O435" i="70"/>
  <c r="M435" i="70"/>
  <c r="K435" i="70"/>
  <c r="I435" i="70"/>
  <c r="G435" i="70"/>
  <c r="E435" i="70"/>
  <c r="C435" i="70"/>
  <c r="Q434" i="70"/>
  <c r="O434" i="70"/>
  <c r="M434" i="70"/>
  <c r="K434" i="70"/>
  <c r="I434" i="70"/>
  <c r="G434" i="70"/>
  <c r="E434" i="70"/>
  <c r="C434" i="70"/>
  <c r="Q433" i="70"/>
  <c r="O433" i="70"/>
  <c r="M433" i="70"/>
  <c r="K433" i="70"/>
  <c r="I433" i="70"/>
  <c r="G433" i="70"/>
  <c r="E433" i="70"/>
  <c r="C433" i="70"/>
  <c r="Q432" i="70"/>
  <c r="O432" i="70"/>
  <c r="M432" i="70"/>
  <c r="K432" i="70"/>
  <c r="I432" i="70"/>
  <c r="G432" i="70"/>
  <c r="E432" i="70"/>
  <c r="C432" i="70"/>
  <c r="Q431" i="70"/>
  <c r="O431" i="70"/>
  <c r="M431" i="70"/>
  <c r="K431" i="70"/>
  <c r="I431" i="70"/>
  <c r="G431" i="70"/>
  <c r="E431" i="70"/>
  <c r="C431" i="70"/>
  <c r="Q430" i="70"/>
  <c r="O430" i="70"/>
  <c r="M430" i="70"/>
  <c r="K430" i="70"/>
  <c r="I430" i="70"/>
  <c r="G430" i="70"/>
  <c r="E430" i="70"/>
  <c r="C430" i="70"/>
  <c r="Q429" i="70"/>
  <c r="O429" i="70"/>
  <c r="M429" i="70"/>
  <c r="K429" i="70"/>
  <c r="I429" i="70"/>
  <c r="G429" i="70"/>
  <c r="E429" i="70"/>
  <c r="C429" i="70"/>
  <c r="Q428" i="70"/>
  <c r="O428" i="70"/>
  <c r="M428" i="70"/>
  <c r="K428" i="70"/>
  <c r="I428" i="70"/>
  <c r="G428" i="70"/>
  <c r="E428" i="70"/>
  <c r="C428" i="70"/>
  <c r="Q427" i="70"/>
  <c r="O427" i="70"/>
  <c r="M427" i="70"/>
  <c r="K427" i="70"/>
  <c r="I427" i="70"/>
  <c r="G427" i="70"/>
  <c r="E427" i="70"/>
  <c r="C427" i="70"/>
  <c r="Q426" i="70"/>
  <c r="O426" i="70"/>
  <c r="M426" i="70"/>
  <c r="K426" i="70"/>
  <c r="I426" i="70"/>
  <c r="G426" i="70"/>
  <c r="E426" i="70"/>
  <c r="C426" i="70"/>
  <c r="Q425" i="70"/>
  <c r="O425" i="70"/>
  <c r="M425" i="70"/>
  <c r="K425" i="70"/>
  <c r="I425" i="70"/>
  <c r="G425" i="70"/>
  <c r="E425" i="70"/>
  <c r="C425" i="70"/>
  <c r="Q424" i="70"/>
  <c r="O424" i="70"/>
  <c r="M424" i="70"/>
  <c r="K424" i="70"/>
  <c r="I424" i="70"/>
  <c r="G424" i="70"/>
  <c r="E424" i="70"/>
  <c r="C424" i="70"/>
  <c r="Q423" i="70"/>
  <c r="O423" i="70"/>
  <c r="M423" i="70"/>
  <c r="K423" i="70"/>
  <c r="I423" i="70"/>
  <c r="G423" i="70"/>
  <c r="E423" i="70"/>
  <c r="C423" i="70"/>
  <c r="Q422" i="70"/>
  <c r="O422" i="70"/>
  <c r="M422" i="70"/>
  <c r="K422" i="70"/>
  <c r="I422" i="70"/>
  <c r="G422" i="70"/>
  <c r="E422" i="70"/>
  <c r="C422" i="70"/>
  <c r="Q421" i="70"/>
  <c r="O421" i="70"/>
  <c r="M421" i="70"/>
  <c r="K421" i="70"/>
  <c r="I421" i="70"/>
  <c r="G421" i="70"/>
  <c r="E421" i="70"/>
  <c r="C421" i="70"/>
  <c r="Q420" i="70"/>
  <c r="O420" i="70"/>
  <c r="M420" i="70"/>
  <c r="K420" i="70"/>
  <c r="I420" i="70"/>
  <c r="G420" i="70"/>
  <c r="E420" i="70"/>
  <c r="C420" i="70"/>
  <c r="Q419" i="70"/>
  <c r="O419" i="70"/>
  <c r="M419" i="70"/>
  <c r="K419" i="70"/>
  <c r="I419" i="70"/>
  <c r="G419" i="70"/>
  <c r="E419" i="70"/>
  <c r="C419" i="70"/>
  <c r="Q418" i="70"/>
  <c r="O418" i="70"/>
  <c r="M418" i="70"/>
  <c r="K418" i="70"/>
  <c r="I418" i="70"/>
  <c r="G418" i="70"/>
  <c r="E418" i="70"/>
  <c r="C418" i="70"/>
  <c r="Q417" i="70"/>
  <c r="O417" i="70"/>
  <c r="M417" i="70"/>
  <c r="K417" i="70"/>
  <c r="I417" i="70"/>
  <c r="G417" i="70"/>
  <c r="E417" i="70"/>
  <c r="C417" i="70"/>
  <c r="Q416" i="70"/>
  <c r="O416" i="70"/>
  <c r="M416" i="70"/>
  <c r="K416" i="70"/>
  <c r="I416" i="70"/>
  <c r="G416" i="70"/>
  <c r="E416" i="70"/>
  <c r="C416" i="70"/>
  <c r="Q415" i="70"/>
  <c r="O415" i="70"/>
  <c r="M415" i="70"/>
  <c r="K415" i="70"/>
  <c r="I415" i="70"/>
  <c r="G415" i="70"/>
  <c r="E415" i="70"/>
  <c r="C415" i="70"/>
  <c r="Q414" i="70"/>
  <c r="O414" i="70"/>
  <c r="M414" i="70"/>
  <c r="K414" i="70"/>
  <c r="I414" i="70"/>
  <c r="G414" i="70"/>
  <c r="E414" i="70"/>
  <c r="C414" i="70"/>
  <c r="Q413" i="70"/>
  <c r="O413" i="70"/>
  <c r="M413" i="70"/>
  <c r="K413" i="70"/>
  <c r="I413" i="70"/>
  <c r="G413" i="70"/>
  <c r="E413" i="70"/>
  <c r="C413" i="70"/>
  <c r="Q412" i="70"/>
  <c r="O412" i="70"/>
  <c r="M412" i="70"/>
  <c r="K412" i="70"/>
  <c r="I412" i="70"/>
  <c r="G412" i="70"/>
  <c r="E412" i="70"/>
  <c r="C412" i="70"/>
  <c r="Q411" i="70"/>
  <c r="O411" i="70"/>
  <c r="M411" i="70"/>
  <c r="K411" i="70"/>
  <c r="I411" i="70"/>
  <c r="G411" i="70"/>
  <c r="E411" i="70"/>
  <c r="C411" i="70"/>
  <c r="Q410" i="70"/>
  <c r="O410" i="70"/>
  <c r="M410" i="70"/>
  <c r="K410" i="70"/>
  <c r="I410" i="70"/>
  <c r="G410" i="70"/>
  <c r="E410" i="70"/>
  <c r="C410" i="70"/>
  <c r="Q409" i="70"/>
  <c r="O409" i="70"/>
  <c r="M409" i="70"/>
  <c r="K409" i="70"/>
  <c r="I409" i="70"/>
  <c r="G409" i="70"/>
  <c r="E409" i="70"/>
  <c r="C409" i="70"/>
  <c r="Q408" i="70"/>
  <c r="O408" i="70"/>
  <c r="M408" i="70"/>
  <c r="K408" i="70"/>
  <c r="I408" i="70"/>
  <c r="G408" i="70"/>
  <c r="E408" i="70"/>
  <c r="C408" i="70"/>
  <c r="Q407" i="70"/>
  <c r="O407" i="70"/>
  <c r="M407" i="70"/>
  <c r="K407" i="70"/>
  <c r="I407" i="70"/>
  <c r="G407" i="70"/>
  <c r="E407" i="70"/>
  <c r="C407" i="70"/>
  <c r="Q406" i="70"/>
  <c r="O406" i="70"/>
  <c r="M406" i="70"/>
  <c r="K406" i="70"/>
  <c r="I406" i="70"/>
  <c r="G406" i="70"/>
  <c r="E406" i="70"/>
  <c r="C406" i="70"/>
  <c r="Q405" i="70"/>
  <c r="O405" i="70"/>
  <c r="M405" i="70"/>
  <c r="K405" i="70"/>
  <c r="I405" i="70"/>
  <c r="G405" i="70"/>
  <c r="E405" i="70"/>
  <c r="C405" i="70"/>
  <c r="Q404" i="70"/>
  <c r="O404" i="70"/>
  <c r="M404" i="70"/>
  <c r="K404" i="70"/>
  <c r="I404" i="70"/>
  <c r="G404" i="70"/>
  <c r="E404" i="70"/>
  <c r="C404" i="70"/>
  <c r="Q403" i="70"/>
  <c r="O403" i="70"/>
  <c r="M403" i="70"/>
  <c r="K403" i="70"/>
  <c r="I403" i="70"/>
  <c r="G403" i="70"/>
  <c r="E403" i="70"/>
  <c r="C403" i="70"/>
  <c r="Q402" i="70"/>
  <c r="O402" i="70"/>
  <c r="M402" i="70"/>
  <c r="K402" i="70"/>
  <c r="I402" i="70"/>
  <c r="G402" i="70"/>
  <c r="E402" i="70"/>
  <c r="C402" i="70"/>
  <c r="Q401" i="70"/>
  <c r="O401" i="70"/>
  <c r="M401" i="70"/>
  <c r="K401" i="70"/>
  <c r="I401" i="70"/>
  <c r="G401" i="70"/>
  <c r="E401" i="70"/>
  <c r="C401" i="70"/>
  <c r="Q400" i="70"/>
  <c r="O400" i="70"/>
  <c r="M400" i="70"/>
  <c r="K400" i="70"/>
  <c r="I400" i="70"/>
  <c r="G400" i="70"/>
  <c r="E400" i="70"/>
  <c r="C400" i="70"/>
  <c r="Q399" i="70"/>
  <c r="O399" i="70"/>
  <c r="M399" i="70"/>
  <c r="K399" i="70"/>
  <c r="I399" i="70"/>
  <c r="G399" i="70"/>
  <c r="E399" i="70"/>
  <c r="C399" i="70"/>
  <c r="Q398" i="70"/>
  <c r="O398" i="70"/>
  <c r="M398" i="70"/>
  <c r="K398" i="70"/>
  <c r="I398" i="70"/>
  <c r="G398" i="70"/>
  <c r="E398" i="70"/>
  <c r="C398" i="70"/>
  <c r="Q397" i="70"/>
  <c r="O397" i="70"/>
  <c r="M397" i="70"/>
  <c r="K397" i="70"/>
  <c r="I397" i="70"/>
  <c r="G397" i="70"/>
  <c r="E397" i="70"/>
  <c r="C397" i="70"/>
  <c r="Q396" i="70"/>
  <c r="O396" i="70"/>
  <c r="M396" i="70"/>
  <c r="K396" i="70"/>
  <c r="I396" i="70"/>
  <c r="G396" i="70"/>
  <c r="E396" i="70"/>
  <c r="C396" i="70"/>
  <c r="Q395" i="70"/>
  <c r="O395" i="70"/>
  <c r="M395" i="70"/>
  <c r="K395" i="70"/>
  <c r="I395" i="70"/>
  <c r="G395" i="70"/>
  <c r="E395" i="70"/>
  <c r="C395" i="70"/>
  <c r="Q394" i="70"/>
  <c r="O394" i="70"/>
  <c r="M394" i="70"/>
  <c r="K394" i="70"/>
  <c r="I394" i="70"/>
  <c r="G394" i="70"/>
  <c r="E394" i="70"/>
  <c r="C394" i="70"/>
  <c r="Q393" i="70"/>
  <c r="O393" i="70"/>
  <c r="M393" i="70"/>
  <c r="K393" i="70"/>
  <c r="I393" i="70"/>
  <c r="G393" i="70"/>
  <c r="E393" i="70"/>
  <c r="C393" i="70"/>
  <c r="Q392" i="70"/>
  <c r="O392" i="70"/>
  <c r="M392" i="70"/>
  <c r="K392" i="70"/>
  <c r="I392" i="70"/>
  <c r="G392" i="70"/>
  <c r="E392" i="70"/>
  <c r="C392" i="70"/>
  <c r="Q391" i="70"/>
  <c r="O391" i="70"/>
  <c r="M391" i="70"/>
  <c r="K391" i="70"/>
  <c r="I391" i="70"/>
  <c r="G391" i="70"/>
  <c r="E391" i="70"/>
  <c r="C391" i="70"/>
  <c r="Q390" i="70"/>
  <c r="O390" i="70"/>
  <c r="M390" i="70"/>
  <c r="K390" i="70"/>
  <c r="I390" i="70"/>
  <c r="G390" i="70"/>
  <c r="E390" i="70"/>
  <c r="C390" i="70"/>
  <c r="Q389" i="70"/>
  <c r="O389" i="70"/>
  <c r="M389" i="70"/>
  <c r="K389" i="70"/>
  <c r="I389" i="70"/>
  <c r="G389" i="70"/>
  <c r="E389" i="70"/>
  <c r="C389" i="70"/>
  <c r="Q388" i="70"/>
  <c r="O388" i="70"/>
  <c r="M388" i="70"/>
  <c r="K388" i="70"/>
  <c r="I388" i="70"/>
  <c r="G388" i="70"/>
  <c r="E388" i="70"/>
  <c r="C388" i="70"/>
  <c r="Q387" i="70"/>
  <c r="O387" i="70"/>
  <c r="M387" i="70"/>
  <c r="K387" i="70"/>
  <c r="I387" i="70"/>
  <c r="G387" i="70"/>
  <c r="E387" i="70"/>
  <c r="C387" i="70"/>
  <c r="Q386" i="70"/>
  <c r="O386" i="70"/>
  <c r="M386" i="70"/>
  <c r="K386" i="70"/>
  <c r="I386" i="70"/>
  <c r="G386" i="70"/>
  <c r="E386" i="70"/>
  <c r="C386" i="70"/>
  <c r="Q385" i="70"/>
  <c r="O385" i="70"/>
  <c r="M385" i="70"/>
  <c r="K385" i="70"/>
  <c r="I385" i="70"/>
  <c r="G385" i="70"/>
  <c r="E385" i="70"/>
  <c r="C385" i="70"/>
  <c r="Q384" i="70"/>
  <c r="O384" i="70"/>
  <c r="M384" i="70"/>
  <c r="K384" i="70"/>
  <c r="I384" i="70"/>
  <c r="G384" i="70"/>
  <c r="E384" i="70"/>
  <c r="C384" i="70"/>
  <c r="Q383" i="70"/>
  <c r="O383" i="70"/>
  <c r="M383" i="70"/>
  <c r="K383" i="70"/>
  <c r="I383" i="70"/>
  <c r="G383" i="70"/>
  <c r="E383" i="70"/>
  <c r="C383" i="70"/>
  <c r="Q382" i="70"/>
  <c r="O382" i="70"/>
  <c r="M382" i="70"/>
  <c r="K382" i="70"/>
  <c r="I382" i="70"/>
  <c r="G382" i="70"/>
  <c r="E382" i="70"/>
  <c r="C382" i="70"/>
  <c r="Q381" i="70"/>
  <c r="O381" i="70"/>
  <c r="M381" i="70"/>
  <c r="K381" i="70"/>
  <c r="I381" i="70"/>
  <c r="G381" i="70"/>
  <c r="E381" i="70"/>
  <c r="C381" i="70"/>
  <c r="Q380" i="70"/>
  <c r="O380" i="70"/>
  <c r="M380" i="70"/>
  <c r="K380" i="70"/>
  <c r="I380" i="70"/>
  <c r="G380" i="70"/>
  <c r="E380" i="70"/>
  <c r="C380" i="70"/>
  <c r="Q379" i="70"/>
  <c r="O379" i="70"/>
  <c r="M379" i="70"/>
  <c r="K379" i="70"/>
  <c r="I379" i="70"/>
  <c r="G379" i="70"/>
  <c r="E379" i="70"/>
  <c r="C379" i="70"/>
  <c r="Q378" i="70"/>
  <c r="O378" i="70"/>
  <c r="M378" i="70"/>
  <c r="K378" i="70"/>
  <c r="I378" i="70"/>
  <c r="G378" i="70"/>
  <c r="E378" i="70"/>
  <c r="C378" i="70"/>
  <c r="Q377" i="70"/>
  <c r="O377" i="70"/>
  <c r="M377" i="70"/>
  <c r="K377" i="70"/>
  <c r="I377" i="70"/>
  <c r="G377" i="70"/>
  <c r="E377" i="70"/>
  <c r="C377" i="70"/>
  <c r="Q376" i="70"/>
  <c r="O376" i="70"/>
  <c r="M376" i="70"/>
  <c r="K376" i="70"/>
  <c r="I376" i="70"/>
  <c r="G376" i="70"/>
  <c r="E376" i="70"/>
  <c r="C376" i="70"/>
  <c r="Q375" i="70"/>
  <c r="O375" i="70"/>
  <c r="M375" i="70"/>
  <c r="K375" i="70"/>
  <c r="I375" i="70"/>
  <c r="G375" i="70"/>
  <c r="E375" i="70"/>
  <c r="C375" i="70"/>
  <c r="Q374" i="70"/>
  <c r="O374" i="70"/>
  <c r="M374" i="70"/>
  <c r="K374" i="70"/>
  <c r="I374" i="70"/>
  <c r="G374" i="70"/>
  <c r="E374" i="70"/>
  <c r="C374" i="70"/>
  <c r="Q373" i="70"/>
  <c r="O373" i="70"/>
  <c r="M373" i="70"/>
  <c r="K373" i="70"/>
  <c r="I373" i="70"/>
  <c r="G373" i="70"/>
  <c r="E373" i="70"/>
  <c r="C373" i="70"/>
  <c r="Q372" i="70"/>
  <c r="O372" i="70"/>
  <c r="M372" i="70"/>
  <c r="K372" i="70"/>
  <c r="I372" i="70"/>
  <c r="G372" i="70"/>
  <c r="E372" i="70"/>
  <c r="C372" i="70"/>
  <c r="Q371" i="70"/>
  <c r="O371" i="70"/>
  <c r="M371" i="70"/>
  <c r="K371" i="70"/>
  <c r="I371" i="70"/>
  <c r="G371" i="70"/>
  <c r="E371" i="70"/>
  <c r="C371" i="70"/>
  <c r="Q370" i="70"/>
  <c r="O370" i="70"/>
  <c r="M370" i="70"/>
  <c r="K370" i="70"/>
  <c r="I370" i="70"/>
  <c r="G370" i="70"/>
  <c r="E370" i="70"/>
  <c r="C370" i="70"/>
  <c r="Q369" i="70"/>
  <c r="O369" i="70"/>
  <c r="M369" i="70"/>
  <c r="K369" i="70"/>
  <c r="I369" i="70"/>
  <c r="G369" i="70"/>
  <c r="E369" i="70"/>
  <c r="C369" i="70"/>
  <c r="Q368" i="70"/>
  <c r="O368" i="70"/>
  <c r="M368" i="70"/>
  <c r="K368" i="70"/>
  <c r="I368" i="70"/>
  <c r="G368" i="70"/>
  <c r="E368" i="70"/>
  <c r="C368" i="70"/>
  <c r="Q367" i="70"/>
  <c r="O367" i="70"/>
  <c r="M367" i="70"/>
  <c r="K367" i="70"/>
  <c r="I367" i="70"/>
  <c r="G367" i="70"/>
  <c r="E367" i="70"/>
  <c r="C367" i="70"/>
  <c r="Q366" i="70"/>
  <c r="O366" i="70"/>
  <c r="M366" i="70"/>
  <c r="K366" i="70"/>
  <c r="I366" i="70"/>
  <c r="G366" i="70"/>
  <c r="E366" i="70"/>
  <c r="C366" i="70"/>
  <c r="Q365" i="70"/>
  <c r="O365" i="70"/>
  <c r="M365" i="70"/>
  <c r="K365" i="70"/>
  <c r="I365" i="70"/>
  <c r="G365" i="70"/>
  <c r="E365" i="70"/>
  <c r="C365" i="70"/>
  <c r="Q364" i="70"/>
  <c r="O364" i="70"/>
  <c r="M364" i="70"/>
  <c r="K364" i="70"/>
  <c r="I364" i="70"/>
  <c r="G364" i="70"/>
  <c r="E364" i="70"/>
  <c r="C364" i="70"/>
  <c r="Q363" i="70"/>
  <c r="O363" i="70"/>
  <c r="M363" i="70"/>
  <c r="K363" i="70"/>
  <c r="I363" i="70"/>
  <c r="G363" i="70"/>
  <c r="E363" i="70"/>
  <c r="C363" i="70"/>
  <c r="Q362" i="70"/>
  <c r="O362" i="70"/>
  <c r="M362" i="70"/>
  <c r="K362" i="70"/>
  <c r="I362" i="70"/>
  <c r="G362" i="70"/>
  <c r="E362" i="70"/>
  <c r="C362" i="70"/>
  <c r="Q361" i="70"/>
  <c r="O361" i="70"/>
  <c r="M361" i="70"/>
  <c r="K361" i="70"/>
  <c r="I361" i="70"/>
  <c r="G361" i="70"/>
  <c r="E361" i="70"/>
  <c r="C361" i="70"/>
  <c r="Q360" i="70"/>
  <c r="O360" i="70"/>
  <c r="M360" i="70"/>
  <c r="K360" i="70"/>
  <c r="I360" i="70"/>
  <c r="G360" i="70"/>
  <c r="E360" i="70"/>
  <c r="C360" i="70"/>
  <c r="Q359" i="70"/>
  <c r="O359" i="70"/>
  <c r="M359" i="70"/>
  <c r="K359" i="70"/>
  <c r="I359" i="70"/>
  <c r="G359" i="70"/>
  <c r="E359" i="70"/>
  <c r="C359" i="70"/>
  <c r="Q358" i="70"/>
  <c r="O358" i="70"/>
  <c r="M358" i="70"/>
  <c r="K358" i="70"/>
  <c r="I358" i="70"/>
  <c r="G358" i="70"/>
  <c r="E358" i="70"/>
  <c r="C358" i="70"/>
  <c r="Q357" i="70"/>
  <c r="O357" i="70"/>
  <c r="M357" i="70"/>
  <c r="K357" i="70"/>
  <c r="I357" i="70"/>
  <c r="G357" i="70"/>
  <c r="E357" i="70"/>
  <c r="C357" i="70"/>
  <c r="Q356" i="70"/>
  <c r="O356" i="70"/>
  <c r="M356" i="70"/>
  <c r="K356" i="70"/>
  <c r="I356" i="70"/>
  <c r="G356" i="70"/>
  <c r="E356" i="70"/>
  <c r="C356" i="70"/>
  <c r="Q355" i="70"/>
  <c r="O355" i="70"/>
  <c r="M355" i="70"/>
  <c r="K355" i="70"/>
  <c r="I355" i="70"/>
  <c r="G355" i="70"/>
  <c r="E355" i="70"/>
  <c r="C355" i="70"/>
  <c r="Q354" i="70"/>
  <c r="O354" i="70"/>
  <c r="M354" i="70"/>
  <c r="K354" i="70"/>
  <c r="I354" i="70"/>
  <c r="G354" i="70"/>
  <c r="E354" i="70"/>
  <c r="C354" i="70"/>
  <c r="Q353" i="70"/>
  <c r="O353" i="70"/>
  <c r="M353" i="70"/>
  <c r="K353" i="70"/>
  <c r="I353" i="70"/>
  <c r="G353" i="70"/>
  <c r="E353" i="70"/>
  <c r="C353" i="70"/>
  <c r="Q352" i="70"/>
  <c r="O352" i="70"/>
  <c r="M352" i="70"/>
  <c r="K352" i="70"/>
  <c r="I352" i="70"/>
  <c r="G352" i="70"/>
  <c r="E352" i="70"/>
  <c r="C352" i="70"/>
  <c r="Q351" i="70"/>
  <c r="O351" i="70"/>
  <c r="M351" i="70"/>
  <c r="K351" i="70"/>
  <c r="I351" i="70"/>
  <c r="G351" i="70"/>
  <c r="E351" i="70"/>
  <c r="C351" i="70"/>
  <c r="Q350" i="70"/>
  <c r="O350" i="70"/>
  <c r="M350" i="70"/>
  <c r="K350" i="70"/>
  <c r="I350" i="70"/>
  <c r="G350" i="70"/>
  <c r="E350" i="70"/>
  <c r="C350" i="70"/>
  <c r="Q349" i="70"/>
  <c r="O349" i="70"/>
  <c r="M349" i="70"/>
  <c r="K349" i="70"/>
  <c r="I349" i="70"/>
  <c r="G349" i="70"/>
  <c r="E349" i="70"/>
  <c r="C349" i="70"/>
  <c r="Q348" i="70"/>
  <c r="O348" i="70"/>
  <c r="M348" i="70"/>
  <c r="K348" i="70"/>
  <c r="I348" i="70"/>
  <c r="G348" i="70"/>
  <c r="E348" i="70"/>
  <c r="C348" i="70"/>
  <c r="Q347" i="70"/>
  <c r="O347" i="70"/>
  <c r="M347" i="70"/>
  <c r="K347" i="70"/>
  <c r="I347" i="70"/>
  <c r="G347" i="70"/>
  <c r="E347" i="70"/>
  <c r="C347" i="70"/>
  <c r="Q346" i="70"/>
  <c r="O346" i="70"/>
  <c r="M346" i="70"/>
  <c r="K346" i="70"/>
  <c r="I346" i="70"/>
  <c r="G346" i="70"/>
  <c r="E346" i="70"/>
  <c r="C346" i="70"/>
  <c r="Q345" i="70"/>
  <c r="O345" i="70"/>
  <c r="M345" i="70"/>
  <c r="K345" i="70"/>
  <c r="I345" i="70"/>
  <c r="G345" i="70"/>
  <c r="E345" i="70"/>
  <c r="C345" i="70"/>
  <c r="Q344" i="70"/>
  <c r="O344" i="70"/>
  <c r="M344" i="70"/>
  <c r="K344" i="70"/>
  <c r="I344" i="70"/>
  <c r="G344" i="70"/>
  <c r="E344" i="70"/>
  <c r="C344" i="70"/>
  <c r="Q343" i="70"/>
  <c r="O343" i="70"/>
  <c r="M343" i="70"/>
  <c r="K343" i="70"/>
  <c r="I343" i="70"/>
  <c r="G343" i="70"/>
  <c r="E343" i="70"/>
  <c r="C343" i="70"/>
  <c r="Q342" i="70"/>
  <c r="O342" i="70"/>
  <c r="M342" i="70"/>
  <c r="K342" i="70"/>
  <c r="I342" i="70"/>
  <c r="G342" i="70"/>
  <c r="E342" i="70"/>
  <c r="C342" i="70"/>
  <c r="Q341" i="70"/>
  <c r="O341" i="70"/>
  <c r="M341" i="70"/>
  <c r="K341" i="70"/>
  <c r="I341" i="70"/>
  <c r="G341" i="70"/>
  <c r="E341" i="70"/>
  <c r="C341" i="70"/>
  <c r="Q340" i="70"/>
  <c r="O340" i="70"/>
  <c r="M340" i="70"/>
  <c r="K340" i="70"/>
  <c r="I340" i="70"/>
  <c r="G340" i="70"/>
  <c r="E340" i="70"/>
  <c r="C340" i="70"/>
  <c r="Q339" i="70"/>
  <c r="O339" i="70"/>
  <c r="M339" i="70"/>
  <c r="K339" i="70"/>
  <c r="I339" i="70"/>
  <c r="G339" i="70"/>
  <c r="E339" i="70"/>
  <c r="C339" i="70"/>
  <c r="Q338" i="70"/>
  <c r="O338" i="70"/>
  <c r="M338" i="70"/>
  <c r="K338" i="70"/>
  <c r="I338" i="70"/>
  <c r="G338" i="70"/>
  <c r="E338" i="70"/>
  <c r="C338" i="70"/>
  <c r="Q337" i="70"/>
  <c r="O337" i="70"/>
  <c r="M337" i="70"/>
  <c r="K337" i="70"/>
  <c r="I337" i="70"/>
  <c r="G337" i="70"/>
  <c r="E337" i="70"/>
  <c r="C337" i="70"/>
  <c r="Q336" i="70"/>
  <c r="O336" i="70"/>
  <c r="M336" i="70"/>
  <c r="K336" i="70"/>
  <c r="I336" i="70"/>
  <c r="G336" i="70"/>
  <c r="E336" i="70"/>
  <c r="C336" i="70"/>
  <c r="Q335" i="70"/>
  <c r="O335" i="70"/>
  <c r="M335" i="70"/>
  <c r="K335" i="70"/>
  <c r="I335" i="70"/>
  <c r="G335" i="70"/>
  <c r="E335" i="70"/>
  <c r="C335" i="70"/>
  <c r="Q334" i="70"/>
  <c r="O334" i="70"/>
  <c r="M334" i="70"/>
  <c r="K334" i="70"/>
  <c r="I334" i="70"/>
  <c r="G334" i="70"/>
  <c r="E334" i="70"/>
  <c r="C334" i="70"/>
  <c r="Q333" i="70"/>
  <c r="O333" i="70"/>
  <c r="M333" i="70"/>
  <c r="K333" i="70"/>
  <c r="I333" i="70"/>
  <c r="G333" i="70"/>
  <c r="E333" i="70"/>
  <c r="C333" i="70"/>
  <c r="Q332" i="70"/>
  <c r="O332" i="70"/>
  <c r="M332" i="70"/>
  <c r="K332" i="70"/>
  <c r="I332" i="70"/>
  <c r="G332" i="70"/>
  <c r="E332" i="70"/>
  <c r="C332" i="70"/>
  <c r="Q331" i="70"/>
  <c r="O331" i="70"/>
  <c r="M331" i="70"/>
  <c r="K331" i="70"/>
  <c r="I331" i="70"/>
  <c r="G331" i="70"/>
  <c r="E331" i="70"/>
  <c r="C331" i="70"/>
  <c r="Q330" i="70"/>
  <c r="O330" i="70"/>
  <c r="M330" i="70"/>
  <c r="K330" i="70"/>
  <c r="I330" i="70"/>
  <c r="G330" i="70"/>
  <c r="E330" i="70"/>
  <c r="C330" i="70"/>
  <c r="Q329" i="70"/>
  <c r="O329" i="70"/>
  <c r="M329" i="70"/>
  <c r="K329" i="70"/>
  <c r="I329" i="70"/>
  <c r="G329" i="70"/>
  <c r="E329" i="70"/>
  <c r="C329" i="70"/>
  <c r="Q328" i="70"/>
  <c r="O328" i="70"/>
  <c r="M328" i="70"/>
  <c r="K328" i="70"/>
  <c r="I328" i="70"/>
  <c r="G328" i="70"/>
  <c r="E328" i="70"/>
  <c r="C328" i="70"/>
  <c r="Q327" i="70"/>
  <c r="O327" i="70"/>
  <c r="M327" i="70"/>
  <c r="K327" i="70"/>
  <c r="I327" i="70"/>
  <c r="G327" i="70"/>
  <c r="E327" i="70"/>
  <c r="C327" i="70"/>
  <c r="Q326" i="70"/>
  <c r="O326" i="70"/>
  <c r="M326" i="70"/>
  <c r="K326" i="70"/>
  <c r="I326" i="70"/>
  <c r="G326" i="70"/>
  <c r="E326" i="70"/>
  <c r="C326" i="70"/>
  <c r="Q325" i="70"/>
  <c r="O325" i="70"/>
  <c r="M325" i="70"/>
  <c r="K325" i="70"/>
  <c r="I325" i="70"/>
  <c r="G325" i="70"/>
  <c r="E325" i="70"/>
  <c r="C325" i="70"/>
  <c r="Q324" i="70"/>
  <c r="O324" i="70"/>
  <c r="M324" i="70"/>
  <c r="K324" i="70"/>
  <c r="I324" i="70"/>
  <c r="G324" i="70"/>
  <c r="E324" i="70"/>
  <c r="C324" i="70"/>
  <c r="Q323" i="70"/>
  <c r="O323" i="70"/>
  <c r="M323" i="70"/>
  <c r="K323" i="70"/>
  <c r="I323" i="70"/>
  <c r="G323" i="70"/>
  <c r="E323" i="70"/>
  <c r="C323" i="70"/>
  <c r="Q322" i="70"/>
  <c r="O322" i="70"/>
  <c r="M322" i="70"/>
  <c r="K322" i="70"/>
  <c r="I322" i="70"/>
  <c r="G322" i="70"/>
  <c r="E322" i="70"/>
  <c r="C322" i="70"/>
  <c r="Q321" i="70"/>
  <c r="O321" i="70"/>
  <c r="M321" i="70"/>
  <c r="K321" i="70"/>
  <c r="I321" i="70"/>
  <c r="G321" i="70"/>
  <c r="E321" i="70"/>
  <c r="C321" i="70"/>
  <c r="Q320" i="70"/>
  <c r="O320" i="70"/>
  <c r="M320" i="70"/>
  <c r="K320" i="70"/>
  <c r="I320" i="70"/>
  <c r="G320" i="70"/>
  <c r="E320" i="70"/>
  <c r="C320" i="70"/>
  <c r="Q319" i="70"/>
  <c r="O319" i="70"/>
  <c r="M319" i="70"/>
  <c r="K319" i="70"/>
  <c r="I319" i="70"/>
  <c r="G319" i="70"/>
  <c r="E319" i="70"/>
  <c r="C319" i="70"/>
  <c r="Q318" i="70"/>
  <c r="O318" i="70"/>
  <c r="M318" i="70"/>
  <c r="K318" i="70"/>
  <c r="I318" i="70"/>
  <c r="G318" i="70"/>
  <c r="E318" i="70"/>
  <c r="C318" i="70"/>
  <c r="Q317" i="70"/>
  <c r="O317" i="70"/>
  <c r="M317" i="70"/>
  <c r="K317" i="70"/>
  <c r="I317" i="70"/>
  <c r="G317" i="70"/>
  <c r="E317" i="70"/>
  <c r="C317" i="70"/>
  <c r="Q316" i="70"/>
  <c r="O316" i="70"/>
  <c r="M316" i="70"/>
  <c r="K316" i="70"/>
  <c r="I316" i="70"/>
  <c r="G316" i="70"/>
  <c r="E316" i="70"/>
  <c r="C316" i="70"/>
  <c r="Q315" i="70"/>
  <c r="O315" i="70"/>
  <c r="M315" i="70"/>
  <c r="K315" i="70"/>
  <c r="I315" i="70"/>
  <c r="G315" i="70"/>
  <c r="E315" i="70"/>
  <c r="C315" i="70"/>
  <c r="Q314" i="70"/>
  <c r="O314" i="70"/>
  <c r="M314" i="70"/>
  <c r="K314" i="70"/>
  <c r="I314" i="70"/>
  <c r="G314" i="70"/>
  <c r="E314" i="70"/>
  <c r="C314" i="70"/>
  <c r="Q313" i="70"/>
  <c r="O313" i="70"/>
  <c r="M313" i="70"/>
  <c r="K313" i="70"/>
  <c r="I313" i="70"/>
  <c r="G313" i="70"/>
  <c r="E313" i="70"/>
  <c r="C313" i="70"/>
  <c r="Q312" i="70"/>
  <c r="O312" i="70"/>
  <c r="M312" i="70"/>
  <c r="K312" i="70"/>
  <c r="I312" i="70"/>
  <c r="G312" i="70"/>
  <c r="E312" i="70"/>
  <c r="C312" i="70"/>
  <c r="Q311" i="70"/>
  <c r="O311" i="70"/>
  <c r="M311" i="70"/>
  <c r="K311" i="70"/>
  <c r="I311" i="70"/>
  <c r="G311" i="70"/>
  <c r="E311" i="70"/>
  <c r="C311" i="70"/>
  <c r="Q310" i="70"/>
  <c r="O310" i="70"/>
  <c r="M310" i="70"/>
  <c r="K310" i="70"/>
  <c r="I310" i="70"/>
  <c r="G310" i="70"/>
  <c r="E310" i="70"/>
  <c r="C310" i="70"/>
  <c r="Q309" i="70"/>
  <c r="O309" i="70"/>
  <c r="M309" i="70"/>
  <c r="K309" i="70"/>
  <c r="I309" i="70"/>
  <c r="G309" i="70"/>
  <c r="E309" i="70"/>
  <c r="C309" i="70"/>
  <c r="Q308" i="70"/>
  <c r="O308" i="70"/>
  <c r="M308" i="70"/>
  <c r="K308" i="70"/>
  <c r="I308" i="70"/>
  <c r="G308" i="70"/>
  <c r="E308" i="70"/>
  <c r="C308" i="70"/>
  <c r="Q307" i="70"/>
  <c r="O307" i="70"/>
  <c r="M307" i="70"/>
  <c r="K307" i="70"/>
  <c r="I307" i="70"/>
  <c r="G307" i="70"/>
  <c r="E307" i="70"/>
  <c r="C307" i="70"/>
  <c r="Q306" i="70"/>
  <c r="O306" i="70"/>
  <c r="M306" i="70"/>
  <c r="K306" i="70"/>
  <c r="I306" i="70"/>
  <c r="G306" i="70"/>
  <c r="E306" i="70"/>
  <c r="C306" i="70"/>
  <c r="Q305" i="70"/>
  <c r="O305" i="70"/>
  <c r="M305" i="70"/>
  <c r="K305" i="70"/>
  <c r="I305" i="70"/>
  <c r="G305" i="70"/>
  <c r="E305" i="70"/>
  <c r="C305" i="70"/>
  <c r="Q304" i="70"/>
  <c r="O304" i="70"/>
  <c r="M304" i="70"/>
  <c r="K304" i="70"/>
  <c r="I304" i="70"/>
  <c r="G304" i="70"/>
  <c r="E304" i="70"/>
  <c r="C304" i="70"/>
  <c r="Q303" i="70"/>
  <c r="O303" i="70"/>
  <c r="M303" i="70"/>
  <c r="K303" i="70"/>
  <c r="I303" i="70"/>
  <c r="G303" i="70"/>
  <c r="E303" i="70"/>
  <c r="C303" i="70"/>
  <c r="Q302" i="70"/>
  <c r="O302" i="70"/>
  <c r="M302" i="70"/>
  <c r="K302" i="70"/>
  <c r="I302" i="70"/>
  <c r="G302" i="70"/>
  <c r="E302" i="70"/>
  <c r="C302" i="70"/>
  <c r="Q301" i="70"/>
  <c r="O301" i="70"/>
  <c r="M301" i="70"/>
  <c r="K301" i="70"/>
  <c r="I301" i="70"/>
  <c r="G301" i="70"/>
  <c r="E301" i="70"/>
  <c r="C301" i="70"/>
  <c r="Q300" i="70"/>
  <c r="O300" i="70"/>
  <c r="M300" i="70"/>
  <c r="K300" i="70"/>
  <c r="I300" i="70"/>
  <c r="G300" i="70"/>
  <c r="E300" i="70"/>
  <c r="C300" i="70"/>
  <c r="Q299" i="70"/>
  <c r="O299" i="70"/>
  <c r="M299" i="70"/>
  <c r="K299" i="70"/>
  <c r="I299" i="70"/>
  <c r="G299" i="70"/>
  <c r="E299" i="70"/>
  <c r="C299" i="70"/>
  <c r="Q298" i="70"/>
  <c r="O298" i="70"/>
  <c r="M298" i="70"/>
  <c r="K298" i="70"/>
  <c r="I298" i="70"/>
  <c r="G298" i="70"/>
  <c r="E298" i="70"/>
  <c r="C298" i="70"/>
  <c r="Q297" i="70"/>
  <c r="O297" i="70"/>
  <c r="M297" i="70"/>
  <c r="K297" i="70"/>
  <c r="I297" i="70"/>
  <c r="G297" i="70"/>
  <c r="E297" i="70"/>
  <c r="C297" i="70"/>
  <c r="Q296" i="70"/>
  <c r="O296" i="70"/>
  <c r="M296" i="70"/>
  <c r="K296" i="70"/>
  <c r="I296" i="70"/>
  <c r="G296" i="70"/>
  <c r="E296" i="70"/>
  <c r="C296" i="70"/>
  <c r="Q295" i="70"/>
  <c r="O295" i="70"/>
  <c r="M295" i="70"/>
  <c r="K295" i="70"/>
  <c r="I295" i="70"/>
  <c r="G295" i="70"/>
  <c r="E295" i="70"/>
  <c r="C295" i="70"/>
  <c r="Q294" i="70"/>
  <c r="O294" i="70"/>
  <c r="M294" i="70"/>
  <c r="K294" i="70"/>
  <c r="I294" i="70"/>
  <c r="G294" i="70"/>
  <c r="E294" i="70"/>
  <c r="C294" i="70"/>
  <c r="Q293" i="70"/>
  <c r="O293" i="70"/>
  <c r="M293" i="70"/>
  <c r="K293" i="70"/>
  <c r="I293" i="70"/>
  <c r="G293" i="70"/>
  <c r="E293" i="70"/>
  <c r="C293" i="70"/>
  <c r="Q292" i="70"/>
  <c r="O292" i="70"/>
  <c r="M292" i="70"/>
  <c r="K292" i="70"/>
  <c r="I292" i="70"/>
  <c r="G292" i="70"/>
  <c r="E292" i="70"/>
  <c r="C292" i="70"/>
  <c r="Q291" i="70"/>
  <c r="O291" i="70"/>
  <c r="M291" i="70"/>
  <c r="K291" i="70"/>
  <c r="I291" i="70"/>
  <c r="G291" i="70"/>
  <c r="E291" i="70"/>
  <c r="C291" i="70"/>
  <c r="Q290" i="70"/>
  <c r="O290" i="70"/>
  <c r="M290" i="70"/>
  <c r="K290" i="70"/>
  <c r="I290" i="70"/>
  <c r="G290" i="70"/>
  <c r="E290" i="70"/>
  <c r="C290" i="70"/>
  <c r="Q289" i="70"/>
  <c r="O289" i="70"/>
  <c r="M289" i="70"/>
  <c r="K289" i="70"/>
  <c r="I289" i="70"/>
  <c r="G289" i="70"/>
  <c r="E289" i="70"/>
  <c r="C289" i="70"/>
  <c r="Q288" i="70"/>
  <c r="O288" i="70"/>
  <c r="M288" i="70"/>
  <c r="K288" i="70"/>
  <c r="I288" i="70"/>
  <c r="G288" i="70"/>
  <c r="E288" i="70"/>
  <c r="C288" i="70"/>
  <c r="Q287" i="70"/>
  <c r="O287" i="70"/>
  <c r="M287" i="70"/>
  <c r="K287" i="70"/>
  <c r="I287" i="70"/>
  <c r="G287" i="70"/>
  <c r="E287" i="70"/>
  <c r="C287" i="70"/>
  <c r="Q286" i="70"/>
  <c r="O286" i="70"/>
  <c r="M286" i="70"/>
  <c r="K286" i="70"/>
  <c r="I286" i="70"/>
  <c r="G286" i="70"/>
  <c r="E286" i="70"/>
  <c r="C286" i="70"/>
  <c r="Q285" i="70"/>
  <c r="O285" i="70"/>
  <c r="M285" i="70"/>
  <c r="K285" i="70"/>
  <c r="I285" i="70"/>
  <c r="G285" i="70"/>
  <c r="E285" i="70"/>
  <c r="C285" i="70"/>
  <c r="Q284" i="70"/>
  <c r="O284" i="70"/>
  <c r="M284" i="70"/>
  <c r="K284" i="70"/>
  <c r="I284" i="70"/>
  <c r="G284" i="70"/>
  <c r="E284" i="70"/>
  <c r="C284" i="70"/>
  <c r="Q283" i="70"/>
  <c r="O283" i="70"/>
  <c r="M283" i="70"/>
  <c r="K283" i="70"/>
  <c r="I283" i="70"/>
  <c r="G283" i="70"/>
  <c r="E283" i="70"/>
  <c r="C283" i="70"/>
  <c r="Q282" i="70"/>
  <c r="O282" i="70"/>
  <c r="M282" i="70"/>
  <c r="K282" i="70"/>
  <c r="I282" i="70"/>
  <c r="G282" i="70"/>
  <c r="E282" i="70"/>
  <c r="C282" i="70"/>
  <c r="Q281" i="70"/>
  <c r="O281" i="70"/>
  <c r="M281" i="70"/>
  <c r="K281" i="70"/>
  <c r="I281" i="70"/>
  <c r="G281" i="70"/>
  <c r="E281" i="70"/>
  <c r="C281" i="70"/>
  <c r="Q280" i="70"/>
  <c r="O280" i="70"/>
  <c r="M280" i="70"/>
  <c r="K280" i="70"/>
  <c r="I280" i="70"/>
  <c r="G280" i="70"/>
  <c r="E280" i="70"/>
  <c r="C280" i="70"/>
  <c r="Q279" i="70"/>
  <c r="O279" i="70"/>
  <c r="M279" i="70"/>
  <c r="K279" i="70"/>
  <c r="I279" i="70"/>
  <c r="G279" i="70"/>
  <c r="E279" i="70"/>
  <c r="C279" i="70"/>
  <c r="Q278" i="70"/>
  <c r="O278" i="70"/>
  <c r="M278" i="70"/>
  <c r="K278" i="70"/>
  <c r="I278" i="70"/>
  <c r="G278" i="70"/>
  <c r="E278" i="70"/>
  <c r="C278" i="70"/>
  <c r="Q277" i="70"/>
  <c r="O277" i="70"/>
  <c r="M277" i="70"/>
  <c r="K277" i="70"/>
  <c r="I277" i="70"/>
  <c r="G277" i="70"/>
  <c r="E277" i="70"/>
  <c r="C277" i="70"/>
  <c r="Q276" i="70"/>
  <c r="O276" i="70"/>
  <c r="M276" i="70"/>
  <c r="K276" i="70"/>
  <c r="I276" i="70"/>
  <c r="G276" i="70"/>
  <c r="E276" i="70"/>
  <c r="C276" i="70"/>
  <c r="Q275" i="70"/>
  <c r="O275" i="70"/>
  <c r="M275" i="70"/>
  <c r="K275" i="70"/>
  <c r="I275" i="70"/>
  <c r="G275" i="70"/>
  <c r="E275" i="70"/>
  <c r="C275" i="70"/>
  <c r="Q274" i="70"/>
  <c r="O274" i="70"/>
  <c r="M274" i="70"/>
  <c r="K274" i="70"/>
  <c r="I274" i="70"/>
  <c r="G274" i="70"/>
  <c r="E274" i="70"/>
  <c r="C274" i="70"/>
  <c r="Q273" i="70"/>
  <c r="O273" i="70"/>
  <c r="M273" i="70"/>
  <c r="K273" i="70"/>
  <c r="I273" i="70"/>
  <c r="G273" i="70"/>
  <c r="E273" i="70"/>
  <c r="C273" i="70"/>
  <c r="Q272" i="70"/>
  <c r="O272" i="70"/>
  <c r="M272" i="70"/>
  <c r="K272" i="70"/>
  <c r="I272" i="70"/>
  <c r="G272" i="70"/>
  <c r="E272" i="70"/>
  <c r="C272" i="70"/>
  <c r="Q271" i="70"/>
  <c r="O271" i="70"/>
  <c r="M271" i="70"/>
  <c r="K271" i="70"/>
  <c r="I271" i="70"/>
  <c r="G271" i="70"/>
  <c r="E271" i="70"/>
  <c r="C271" i="70"/>
  <c r="Q270" i="70"/>
  <c r="O270" i="70"/>
  <c r="M270" i="70"/>
  <c r="K270" i="70"/>
  <c r="I270" i="70"/>
  <c r="G270" i="70"/>
  <c r="E270" i="70"/>
  <c r="C270" i="70"/>
  <c r="Q269" i="70"/>
  <c r="O269" i="70"/>
  <c r="M269" i="70"/>
  <c r="K269" i="70"/>
  <c r="I269" i="70"/>
  <c r="G269" i="70"/>
  <c r="E269" i="70"/>
  <c r="C269" i="70"/>
  <c r="Q268" i="70"/>
  <c r="O268" i="70"/>
  <c r="M268" i="70"/>
  <c r="K268" i="70"/>
  <c r="I268" i="70"/>
  <c r="G268" i="70"/>
  <c r="E268" i="70"/>
  <c r="C268" i="70"/>
  <c r="Q267" i="70"/>
  <c r="O267" i="70"/>
  <c r="M267" i="70"/>
  <c r="K267" i="70"/>
  <c r="I267" i="70"/>
  <c r="G267" i="70"/>
  <c r="E267" i="70"/>
  <c r="C267" i="70"/>
  <c r="Q266" i="70"/>
  <c r="O266" i="70"/>
  <c r="M266" i="70"/>
  <c r="K266" i="70"/>
  <c r="I266" i="70"/>
  <c r="G266" i="70"/>
  <c r="E266" i="70"/>
  <c r="C266" i="70"/>
  <c r="Q265" i="70"/>
  <c r="O265" i="70"/>
  <c r="M265" i="70"/>
  <c r="K265" i="70"/>
  <c r="I265" i="70"/>
  <c r="G265" i="70"/>
  <c r="E265" i="70"/>
  <c r="C265" i="70"/>
  <c r="Q264" i="70"/>
  <c r="O264" i="70"/>
  <c r="M264" i="70"/>
  <c r="K264" i="70"/>
  <c r="I264" i="70"/>
  <c r="G264" i="70"/>
  <c r="E264" i="70"/>
  <c r="C264" i="70"/>
  <c r="Q263" i="70"/>
  <c r="O263" i="70"/>
  <c r="M263" i="70"/>
  <c r="K263" i="70"/>
  <c r="I263" i="70"/>
  <c r="G263" i="70"/>
  <c r="E263" i="70"/>
  <c r="C263" i="70"/>
  <c r="Q262" i="70"/>
  <c r="O262" i="70"/>
  <c r="M262" i="70"/>
  <c r="K262" i="70"/>
  <c r="I262" i="70"/>
  <c r="G262" i="70"/>
  <c r="E262" i="70"/>
  <c r="C262" i="70"/>
  <c r="Q261" i="70"/>
  <c r="O261" i="70"/>
  <c r="M261" i="70"/>
  <c r="K261" i="70"/>
  <c r="I261" i="70"/>
  <c r="G261" i="70"/>
  <c r="E261" i="70"/>
  <c r="C261" i="70"/>
  <c r="Q260" i="70"/>
  <c r="O260" i="70"/>
  <c r="M260" i="70"/>
  <c r="K260" i="70"/>
  <c r="I260" i="70"/>
  <c r="G260" i="70"/>
  <c r="E260" i="70"/>
  <c r="C260" i="70"/>
  <c r="Q259" i="70"/>
  <c r="O259" i="70"/>
  <c r="M259" i="70"/>
  <c r="K259" i="70"/>
  <c r="I259" i="70"/>
  <c r="G259" i="70"/>
  <c r="E259" i="70"/>
  <c r="C259" i="70"/>
  <c r="Q258" i="70"/>
  <c r="O258" i="70"/>
  <c r="M258" i="70"/>
  <c r="K258" i="70"/>
  <c r="I258" i="70"/>
  <c r="G258" i="70"/>
  <c r="E258" i="70"/>
  <c r="C258" i="70"/>
  <c r="Q257" i="70"/>
  <c r="O257" i="70"/>
  <c r="M257" i="70"/>
  <c r="K257" i="70"/>
  <c r="I257" i="70"/>
  <c r="G257" i="70"/>
  <c r="E257" i="70"/>
  <c r="C257" i="70"/>
  <c r="Q256" i="70"/>
  <c r="O256" i="70"/>
  <c r="M256" i="70"/>
  <c r="K256" i="70"/>
  <c r="I256" i="70"/>
  <c r="G256" i="70"/>
  <c r="E256" i="70"/>
  <c r="C256" i="70"/>
  <c r="Q255" i="70"/>
  <c r="O255" i="70"/>
  <c r="M255" i="70"/>
  <c r="K255" i="70"/>
  <c r="I255" i="70"/>
  <c r="G255" i="70"/>
  <c r="E255" i="70"/>
  <c r="C255" i="70"/>
  <c r="Q254" i="70"/>
  <c r="O254" i="70"/>
  <c r="M254" i="70"/>
  <c r="K254" i="70"/>
  <c r="I254" i="70"/>
  <c r="G254" i="70"/>
  <c r="E254" i="70"/>
  <c r="C254" i="70"/>
  <c r="Q253" i="70"/>
  <c r="O253" i="70"/>
  <c r="M253" i="70"/>
  <c r="K253" i="70"/>
  <c r="I253" i="70"/>
  <c r="G253" i="70"/>
  <c r="E253" i="70"/>
  <c r="C253" i="70"/>
  <c r="Q252" i="70"/>
  <c r="O252" i="70"/>
  <c r="M252" i="70"/>
  <c r="K252" i="70"/>
  <c r="I252" i="70"/>
  <c r="G252" i="70"/>
  <c r="E252" i="70"/>
  <c r="C252" i="70"/>
  <c r="Q251" i="70"/>
  <c r="O251" i="70"/>
  <c r="M251" i="70"/>
  <c r="K251" i="70"/>
  <c r="I251" i="70"/>
  <c r="G251" i="70"/>
  <c r="E251" i="70"/>
  <c r="C251" i="70"/>
  <c r="Q250" i="70"/>
  <c r="O250" i="70"/>
  <c r="M250" i="70"/>
  <c r="K250" i="70"/>
  <c r="I250" i="70"/>
  <c r="G250" i="70"/>
  <c r="E250" i="70"/>
  <c r="C250" i="70"/>
  <c r="Q249" i="70"/>
  <c r="O249" i="70"/>
  <c r="M249" i="70"/>
  <c r="K249" i="70"/>
  <c r="I249" i="70"/>
  <c r="G249" i="70"/>
  <c r="E249" i="70"/>
  <c r="C249" i="70"/>
  <c r="Q248" i="70"/>
  <c r="O248" i="70"/>
  <c r="M248" i="70"/>
  <c r="K248" i="70"/>
  <c r="I248" i="70"/>
  <c r="G248" i="70"/>
  <c r="E248" i="70"/>
  <c r="C248" i="70"/>
  <c r="Q247" i="70"/>
  <c r="O247" i="70"/>
  <c r="M247" i="70"/>
  <c r="K247" i="70"/>
  <c r="I247" i="70"/>
  <c r="G247" i="70"/>
  <c r="E247" i="70"/>
  <c r="C247" i="70"/>
  <c r="Q246" i="70"/>
  <c r="O246" i="70"/>
  <c r="M246" i="70"/>
  <c r="K246" i="70"/>
  <c r="I246" i="70"/>
  <c r="G246" i="70"/>
  <c r="E246" i="70"/>
  <c r="C246" i="70"/>
  <c r="Q245" i="70"/>
  <c r="O245" i="70"/>
  <c r="M245" i="70"/>
  <c r="K245" i="70"/>
  <c r="I245" i="70"/>
  <c r="G245" i="70"/>
  <c r="E245" i="70"/>
  <c r="C245" i="70"/>
  <c r="Q244" i="70"/>
  <c r="O244" i="70"/>
  <c r="M244" i="70"/>
  <c r="K244" i="70"/>
  <c r="I244" i="70"/>
  <c r="G244" i="70"/>
  <c r="E244" i="70"/>
  <c r="C244" i="70"/>
  <c r="Q243" i="70"/>
  <c r="O243" i="70"/>
  <c r="M243" i="70"/>
  <c r="K243" i="70"/>
  <c r="I243" i="70"/>
  <c r="G243" i="70"/>
  <c r="E243" i="70"/>
  <c r="C243" i="70"/>
  <c r="Q242" i="70"/>
  <c r="O242" i="70"/>
  <c r="M242" i="70"/>
  <c r="K242" i="70"/>
  <c r="I242" i="70"/>
  <c r="G242" i="70"/>
  <c r="E242" i="70"/>
  <c r="C242" i="70"/>
  <c r="Q241" i="70"/>
  <c r="O241" i="70"/>
  <c r="M241" i="70"/>
  <c r="K241" i="70"/>
  <c r="I241" i="70"/>
  <c r="G241" i="70"/>
  <c r="E241" i="70"/>
  <c r="C241" i="70"/>
  <c r="Q240" i="70"/>
  <c r="O240" i="70"/>
  <c r="M240" i="70"/>
  <c r="K240" i="70"/>
  <c r="I240" i="70"/>
  <c r="G240" i="70"/>
  <c r="E240" i="70"/>
  <c r="C240" i="70"/>
  <c r="Q239" i="70"/>
  <c r="O239" i="70"/>
  <c r="M239" i="70"/>
  <c r="K239" i="70"/>
  <c r="I239" i="70"/>
  <c r="G239" i="70"/>
  <c r="E239" i="70"/>
  <c r="C239" i="70"/>
  <c r="Q238" i="70"/>
  <c r="O238" i="70"/>
  <c r="M238" i="70"/>
  <c r="K238" i="70"/>
  <c r="I238" i="70"/>
  <c r="G238" i="70"/>
  <c r="E238" i="70"/>
  <c r="C238" i="70"/>
  <c r="Q237" i="70"/>
  <c r="O237" i="70"/>
  <c r="M237" i="70"/>
  <c r="K237" i="70"/>
  <c r="I237" i="70"/>
  <c r="G237" i="70"/>
  <c r="E237" i="70"/>
  <c r="C237" i="70"/>
  <c r="Q236" i="70"/>
  <c r="O236" i="70"/>
  <c r="M236" i="70"/>
  <c r="K236" i="70"/>
  <c r="I236" i="70"/>
  <c r="G236" i="70"/>
  <c r="E236" i="70"/>
  <c r="C236" i="70"/>
  <c r="Q235" i="70"/>
  <c r="O235" i="70"/>
  <c r="M235" i="70"/>
  <c r="K235" i="70"/>
  <c r="I235" i="70"/>
  <c r="G235" i="70"/>
  <c r="E235" i="70"/>
  <c r="C235" i="70"/>
  <c r="Q234" i="70"/>
  <c r="O234" i="70"/>
  <c r="M234" i="70"/>
  <c r="K234" i="70"/>
  <c r="I234" i="70"/>
  <c r="G234" i="70"/>
  <c r="E234" i="70"/>
  <c r="C234" i="70"/>
  <c r="Q233" i="70"/>
  <c r="O233" i="70"/>
  <c r="M233" i="70"/>
  <c r="K233" i="70"/>
  <c r="I233" i="70"/>
  <c r="G233" i="70"/>
  <c r="E233" i="70"/>
  <c r="C233" i="70"/>
  <c r="Q232" i="70"/>
  <c r="O232" i="70"/>
  <c r="M232" i="70"/>
  <c r="K232" i="70"/>
  <c r="I232" i="70"/>
  <c r="G232" i="70"/>
  <c r="E232" i="70"/>
  <c r="C232" i="70"/>
  <c r="Q231" i="70"/>
  <c r="O231" i="70"/>
  <c r="M231" i="70"/>
  <c r="K231" i="70"/>
  <c r="I231" i="70"/>
  <c r="G231" i="70"/>
  <c r="E231" i="70"/>
  <c r="C231" i="70"/>
  <c r="Q230" i="70"/>
  <c r="O230" i="70"/>
  <c r="M230" i="70"/>
  <c r="K230" i="70"/>
  <c r="I230" i="70"/>
  <c r="G230" i="70"/>
  <c r="E230" i="70"/>
  <c r="C230" i="70"/>
  <c r="Q229" i="70"/>
  <c r="O229" i="70"/>
  <c r="M229" i="70"/>
  <c r="K229" i="70"/>
  <c r="I229" i="70"/>
  <c r="G229" i="70"/>
  <c r="E229" i="70"/>
  <c r="C229" i="70"/>
  <c r="Q228" i="70"/>
  <c r="O228" i="70"/>
  <c r="M228" i="70"/>
  <c r="K228" i="70"/>
  <c r="I228" i="70"/>
  <c r="G228" i="70"/>
  <c r="E228" i="70"/>
  <c r="C228" i="70"/>
  <c r="Q227" i="70"/>
  <c r="O227" i="70"/>
  <c r="M227" i="70"/>
  <c r="K227" i="70"/>
  <c r="I227" i="70"/>
  <c r="G227" i="70"/>
  <c r="E227" i="70"/>
  <c r="C227" i="70"/>
  <c r="Q226" i="70"/>
  <c r="O226" i="70"/>
  <c r="M226" i="70"/>
  <c r="K226" i="70"/>
  <c r="I226" i="70"/>
  <c r="G226" i="70"/>
  <c r="E226" i="70"/>
  <c r="C226" i="70"/>
  <c r="Q225" i="70"/>
  <c r="O225" i="70"/>
  <c r="M225" i="70"/>
  <c r="K225" i="70"/>
  <c r="I225" i="70"/>
  <c r="G225" i="70"/>
  <c r="E225" i="70"/>
  <c r="C225" i="70"/>
  <c r="Q224" i="70"/>
  <c r="O224" i="70"/>
  <c r="M224" i="70"/>
  <c r="K224" i="70"/>
  <c r="I224" i="70"/>
  <c r="G224" i="70"/>
  <c r="E224" i="70"/>
  <c r="C224" i="70"/>
  <c r="Q223" i="70"/>
  <c r="O223" i="70"/>
  <c r="M223" i="70"/>
  <c r="K223" i="70"/>
  <c r="I223" i="70"/>
  <c r="G223" i="70"/>
  <c r="E223" i="70"/>
  <c r="C223" i="70"/>
  <c r="Q222" i="70"/>
  <c r="O222" i="70"/>
  <c r="M222" i="70"/>
  <c r="K222" i="70"/>
  <c r="I222" i="70"/>
  <c r="G222" i="70"/>
  <c r="E222" i="70"/>
  <c r="C222" i="70"/>
  <c r="Q221" i="70"/>
  <c r="O221" i="70"/>
  <c r="M221" i="70"/>
  <c r="K221" i="70"/>
  <c r="I221" i="70"/>
  <c r="G221" i="70"/>
  <c r="E221" i="70"/>
  <c r="C221" i="70"/>
  <c r="Q220" i="70"/>
  <c r="O220" i="70"/>
  <c r="M220" i="70"/>
  <c r="K220" i="70"/>
  <c r="I220" i="70"/>
  <c r="G220" i="70"/>
  <c r="E220" i="70"/>
  <c r="C220" i="70"/>
  <c r="Q219" i="70"/>
  <c r="O219" i="70"/>
  <c r="M219" i="70"/>
  <c r="K219" i="70"/>
  <c r="I219" i="70"/>
  <c r="G219" i="70"/>
  <c r="E219" i="70"/>
  <c r="C219" i="70"/>
  <c r="Q218" i="70"/>
  <c r="O218" i="70"/>
  <c r="M218" i="70"/>
  <c r="K218" i="70"/>
  <c r="I218" i="70"/>
  <c r="G218" i="70"/>
  <c r="E218" i="70"/>
  <c r="C218" i="70"/>
  <c r="Q217" i="70"/>
  <c r="O217" i="70"/>
  <c r="M217" i="70"/>
  <c r="K217" i="70"/>
  <c r="I217" i="70"/>
  <c r="G217" i="70"/>
  <c r="E217" i="70"/>
  <c r="C217" i="70"/>
  <c r="Q216" i="70"/>
  <c r="O216" i="70"/>
  <c r="M216" i="70"/>
  <c r="K216" i="70"/>
  <c r="I216" i="70"/>
  <c r="G216" i="70"/>
  <c r="E216" i="70"/>
  <c r="C216" i="70"/>
  <c r="Q215" i="70"/>
  <c r="O215" i="70"/>
  <c r="M215" i="70"/>
  <c r="K215" i="70"/>
  <c r="I215" i="70"/>
  <c r="G215" i="70"/>
  <c r="E215" i="70"/>
  <c r="C215" i="70"/>
  <c r="Q214" i="70"/>
  <c r="O214" i="70"/>
  <c r="M214" i="70"/>
  <c r="K214" i="70"/>
  <c r="I214" i="70"/>
  <c r="G214" i="70"/>
  <c r="E214" i="70"/>
  <c r="C214" i="70"/>
  <c r="Q213" i="70"/>
  <c r="O213" i="70"/>
  <c r="M213" i="70"/>
  <c r="K213" i="70"/>
  <c r="I213" i="70"/>
  <c r="G213" i="70"/>
  <c r="E213" i="70"/>
  <c r="C213" i="70"/>
  <c r="Q212" i="70"/>
  <c r="O212" i="70"/>
  <c r="M212" i="70"/>
  <c r="K212" i="70"/>
  <c r="I212" i="70"/>
  <c r="G212" i="70"/>
  <c r="E212" i="70"/>
  <c r="C212" i="70"/>
  <c r="Q211" i="70"/>
  <c r="O211" i="70"/>
  <c r="M211" i="70"/>
  <c r="K211" i="70"/>
  <c r="I211" i="70"/>
  <c r="G211" i="70"/>
  <c r="E211" i="70"/>
  <c r="C211" i="70"/>
  <c r="Q210" i="70"/>
  <c r="O210" i="70"/>
  <c r="M210" i="70"/>
  <c r="K210" i="70"/>
  <c r="I210" i="70"/>
  <c r="G210" i="70"/>
  <c r="E210" i="70"/>
  <c r="C210" i="70"/>
  <c r="Q209" i="70"/>
  <c r="O209" i="70"/>
  <c r="M209" i="70"/>
  <c r="K209" i="70"/>
  <c r="I209" i="70"/>
  <c r="G209" i="70"/>
  <c r="E209" i="70"/>
  <c r="C209" i="70"/>
  <c r="Q208" i="70"/>
  <c r="O208" i="70"/>
  <c r="M208" i="70"/>
  <c r="K208" i="70"/>
  <c r="I208" i="70"/>
  <c r="G208" i="70"/>
  <c r="E208" i="70"/>
  <c r="C208" i="70"/>
  <c r="Q207" i="70"/>
  <c r="O207" i="70"/>
  <c r="M207" i="70"/>
  <c r="K207" i="70"/>
  <c r="I207" i="70"/>
  <c r="G207" i="70"/>
  <c r="E207" i="70"/>
  <c r="C207" i="70"/>
  <c r="Q206" i="70"/>
  <c r="O206" i="70"/>
  <c r="M206" i="70"/>
  <c r="K206" i="70"/>
  <c r="I206" i="70"/>
  <c r="G206" i="70"/>
  <c r="E206" i="70"/>
  <c r="C206" i="70"/>
  <c r="Q205" i="70"/>
  <c r="O205" i="70"/>
  <c r="M205" i="70"/>
  <c r="K205" i="70"/>
  <c r="I205" i="70"/>
  <c r="G205" i="70"/>
  <c r="E205" i="70"/>
  <c r="C205" i="70"/>
  <c r="Q204" i="70"/>
  <c r="O204" i="70"/>
  <c r="M204" i="70"/>
  <c r="K204" i="70"/>
  <c r="I204" i="70"/>
  <c r="G204" i="70"/>
  <c r="E204" i="70"/>
  <c r="C204" i="70"/>
  <c r="Q203" i="70"/>
  <c r="O203" i="70"/>
  <c r="M203" i="70"/>
  <c r="K203" i="70"/>
  <c r="I203" i="70"/>
  <c r="G203" i="70"/>
  <c r="E203" i="70"/>
  <c r="C203" i="70"/>
  <c r="Q202" i="70"/>
  <c r="O202" i="70"/>
  <c r="M202" i="70"/>
  <c r="K202" i="70"/>
  <c r="I202" i="70"/>
  <c r="G202" i="70"/>
  <c r="E202" i="70"/>
  <c r="C202" i="70"/>
  <c r="Q201" i="70"/>
  <c r="O201" i="70"/>
  <c r="M201" i="70"/>
  <c r="K201" i="70"/>
  <c r="I201" i="70"/>
  <c r="G201" i="70"/>
  <c r="E201" i="70"/>
  <c r="C201" i="70"/>
  <c r="Q200" i="70"/>
  <c r="O200" i="70"/>
  <c r="M200" i="70"/>
  <c r="K200" i="70"/>
  <c r="I200" i="70"/>
  <c r="G200" i="70"/>
  <c r="E200" i="70"/>
  <c r="C200" i="70"/>
  <c r="Q199" i="70"/>
  <c r="O199" i="70"/>
  <c r="M199" i="70"/>
  <c r="K199" i="70"/>
  <c r="I199" i="70"/>
  <c r="G199" i="70"/>
  <c r="E199" i="70"/>
  <c r="C199" i="70"/>
  <c r="Q198" i="70"/>
  <c r="O198" i="70"/>
  <c r="M198" i="70"/>
  <c r="K198" i="70"/>
  <c r="I198" i="70"/>
  <c r="G198" i="70"/>
  <c r="E198" i="70"/>
  <c r="C198" i="70"/>
  <c r="Q197" i="70"/>
  <c r="O197" i="70"/>
  <c r="M197" i="70"/>
  <c r="K197" i="70"/>
  <c r="I197" i="70"/>
  <c r="G197" i="70"/>
  <c r="E197" i="70"/>
  <c r="C197" i="70"/>
  <c r="Q196" i="70"/>
  <c r="O196" i="70"/>
  <c r="M196" i="70"/>
  <c r="K196" i="70"/>
  <c r="I196" i="70"/>
  <c r="G196" i="70"/>
  <c r="E196" i="70"/>
  <c r="C196" i="70"/>
  <c r="Q195" i="70"/>
  <c r="O195" i="70"/>
  <c r="M195" i="70"/>
  <c r="K195" i="70"/>
  <c r="I195" i="70"/>
  <c r="G195" i="70"/>
  <c r="E195" i="70"/>
  <c r="C195" i="70"/>
  <c r="Q194" i="70"/>
  <c r="O194" i="70"/>
  <c r="M194" i="70"/>
  <c r="K194" i="70"/>
  <c r="I194" i="70"/>
  <c r="G194" i="70"/>
  <c r="E194" i="70"/>
  <c r="C194" i="70"/>
  <c r="Q193" i="70"/>
  <c r="O193" i="70"/>
  <c r="M193" i="70"/>
  <c r="K193" i="70"/>
  <c r="I193" i="70"/>
  <c r="G193" i="70"/>
  <c r="E193" i="70"/>
  <c r="C193" i="70"/>
  <c r="Q192" i="70"/>
  <c r="O192" i="70"/>
  <c r="M192" i="70"/>
  <c r="K192" i="70"/>
  <c r="I192" i="70"/>
  <c r="G192" i="70"/>
  <c r="E192" i="70"/>
  <c r="C192" i="70"/>
  <c r="Q191" i="70"/>
  <c r="O191" i="70"/>
  <c r="M191" i="70"/>
  <c r="K191" i="70"/>
  <c r="I191" i="70"/>
  <c r="G191" i="70"/>
  <c r="E191" i="70"/>
  <c r="C191" i="70"/>
  <c r="Q190" i="70"/>
  <c r="O190" i="70"/>
  <c r="M190" i="70"/>
  <c r="K190" i="70"/>
  <c r="I190" i="70"/>
  <c r="G190" i="70"/>
  <c r="E190" i="70"/>
  <c r="C190" i="70"/>
  <c r="Q189" i="70"/>
  <c r="O189" i="70"/>
  <c r="M189" i="70"/>
  <c r="K189" i="70"/>
  <c r="I189" i="70"/>
  <c r="G189" i="70"/>
  <c r="E189" i="70"/>
  <c r="C189" i="70"/>
  <c r="Q188" i="70"/>
  <c r="O188" i="70"/>
  <c r="M188" i="70"/>
  <c r="K188" i="70"/>
  <c r="I188" i="70"/>
  <c r="G188" i="70"/>
  <c r="E188" i="70"/>
  <c r="C188" i="70"/>
  <c r="Q187" i="70"/>
  <c r="O187" i="70"/>
  <c r="M187" i="70"/>
  <c r="K187" i="70"/>
  <c r="I187" i="70"/>
  <c r="G187" i="70"/>
  <c r="E187" i="70"/>
  <c r="C187" i="70"/>
  <c r="Q186" i="70"/>
  <c r="O186" i="70"/>
  <c r="M186" i="70"/>
  <c r="K186" i="70"/>
  <c r="I186" i="70"/>
  <c r="G186" i="70"/>
  <c r="E186" i="70"/>
  <c r="C186" i="70"/>
  <c r="Q185" i="70"/>
  <c r="O185" i="70"/>
  <c r="M185" i="70"/>
  <c r="K185" i="70"/>
  <c r="I185" i="70"/>
  <c r="G185" i="70"/>
  <c r="E185" i="70"/>
  <c r="C185" i="70"/>
  <c r="Q184" i="70"/>
  <c r="O184" i="70"/>
  <c r="M184" i="70"/>
  <c r="K184" i="70"/>
  <c r="I184" i="70"/>
  <c r="G184" i="70"/>
  <c r="E184" i="70"/>
  <c r="C184" i="70"/>
  <c r="Q183" i="70"/>
  <c r="O183" i="70"/>
  <c r="M183" i="70"/>
  <c r="K183" i="70"/>
  <c r="I183" i="70"/>
  <c r="G183" i="70"/>
  <c r="E183" i="70"/>
  <c r="C183" i="70"/>
  <c r="Q182" i="70"/>
  <c r="O182" i="70"/>
  <c r="M182" i="70"/>
  <c r="K182" i="70"/>
  <c r="I182" i="70"/>
  <c r="G182" i="70"/>
  <c r="E182" i="70"/>
  <c r="C182" i="70"/>
  <c r="Q181" i="70"/>
  <c r="O181" i="70"/>
  <c r="M181" i="70"/>
  <c r="K181" i="70"/>
  <c r="I181" i="70"/>
  <c r="G181" i="70"/>
  <c r="E181" i="70"/>
  <c r="C181" i="70"/>
  <c r="Q180" i="70"/>
  <c r="O180" i="70"/>
  <c r="M180" i="70"/>
  <c r="K180" i="70"/>
  <c r="I180" i="70"/>
  <c r="G180" i="70"/>
  <c r="E180" i="70"/>
  <c r="C180" i="70"/>
  <c r="Q179" i="70"/>
  <c r="O179" i="70"/>
  <c r="M179" i="70"/>
  <c r="K179" i="70"/>
  <c r="I179" i="70"/>
  <c r="G179" i="70"/>
  <c r="E179" i="70"/>
  <c r="C179" i="70"/>
  <c r="Q178" i="70"/>
  <c r="O178" i="70"/>
  <c r="M178" i="70"/>
  <c r="K178" i="70"/>
  <c r="I178" i="70"/>
  <c r="G178" i="70"/>
  <c r="E178" i="70"/>
  <c r="C178" i="70"/>
  <c r="Q177" i="70"/>
  <c r="O177" i="70"/>
  <c r="M177" i="70"/>
  <c r="K177" i="70"/>
  <c r="I177" i="70"/>
  <c r="G177" i="70"/>
  <c r="E177" i="70"/>
  <c r="C177" i="70"/>
  <c r="Q176" i="70"/>
  <c r="O176" i="70"/>
  <c r="M176" i="70"/>
  <c r="K176" i="70"/>
  <c r="I176" i="70"/>
  <c r="G176" i="70"/>
  <c r="E176" i="70"/>
  <c r="C176" i="70"/>
  <c r="Q175" i="70"/>
  <c r="O175" i="70"/>
  <c r="M175" i="70"/>
  <c r="K175" i="70"/>
  <c r="I175" i="70"/>
  <c r="G175" i="70"/>
  <c r="E175" i="70"/>
  <c r="C175" i="70"/>
  <c r="Q174" i="70"/>
  <c r="O174" i="70"/>
  <c r="M174" i="70"/>
  <c r="K174" i="70"/>
  <c r="I174" i="70"/>
  <c r="G174" i="70"/>
  <c r="E174" i="70"/>
  <c r="C174" i="70"/>
  <c r="Q173" i="70"/>
  <c r="O173" i="70"/>
  <c r="M173" i="70"/>
  <c r="K173" i="70"/>
  <c r="I173" i="70"/>
  <c r="G173" i="70"/>
  <c r="E173" i="70"/>
  <c r="C173" i="70"/>
  <c r="Q172" i="70"/>
  <c r="O172" i="70"/>
  <c r="M172" i="70"/>
  <c r="K172" i="70"/>
  <c r="I172" i="70"/>
  <c r="G172" i="70"/>
  <c r="E172" i="70"/>
  <c r="C172" i="70"/>
  <c r="Q171" i="70"/>
  <c r="O171" i="70"/>
  <c r="M171" i="70"/>
  <c r="K171" i="70"/>
  <c r="I171" i="70"/>
  <c r="G171" i="70"/>
  <c r="E171" i="70"/>
  <c r="C171" i="70"/>
  <c r="Q170" i="70"/>
  <c r="O170" i="70"/>
  <c r="M170" i="70"/>
  <c r="K170" i="70"/>
  <c r="I170" i="70"/>
  <c r="G170" i="70"/>
  <c r="E170" i="70"/>
  <c r="C170" i="70"/>
  <c r="Q169" i="70"/>
  <c r="O169" i="70"/>
  <c r="M169" i="70"/>
  <c r="K169" i="70"/>
  <c r="I169" i="70"/>
  <c r="G169" i="70"/>
  <c r="E169" i="70"/>
  <c r="C169" i="70"/>
  <c r="Q168" i="70"/>
  <c r="O168" i="70"/>
  <c r="M168" i="70"/>
  <c r="K168" i="70"/>
  <c r="I168" i="70"/>
  <c r="G168" i="70"/>
  <c r="E168" i="70"/>
  <c r="C168" i="70"/>
  <c r="Q167" i="70"/>
  <c r="O167" i="70"/>
  <c r="M167" i="70"/>
  <c r="K167" i="70"/>
  <c r="I167" i="70"/>
  <c r="G167" i="70"/>
  <c r="E167" i="70"/>
  <c r="C167" i="70"/>
  <c r="Q166" i="70"/>
  <c r="O166" i="70"/>
  <c r="M166" i="70"/>
  <c r="K166" i="70"/>
  <c r="I166" i="70"/>
  <c r="G166" i="70"/>
  <c r="E166" i="70"/>
  <c r="C166" i="70"/>
  <c r="Q165" i="70"/>
  <c r="O165" i="70"/>
  <c r="M165" i="70"/>
  <c r="K165" i="70"/>
  <c r="I165" i="70"/>
  <c r="G165" i="70"/>
  <c r="E165" i="70"/>
  <c r="C165" i="70"/>
  <c r="Q164" i="70"/>
  <c r="O164" i="70"/>
  <c r="M164" i="70"/>
  <c r="K164" i="70"/>
  <c r="I164" i="70"/>
  <c r="G164" i="70"/>
  <c r="E164" i="70"/>
  <c r="C164" i="70"/>
  <c r="Q163" i="70"/>
  <c r="O163" i="70"/>
  <c r="M163" i="70"/>
  <c r="K163" i="70"/>
  <c r="I163" i="70"/>
  <c r="G163" i="70"/>
  <c r="E163" i="70"/>
  <c r="C163" i="70"/>
  <c r="Q162" i="70"/>
  <c r="O162" i="70"/>
  <c r="M162" i="70"/>
  <c r="K162" i="70"/>
  <c r="I162" i="70"/>
  <c r="G162" i="70"/>
  <c r="E162" i="70"/>
  <c r="C162" i="70"/>
  <c r="Q161" i="70"/>
  <c r="O161" i="70"/>
  <c r="M161" i="70"/>
  <c r="K161" i="70"/>
  <c r="I161" i="70"/>
  <c r="G161" i="70"/>
  <c r="E161" i="70"/>
  <c r="C161" i="70"/>
  <c r="Q160" i="70"/>
  <c r="O160" i="70"/>
  <c r="M160" i="70"/>
  <c r="K160" i="70"/>
  <c r="I160" i="70"/>
  <c r="G160" i="70"/>
  <c r="E160" i="70"/>
  <c r="C160" i="70"/>
  <c r="Q159" i="70"/>
  <c r="O159" i="70"/>
  <c r="M159" i="70"/>
  <c r="K159" i="70"/>
  <c r="I159" i="70"/>
  <c r="G159" i="70"/>
  <c r="E159" i="70"/>
  <c r="C159" i="70"/>
  <c r="Q158" i="70"/>
  <c r="O158" i="70"/>
  <c r="M158" i="70"/>
  <c r="K158" i="70"/>
  <c r="I158" i="70"/>
  <c r="G158" i="70"/>
  <c r="E158" i="70"/>
  <c r="C158" i="70"/>
  <c r="Q157" i="70"/>
  <c r="O157" i="70"/>
  <c r="M157" i="70"/>
  <c r="K157" i="70"/>
  <c r="I157" i="70"/>
  <c r="G157" i="70"/>
  <c r="E157" i="70"/>
  <c r="C157" i="70"/>
  <c r="Q156" i="70"/>
  <c r="O156" i="70"/>
  <c r="M156" i="70"/>
  <c r="K156" i="70"/>
  <c r="I156" i="70"/>
  <c r="G156" i="70"/>
  <c r="E156" i="70"/>
  <c r="C156" i="70"/>
  <c r="Q155" i="70"/>
  <c r="O155" i="70"/>
  <c r="M155" i="70"/>
  <c r="K155" i="70"/>
  <c r="I155" i="70"/>
  <c r="G155" i="70"/>
  <c r="E155" i="70"/>
  <c r="C155" i="70"/>
  <c r="Q154" i="70"/>
  <c r="O154" i="70"/>
  <c r="M154" i="70"/>
  <c r="K154" i="70"/>
  <c r="I154" i="70"/>
  <c r="G154" i="70"/>
  <c r="E154" i="70"/>
  <c r="C154" i="70"/>
  <c r="Q153" i="70"/>
  <c r="O153" i="70"/>
  <c r="M153" i="70"/>
  <c r="K153" i="70"/>
  <c r="I153" i="70"/>
  <c r="G153" i="70"/>
  <c r="E153" i="70"/>
  <c r="C153" i="70"/>
  <c r="Q152" i="70"/>
  <c r="O152" i="70"/>
  <c r="M152" i="70"/>
  <c r="K152" i="70"/>
  <c r="I152" i="70"/>
  <c r="G152" i="70"/>
  <c r="E152" i="70"/>
  <c r="C152" i="70"/>
  <c r="Q151" i="70"/>
  <c r="O151" i="70"/>
  <c r="M151" i="70"/>
  <c r="K151" i="70"/>
  <c r="I151" i="70"/>
  <c r="G151" i="70"/>
  <c r="E151" i="70"/>
  <c r="C151" i="70"/>
  <c r="Q150" i="70"/>
  <c r="O150" i="70"/>
  <c r="M150" i="70"/>
  <c r="K150" i="70"/>
  <c r="I150" i="70"/>
  <c r="G150" i="70"/>
  <c r="E150" i="70"/>
  <c r="C150" i="70"/>
  <c r="Q149" i="70"/>
  <c r="O149" i="70"/>
  <c r="M149" i="70"/>
  <c r="K149" i="70"/>
  <c r="I149" i="70"/>
  <c r="G149" i="70"/>
  <c r="E149" i="70"/>
  <c r="C149" i="70"/>
  <c r="Q148" i="70"/>
  <c r="O148" i="70"/>
  <c r="M148" i="70"/>
  <c r="K148" i="70"/>
  <c r="I148" i="70"/>
  <c r="G148" i="70"/>
  <c r="E148" i="70"/>
  <c r="C148" i="70"/>
  <c r="Q147" i="70"/>
  <c r="O147" i="70"/>
  <c r="M147" i="70"/>
  <c r="K147" i="70"/>
  <c r="I147" i="70"/>
  <c r="G147" i="70"/>
  <c r="E147" i="70"/>
  <c r="C147" i="70"/>
  <c r="Q146" i="70"/>
  <c r="O146" i="70"/>
  <c r="M146" i="70"/>
  <c r="K146" i="70"/>
  <c r="I146" i="70"/>
  <c r="G146" i="70"/>
  <c r="E146" i="70"/>
  <c r="C146" i="70"/>
  <c r="Q145" i="70"/>
  <c r="O145" i="70"/>
  <c r="M145" i="70"/>
  <c r="K145" i="70"/>
  <c r="I145" i="70"/>
  <c r="G145" i="70"/>
  <c r="E145" i="70"/>
  <c r="C145" i="70"/>
  <c r="Q144" i="70"/>
  <c r="O144" i="70"/>
  <c r="M144" i="70"/>
  <c r="K144" i="70"/>
  <c r="I144" i="70"/>
  <c r="G144" i="70"/>
  <c r="E144" i="70"/>
  <c r="C144" i="70"/>
  <c r="Q143" i="70"/>
  <c r="O143" i="70"/>
  <c r="M143" i="70"/>
  <c r="K143" i="70"/>
  <c r="I143" i="70"/>
  <c r="G143" i="70"/>
  <c r="E143" i="70"/>
  <c r="C143" i="70"/>
  <c r="Q142" i="70"/>
  <c r="O142" i="70"/>
  <c r="M142" i="70"/>
  <c r="K142" i="70"/>
  <c r="I142" i="70"/>
  <c r="G142" i="70"/>
  <c r="E142" i="70"/>
  <c r="C142" i="70"/>
  <c r="Q141" i="70"/>
  <c r="O141" i="70"/>
  <c r="M141" i="70"/>
  <c r="K141" i="70"/>
  <c r="I141" i="70"/>
  <c r="G141" i="70"/>
  <c r="E141" i="70"/>
  <c r="C141" i="70"/>
  <c r="Q140" i="70"/>
  <c r="O140" i="70"/>
  <c r="M140" i="70"/>
  <c r="K140" i="70"/>
  <c r="I140" i="70"/>
  <c r="G140" i="70"/>
  <c r="E140" i="70"/>
  <c r="C140" i="70"/>
  <c r="Q139" i="70"/>
  <c r="O139" i="70"/>
  <c r="M139" i="70"/>
  <c r="K139" i="70"/>
  <c r="I139" i="70"/>
  <c r="G139" i="70"/>
  <c r="E139" i="70"/>
  <c r="C139" i="70"/>
  <c r="Q138" i="70"/>
  <c r="O138" i="70"/>
  <c r="M138" i="70"/>
  <c r="K138" i="70"/>
  <c r="I138" i="70"/>
  <c r="G138" i="70"/>
  <c r="E138" i="70"/>
  <c r="C138" i="70"/>
  <c r="Q137" i="70"/>
  <c r="O137" i="70"/>
  <c r="M137" i="70"/>
  <c r="K137" i="70"/>
  <c r="I137" i="70"/>
  <c r="G137" i="70"/>
  <c r="E137" i="70"/>
  <c r="C137" i="70"/>
  <c r="Q136" i="70"/>
  <c r="O136" i="70"/>
  <c r="M136" i="70"/>
  <c r="K136" i="70"/>
  <c r="I136" i="70"/>
  <c r="G136" i="70"/>
  <c r="E136" i="70"/>
  <c r="C136" i="70"/>
  <c r="Q135" i="70"/>
  <c r="O135" i="70"/>
  <c r="M135" i="70"/>
  <c r="K135" i="70"/>
  <c r="I135" i="70"/>
  <c r="G135" i="70"/>
  <c r="E135" i="70"/>
  <c r="C135" i="70"/>
  <c r="Q134" i="70"/>
  <c r="O134" i="70"/>
  <c r="M134" i="70"/>
  <c r="K134" i="70"/>
  <c r="I134" i="70"/>
  <c r="G134" i="70"/>
  <c r="E134" i="70"/>
  <c r="C134" i="70"/>
  <c r="Q133" i="70"/>
  <c r="O133" i="70"/>
  <c r="M133" i="70"/>
  <c r="K133" i="70"/>
  <c r="I133" i="70"/>
  <c r="G133" i="70"/>
  <c r="E133" i="70"/>
  <c r="C133" i="70"/>
  <c r="Q132" i="70"/>
  <c r="O132" i="70"/>
  <c r="M132" i="70"/>
  <c r="K132" i="70"/>
  <c r="I132" i="70"/>
  <c r="G132" i="70"/>
  <c r="E132" i="70"/>
  <c r="C132" i="70"/>
  <c r="Q131" i="70"/>
  <c r="O131" i="70"/>
  <c r="M131" i="70"/>
  <c r="K131" i="70"/>
  <c r="I131" i="70"/>
  <c r="G131" i="70"/>
  <c r="E131" i="70"/>
  <c r="C131" i="70"/>
  <c r="Q130" i="70"/>
  <c r="O130" i="70"/>
  <c r="M130" i="70"/>
  <c r="K130" i="70"/>
  <c r="I130" i="70"/>
  <c r="G130" i="70"/>
  <c r="E130" i="70"/>
  <c r="C130" i="70"/>
  <c r="Q129" i="70"/>
  <c r="O129" i="70"/>
  <c r="M129" i="70"/>
  <c r="K129" i="70"/>
  <c r="I129" i="70"/>
  <c r="G129" i="70"/>
  <c r="E129" i="70"/>
  <c r="C129" i="70"/>
  <c r="Q128" i="70"/>
  <c r="O128" i="70"/>
  <c r="M128" i="70"/>
  <c r="K128" i="70"/>
  <c r="I128" i="70"/>
  <c r="G128" i="70"/>
  <c r="E128" i="70"/>
  <c r="C128" i="70"/>
  <c r="Q127" i="70"/>
  <c r="O127" i="70"/>
  <c r="M127" i="70"/>
  <c r="K127" i="70"/>
  <c r="I127" i="70"/>
  <c r="G127" i="70"/>
  <c r="E127" i="70"/>
  <c r="C127" i="70"/>
  <c r="Q126" i="70"/>
  <c r="O126" i="70"/>
  <c r="M126" i="70"/>
  <c r="K126" i="70"/>
  <c r="I126" i="70"/>
  <c r="G126" i="70"/>
  <c r="E126" i="70"/>
  <c r="C126" i="70"/>
  <c r="Q125" i="70"/>
  <c r="O125" i="70"/>
  <c r="M125" i="70"/>
  <c r="K125" i="70"/>
  <c r="I125" i="70"/>
  <c r="G125" i="70"/>
  <c r="E125" i="70"/>
  <c r="C125" i="70"/>
  <c r="Q124" i="70"/>
  <c r="O124" i="70"/>
  <c r="M124" i="70"/>
  <c r="K124" i="70"/>
  <c r="I124" i="70"/>
  <c r="G124" i="70"/>
  <c r="E124" i="70"/>
  <c r="C124" i="70"/>
  <c r="Q123" i="70"/>
  <c r="O123" i="70"/>
  <c r="M123" i="70"/>
  <c r="K123" i="70"/>
  <c r="I123" i="70"/>
  <c r="G123" i="70"/>
  <c r="E123" i="70"/>
  <c r="C123" i="70"/>
  <c r="Q122" i="70"/>
  <c r="O122" i="70"/>
  <c r="M122" i="70"/>
  <c r="K122" i="70"/>
  <c r="I122" i="70"/>
  <c r="G122" i="70"/>
  <c r="E122" i="70"/>
  <c r="C122" i="70"/>
  <c r="Q121" i="70"/>
  <c r="O121" i="70"/>
  <c r="M121" i="70"/>
  <c r="K121" i="70"/>
  <c r="I121" i="70"/>
  <c r="G121" i="70"/>
  <c r="E121" i="70"/>
  <c r="C121" i="70"/>
  <c r="Q120" i="70"/>
  <c r="O120" i="70"/>
  <c r="M120" i="70"/>
  <c r="K120" i="70"/>
  <c r="I120" i="70"/>
  <c r="G120" i="70"/>
  <c r="E120" i="70"/>
  <c r="C120" i="70"/>
  <c r="Q119" i="70"/>
  <c r="O119" i="70"/>
  <c r="M119" i="70"/>
  <c r="K119" i="70"/>
  <c r="I119" i="70"/>
  <c r="G119" i="70"/>
  <c r="E119" i="70"/>
  <c r="C119" i="70"/>
  <c r="Q118" i="70"/>
  <c r="O118" i="70"/>
  <c r="M118" i="70"/>
  <c r="K118" i="70"/>
  <c r="I118" i="70"/>
  <c r="G118" i="70"/>
  <c r="E118" i="70"/>
  <c r="C118" i="70"/>
  <c r="Q117" i="70"/>
  <c r="O117" i="70"/>
  <c r="M117" i="70"/>
  <c r="K117" i="70"/>
  <c r="I117" i="70"/>
  <c r="G117" i="70"/>
  <c r="E117" i="70"/>
  <c r="C117" i="70"/>
  <c r="Q116" i="70"/>
  <c r="O116" i="70"/>
  <c r="M116" i="70"/>
  <c r="K116" i="70"/>
  <c r="I116" i="70"/>
  <c r="G116" i="70"/>
  <c r="E116" i="70"/>
  <c r="C116" i="70"/>
  <c r="Q115" i="70"/>
  <c r="O115" i="70"/>
  <c r="M115" i="70"/>
  <c r="K115" i="70"/>
  <c r="I115" i="70"/>
  <c r="G115" i="70"/>
  <c r="E115" i="70"/>
  <c r="C115" i="70"/>
  <c r="Q114" i="70"/>
  <c r="O114" i="70"/>
  <c r="M114" i="70"/>
  <c r="K114" i="70"/>
  <c r="I114" i="70"/>
  <c r="G114" i="70"/>
  <c r="E114" i="70"/>
  <c r="C114" i="70"/>
  <c r="Q113" i="70"/>
  <c r="O113" i="70"/>
  <c r="M113" i="70"/>
  <c r="K113" i="70"/>
  <c r="I113" i="70"/>
  <c r="G113" i="70"/>
  <c r="E113" i="70"/>
  <c r="C113" i="70"/>
  <c r="Q112" i="70"/>
  <c r="O112" i="70"/>
  <c r="M112" i="70"/>
  <c r="K112" i="70"/>
  <c r="I112" i="70"/>
  <c r="G112" i="70"/>
  <c r="E112" i="70"/>
  <c r="C112" i="70"/>
  <c r="Q111" i="70"/>
  <c r="O111" i="70"/>
  <c r="M111" i="70"/>
  <c r="K111" i="70"/>
  <c r="I111" i="70"/>
  <c r="G111" i="70"/>
  <c r="E111" i="70"/>
  <c r="C111" i="70"/>
  <c r="Q110" i="70"/>
  <c r="O110" i="70"/>
  <c r="M110" i="70"/>
  <c r="K110" i="70"/>
  <c r="I110" i="70"/>
  <c r="G110" i="70"/>
  <c r="E110" i="70"/>
  <c r="C110" i="70"/>
  <c r="Q109" i="70"/>
  <c r="O109" i="70"/>
  <c r="M109" i="70"/>
  <c r="K109" i="70"/>
  <c r="I109" i="70"/>
  <c r="G109" i="70"/>
  <c r="E109" i="70"/>
  <c r="C109" i="70"/>
  <c r="Q108" i="70"/>
  <c r="O108" i="70"/>
  <c r="M108" i="70"/>
  <c r="K108" i="70"/>
  <c r="I108" i="70"/>
  <c r="G108" i="70"/>
  <c r="E108" i="70"/>
  <c r="C108" i="70"/>
  <c r="Q107" i="70"/>
  <c r="O107" i="70"/>
  <c r="M107" i="70"/>
  <c r="K107" i="70"/>
  <c r="I107" i="70"/>
  <c r="G107" i="70"/>
  <c r="E107" i="70"/>
  <c r="C107" i="70"/>
  <c r="Q106" i="70"/>
  <c r="O106" i="70"/>
  <c r="M106" i="70"/>
  <c r="K106" i="70"/>
  <c r="I106" i="70"/>
  <c r="G106" i="70"/>
  <c r="E106" i="70"/>
  <c r="C106" i="70"/>
  <c r="Q105" i="70"/>
  <c r="O105" i="70"/>
  <c r="M105" i="70"/>
  <c r="K105" i="70"/>
  <c r="I105" i="70"/>
  <c r="G105" i="70"/>
  <c r="E105" i="70"/>
  <c r="C105" i="70"/>
  <c r="Q104" i="70"/>
  <c r="O104" i="70"/>
  <c r="M104" i="70"/>
  <c r="K104" i="70"/>
  <c r="I104" i="70"/>
  <c r="G104" i="70"/>
  <c r="E104" i="70"/>
  <c r="C104" i="70"/>
  <c r="Q103" i="70"/>
  <c r="O103" i="70"/>
  <c r="M103" i="70"/>
  <c r="K103" i="70"/>
  <c r="I103" i="70"/>
  <c r="G103" i="70"/>
  <c r="E103" i="70"/>
  <c r="C103" i="70"/>
  <c r="Q102" i="70"/>
  <c r="O102" i="70"/>
  <c r="M102" i="70"/>
  <c r="K102" i="70"/>
  <c r="I102" i="70"/>
  <c r="G102" i="70"/>
  <c r="E102" i="70"/>
  <c r="C102" i="70"/>
  <c r="Q101" i="70"/>
  <c r="O101" i="70"/>
  <c r="M101" i="70"/>
  <c r="K101" i="70"/>
  <c r="I101" i="70"/>
  <c r="G101" i="70"/>
  <c r="E101" i="70"/>
  <c r="C101" i="70"/>
  <c r="Q100" i="70"/>
  <c r="O100" i="70"/>
  <c r="M100" i="70"/>
  <c r="K100" i="70"/>
  <c r="I100" i="70"/>
  <c r="G100" i="70"/>
  <c r="E100" i="70"/>
  <c r="C100" i="70"/>
  <c r="Q99" i="70"/>
  <c r="O99" i="70"/>
  <c r="M99" i="70"/>
  <c r="K99" i="70"/>
  <c r="I99" i="70"/>
  <c r="G99" i="70"/>
  <c r="E99" i="70"/>
  <c r="C99" i="70"/>
  <c r="Q98" i="70"/>
  <c r="O98" i="70"/>
  <c r="M98" i="70"/>
  <c r="K98" i="70"/>
  <c r="I98" i="70"/>
  <c r="G98" i="70"/>
  <c r="E98" i="70"/>
  <c r="C98" i="70"/>
  <c r="Q97" i="70"/>
  <c r="O97" i="70"/>
  <c r="M97" i="70"/>
  <c r="K97" i="70"/>
  <c r="I97" i="70"/>
  <c r="G97" i="70"/>
  <c r="E97" i="70"/>
  <c r="C97" i="70"/>
  <c r="Q96" i="70"/>
  <c r="O96" i="70"/>
  <c r="M96" i="70"/>
  <c r="K96" i="70"/>
  <c r="I96" i="70"/>
  <c r="G96" i="70"/>
  <c r="E96" i="70"/>
  <c r="C96" i="70"/>
  <c r="Q95" i="70"/>
  <c r="O95" i="70"/>
  <c r="M95" i="70"/>
  <c r="K95" i="70"/>
  <c r="I95" i="70"/>
  <c r="G95" i="70"/>
  <c r="E95" i="70"/>
  <c r="C95" i="70"/>
  <c r="Q94" i="70"/>
  <c r="O94" i="70"/>
  <c r="M94" i="70"/>
  <c r="K94" i="70"/>
  <c r="I94" i="70"/>
  <c r="G94" i="70"/>
  <c r="E94" i="70"/>
  <c r="C94" i="70"/>
  <c r="Q93" i="70"/>
  <c r="O93" i="70"/>
  <c r="M93" i="70"/>
  <c r="K93" i="70"/>
  <c r="I93" i="70"/>
  <c r="G93" i="70"/>
  <c r="E93" i="70"/>
  <c r="C93" i="70"/>
  <c r="Q92" i="70"/>
  <c r="O92" i="70"/>
  <c r="M92" i="70"/>
  <c r="K92" i="70"/>
  <c r="I92" i="70"/>
  <c r="G92" i="70"/>
  <c r="E92" i="70"/>
  <c r="C92" i="70"/>
  <c r="Q91" i="70"/>
  <c r="O91" i="70"/>
  <c r="M91" i="70"/>
  <c r="K91" i="70"/>
  <c r="I91" i="70"/>
  <c r="G91" i="70"/>
  <c r="E91" i="70"/>
  <c r="C91" i="70"/>
  <c r="Q90" i="70"/>
  <c r="O90" i="70"/>
  <c r="M90" i="70"/>
  <c r="K90" i="70"/>
  <c r="I90" i="70"/>
  <c r="G90" i="70"/>
  <c r="E90" i="70"/>
  <c r="C90" i="70"/>
  <c r="Q89" i="70"/>
  <c r="O89" i="70"/>
  <c r="M89" i="70"/>
  <c r="K89" i="70"/>
  <c r="I89" i="70"/>
  <c r="G89" i="70"/>
  <c r="E89" i="70"/>
  <c r="C89" i="70"/>
  <c r="Q88" i="70"/>
  <c r="O88" i="70"/>
  <c r="M88" i="70"/>
  <c r="K88" i="70"/>
  <c r="I88" i="70"/>
  <c r="G88" i="70"/>
  <c r="E88" i="70"/>
  <c r="C88" i="70"/>
  <c r="Q87" i="70"/>
  <c r="O87" i="70"/>
  <c r="M87" i="70"/>
  <c r="K87" i="70"/>
  <c r="I87" i="70"/>
  <c r="G87" i="70"/>
  <c r="E87" i="70"/>
  <c r="C87" i="70"/>
  <c r="Q86" i="70"/>
  <c r="O86" i="70"/>
  <c r="M86" i="70"/>
  <c r="K86" i="70"/>
  <c r="I86" i="70"/>
  <c r="G86" i="70"/>
  <c r="E86" i="70"/>
  <c r="C86" i="70"/>
  <c r="Q85" i="70"/>
  <c r="O85" i="70"/>
  <c r="M85" i="70"/>
  <c r="K85" i="70"/>
  <c r="I85" i="70"/>
  <c r="G85" i="70"/>
  <c r="E85" i="70"/>
  <c r="C85" i="70"/>
  <c r="Q84" i="70"/>
  <c r="O84" i="70"/>
  <c r="M84" i="70"/>
  <c r="K84" i="70"/>
  <c r="I84" i="70"/>
  <c r="G84" i="70"/>
  <c r="E84" i="70"/>
  <c r="C84" i="70"/>
  <c r="Q83" i="70"/>
  <c r="O83" i="70"/>
  <c r="M83" i="70"/>
  <c r="K83" i="70"/>
  <c r="I83" i="70"/>
  <c r="G83" i="70"/>
  <c r="E83" i="70"/>
  <c r="C83" i="70"/>
  <c r="Q82" i="70"/>
  <c r="O82" i="70"/>
  <c r="M82" i="70"/>
  <c r="K82" i="70"/>
  <c r="I82" i="70"/>
  <c r="G82" i="70"/>
  <c r="E82" i="70"/>
  <c r="C82" i="70"/>
  <c r="Q81" i="70"/>
  <c r="O81" i="70"/>
  <c r="M81" i="70"/>
  <c r="K81" i="70"/>
  <c r="I81" i="70"/>
  <c r="G81" i="70"/>
  <c r="E81" i="70"/>
  <c r="C81" i="70"/>
  <c r="Q80" i="70"/>
  <c r="O80" i="70"/>
  <c r="M80" i="70"/>
  <c r="K80" i="70"/>
  <c r="I80" i="70"/>
  <c r="G80" i="70"/>
  <c r="E80" i="70"/>
  <c r="C80" i="70"/>
  <c r="Q79" i="70"/>
  <c r="O79" i="70"/>
  <c r="M79" i="70"/>
  <c r="K79" i="70"/>
  <c r="I79" i="70"/>
  <c r="G79" i="70"/>
  <c r="E79" i="70"/>
  <c r="C79" i="70"/>
  <c r="Q78" i="70"/>
  <c r="O78" i="70"/>
  <c r="M78" i="70"/>
  <c r="K78" i="70"/>
  <c r="I78" i="70"/>
  <c r="G78" i="70"/>
  <c r="E78" i="70"/>
  <c r="C78" i="70"/>
  <c r="Q77" i="70"/>
  <c r="O77" i="70"/>
  <c r="M77" i="70"/>
  <c r="K77" i="70"/>
  <c r="I77" i="70"/>
  <c r="G77" i="70"/>
  <c r="E77" i="70"/>
  <c r="C77" i="70"/>
  <c r="Q76" i="70"/>
  <c r="O76" i="70"/>
  <c r="M76" i="70"/>
  <c r="K76" i="70"/>
  <c r="I76" i="70"/>
  <c r="G76" i="70"/>
  <c r="E76" i="70"/>
  <c r="C76" i="70"/>
  <c r="Q75" i="70"/>
  <c r="O75" i="70"/>
  <c r="M75" i="70"/>
  <c r="K75" i="70"/>
  <c r="I75" i="70"/>
  <c r="G75" i="70"/>
  <c r="E75" i="70"/>
  <c r="C75" i="70"/>
  <c r="Q74" i="70"/>
  <c r="O74" i="70"/>
  <c r="M74" i="70"/>
  <c r="K74" i="70"/>
  <c r="I74" i="70"/>
  <c r="G74" i="70"/>
  <c r="E74" i="70"/>
  <c r="C74" i="70"/>
  <c r="Q73" i="70"/>
  <c r="O73" i="70"/>
  <c r="M73" i="70"/>
  <c r="K73" i="70"/>
  <c r="I73" i="70"/>
  <c r="G73" i="70"/>
  <c r="E73" i="70"/>
  <c r="C73" i="70"/>
  <c r="Q72" i="70"/>
  <c r="O72" i="70"/>
  <c r="M72" i="70"/>
  <c r="K72" i="70"/>
  <c r="I72" i="70"/>
  <c r="G72" i="70"/>
  <c r="E72" i="70"/>
  <c r="C72" i="70"/>
  <c r="Q71" i="70"/>
  <c r="O71" i="70"/>
  <c r="M71" i="70"/>
  <c r="K71" i="70"/>
  <c r="I71" i="70"/>
  <c r="G71" i="70"/>
  <c r="E71" i="70"/>
  <c r="C71" i="70"/>
  <c r="Q70" i="70"/>
  <c r="O70" i="70"/>
  <c r="M70" i="70"/>
  <c r="K70" i="70"/>
  <c r="I70" i="70"/>
  <c r="G70" i="70"/>
  <c r="E70" i="70"/>
  <c r="C70" i="70"/>
  <c r="Q69" i="70"/>
  <c r="O69" i="70"/>
  <c r="M69" i="70"/>
  <c r="K69" i="70"/>
  <c r="I69" i="70"/>
  <c r="G69" i="70"/>
  <c r="E69" i="70"/>
  <c r="C69" i="70"/>
  <c r="Q68" i="70"/>
  <c r="O68" i="70"/>
  <c r="M68" i="70"/>
  <c r="K68" i="70"/>
  <c r="I68" i="70"/>
  <c r="G68" i="70"/>
  <c r="E68" i="70"/>
  <c r="C68" i="70"/>
  <c r="Q67" i="70"/>
  <c r="O67" i="70"/>
  <c r="M67" i="70"/>
  <c r="K67" i="70"/>
  <c r="I67" i="70"/>
  <c r="G67" i="70"/>
  <c r="E67" i="70"/>
  <c r="C67" i="70"/>
  <c r="Q66" i="70"/>
  <c r="O66" i="70"/>
  <c r="M66" i="70"/>
  <c r="K66" i="70"/>
  <c r="I66" i="70"/>
  <c r="G66" i="70"/>
  <c r="E66" i="70"/>
  <c r="C66" i="70"/>
  <c r="Q65" i="70"/>
  <c r="O65" i="70"/>
  <c r="M65" i="70"/>
  <c r="K65" i="70"/>
  <c r="I65" i="70"/>
  <c r="G65" i="70"/>
  <c r="E65" i="70"/>
  <c r="C65" i="70"/>
  <c r="Q64" i="70"/>
  <c r="O64" i="70"/>
  <c r="M64" i="70"/>
  <c r="K64" i="70"/>
  <c r="I64" i="70"/>
  <c r="G64" i="70"/>
  <c r="E64" i="70"/>
  <c r="C64" i="70"/>
  <c r="Q63" i="70"/>
  <c r="O63" i="70"/>
  <c r="M63" i="70"/>
  <c r="K63" i="70"/>
  <c r="I63" i="70"/>
  <c r="G63" i="70"/>
  <c r="E63" i="70"/>
  <c r="C63" i="70"/>
  <c r="Q62" i="70"/>
  <c r="O62" i="70"/>
  <c r="M62" i="70"/>
  <c r="K62" i="70"/>
  <c r="I62" i="70"/>
  <c r="G62" i="70"/>
  <c r="E62" i="70"/>
  <c r="C62" i="70"/>
  <c r="Q61" i="70"/>
  <c r="O61" i="70"/>
  <c r="M61" i="70"/>
  <c r="K61" i="70"/>
  <c r="I61" i="70"/>
  <c r="G61" i="70"/>
  <c r="E61" i="70"/>
  <c r="C61" i="70"/>
  <c r="Q60" i="70"/>
  <c r="O60" i="70"/>
  <c r="M60" i="70"/>
  <c r="K60" i="70"/>
  <c r="I60" i="70"/>
  <c r="G60" i="70"/>
  <c r="E60" i="70"/>
  <c r="C60" i="70"/>
  <c r="Q59" i="70"/>
  <c r="O59" i="70"/>
  <c r="M59" i="70"/>
  <c r="K59" i="70"/>
  <c r="I59" i="70"/>
  <c r="G59" i="70"/>
  <c r="E59" i="70"/>
  <c r="C59" i="70"/>
  <c r="Q58" i="70"/>
  <c r="O58" i="70"/>
  <c r="M58" i="70"/>
  <c r="K58" i="70"/>
  <c r="I58" i="70"/>
  <c r="G58" i="70"/>
  <c r="E58" i="70"/>
  <c r="C58" i="70"/>
  <c r="Q57" i="70"/>
  <c r="O57" i="70"/>
  <c r="M57" i="70"/>
  <c r="K57" i="70"/>
  <c r="I57" i="70"/>
  <c r="G57" i="70"/>
  <c r="E57" i="70"/>
  <c r="C57" i="70"/>
  <c r="Q56" i="70"/>
  <c r="O56" i="70"/>
  <c r="M56" i="70"/>
  <c r="K56" i="70"/>
  <c r="I56" i="70"/>
  <c r="G56" i="70"/>
  <c r="E56" i="70"/>
  <c r="C56" i="70"/>
  <c r="Q55" i="70"/>
  <c r="O55" i="70"/>
  <c r="M55" i="70"/>
  <c r="K55" i="70"/>
  <c r="I55" i="70"/>
  <c r="G55" i="70"/>
  <c r="E55" i="70"/>
  <c r="C55" i="70"/>
  <c r="Q54" i="70"/>
  <c r="O54" i="70"/>
  <c r="M54" i="70"/>
  <c r="K54" i="70"/>
  <c r="I54" i="70"/>
  <c r="G54" i="70"/>
  <c r="E54" i="70"/>
  <c r="C54" i="70"/>
  <c r="Q53" i="70"/>
  <c r="O53" i="70"/>
  <c r="M53" i="70"/>
  <c r="K53" i="70"/>
  <c r="I53" i="70"/>
  <c r="G53" i="70"/>
  <c r="E53" i="70"/>
  <c r="C53" i="70"/>
  <c r="Q52" i="70"/>
  <c r="O52" i="70"/>
  <c r="M52" i="70"/>
  <c r="K52" i="70"/>
  <c r="I52" i="70"/>
  <c r="G52" i="70"/>
  <c r="E52" i="70"/>
  <c r="C52" i="70"/>
  <c r="Q51" i="70"/>
  <c r="O51" i="70"/>
  <c r="M51" i="70"/>
  <c r="K51" i="70"/>
  <c r="I51" i="70"/>
  <c r="G51" i="70"/>
  <c r="E51" i="70"/>
  <c r="C51" i="70"/>
  <c r="Q50" i="70"/>
  <c r="O50" i="70"/>
  <c r="M50" i="70"/>
  <c r="K50" i="70"/>
  <c r="I50" i="70"/>
  <c r="G50" i="70"/>
  <c r="E50" i="70"/>
  <c r="C50" i="70"/>
  <c r="Q49" i="70"/>
  <c r="O49" i="70"/>
  <c r="M49" i="70"/>
  <c r="K49" i="70"/>
  <c r="I49" i="70"/>
  <c r="G49" i="70"/>
  <c r="E49" i="70"/>
  <c r="C49" i="70"/>
  <c r="Q48" i="70"/>
  <c r="O48" i="70"/>
  <c r="M48" i="70"/>
  <c r="K48" i="70"/>
  <c r="I48" i="70"/>
  <c r="G48" i="70"/>
  <c r="E48" i="70"/>
  <c r="C48" i="70"/>
  <c r="Q47" i="70"/>
  <c r="O47" i="70"/>
  <c r="M47" i="70"/>
  <c r="K47" i="70"/>
  <c r="I47" i="70"/>
  <c r="G47" i="70"/>
  <c r="E47" i="70"/>
  <c r="C47" i="70"/>
  <c r="Q46" i="70"/>
  <c r="O46" i="70"/>
  <c r="M46" i="70"/>
  <c r="K46" i="70"/>
  <c r="I46" i="70"/>
  <c r="G46" i="70"/>
  <c r="E46" i="70"/>
  <c r="C46" i="70"/>
  <c r="Q45" i="70"/>
  <c r="O45" i="70"/>
  <c r="M45" i="70"/>
  <c r="K45" i="70"/>
  <c r="I45" i="70"/>
  <c r="G45" i="70"/>
  <c r="E45" i="70"/>
  <c r="C45" i="70"/>
  <c r="Q44" i="70"/>
  <c r="O44" i="70"/>
  <c r="M44" i="70"/>
  <c r="K44" i="70"/>
  <c r="I44" i="70"/>
  <c r="G44" i="70"/>
  <c r="E44" i="70"/>
  <c r="C44" i="70"/>
  <c r="Q43" i="70"/>
  <c r="O43" i="70"/>
  <c r="M43" i="70"/>
  <c r="K43" i="70"/>
  <c r="I43" i="70"/>
  <c r="G43" i="70"/>
  <c r="E43" i="70"/>
  <c r="C43" i="70"/>
  <c r="Q42" i="70"/>
  <c r="O42" i="70"/>
  <c r="M42" i="70"/>
  <c r="K42" i="70"/>
  <c r="I42" i="70"/>
  <c r="G42" i="70"/>
  <c r="E42" i="70"/>
  <c r="C42" i="70"/>
  <c r="Q41" i="70"/>
  <c r="O41" i="70"/>
  <c r="M41" i="70"/>
  <c r="K41" i="70"/>
  <c r="I41" i="70"/>
  <c r="G41" i="70"/>
  <c r="E41" i="70"/>
  <c r="C41" i="70"/>
  <c r="Q40" i="70"/>
  <c r="O40" i="70"/>
  <c r="M40" i="70"/>
  <c r="K40" i="70"/>
  <c r="I40" i="70"/>
  <c r="G40" i="70"/>
  <c r="E40" i="70"/>
  <c r="C40" i="70"/>
  <c r="Q39" i="70"/>
  <c r="O39" i="70"/>
  <c r="M39" i="70"/>
  <c r="K39" i="70"/>
  <c r="I39" i="70"/>
  <c r="G39" i="70"/>
  <c r="E39" i="70"/>
  <c r="C39" i="70"/>
  <c r="Q38" i="70"/>
  <c r="O38" i="70"/>
  <c r="M38" i="70"/>
  <c r="K38" i="70"/>
  <c r="I38" i="70"/>
  <c r="G38" i="70"/>
  <c r="E38" i="70"/>
  <c r="C38" i="70"/>
  <c r="Q37" i="70"/>
  <c r="O37" i="70"/>
  <c r="M37" i="70"/>
  <c r="K37" i="70"/>
  <c r="I37" i="70"/>
  <c r="G37" i="70"/>
  <c r="E37" i="70"/>
  <c r="C37" i="70"/>
  <c r="Q36" i="70"/>
  <c r="O36" i="70"/>
  <c r="M36" i="70"/>
  <c r="K36" i="70"/>
  <c r="I36" i="70"/>
  <c r="G36" i="70"/>
  <c r="E36" i="70"/>
  <c r="C36" i="70"/>
  <c r="Q35" i="70"/>
  <c r="O35" i="70"/>
  <c r="M35" i="70"/>
  <c r="K35" i="70"/>
  <c r="I35" i="70"/>
  <c r="G35" i="70"/>
  <c r="E35" i="70"/>
  <c r="C35" i="70"/>
  <c r="Q34" i="70"/>
  <c r="O34" i="70"/>
  <c r="M34" i="70"/>
  <c r="K34" i="70"/>
  <c r="I34" i="70"/>
  <c r="G34" i="70"/>
  <c r="E34" i="70"/>
  <c r="C34" i="70"/>
  <c r="Q33" i="70"/>
  <c r="O33" i="70"/>
  <c r="M33" i="70"/>
  <c r="K33" i="70"/>
  <c r="I33" i="70"/>
  <c r="G33" i="70"/>
  <c r="E33" i="70"/>
  <c r="C33" i="70"/>
  <c r="Q32" i="70"/>
  <c r="O32" i="70"/>
  <c r="M32" i="70"/>
  <c r="K32" i="70"/>
  <c r="I32" i="70"/>
  <c r="G32" i="70"/>
  <c r="E32" i="70"/>
  <c r="C32" i="70"/>
  <c r="Q31" i="70"/>
  <c r="O31" i="70"/>
  <c r="M31" i="70"/>
  <c r="K31" i="70"/>
  <c r="I31" i="70"/>
  <c r="G31" i="70"/>
  <c r="E31" i="70"/>
  <c r="C31" i="70"/>
  <c r="Q30" i="70"/>
  <c r="O30" i="70"/>
  <c r="M30" i="70"/>
  <c r="K30" i="70"/>
  <c r="I30" i="70"/>
  <c r="G30" i="70"/>
  <c r="E30" i="70"/>
  <c r="C30" i="70"/>
  <c r="Q29" i="70"/>
  <c r="O29" i="70"/>
  <c r="M29" i="70"/>
  <c r="K29" i="70"/>
  <c r="I29" i="70"/>
  <c r="G29" i="70"/>
  <c r="E29" i="70"/>
  <c r="C29" i="70"/>
  <c r="Q28" i="70"/>
  <c r="O28" i="70"/>
  <c r="M28" i="70"/>
  <c r="K28" i="70"/>
  <c r="I28" i="70"/>
  <c r="G28" i="70"/>
  <c r="E28" i="70"/>
  <c r="C28" i="70"/>
  <c r="Q27" i="70"/>
  <c r="O27" i="70"/>
  <c r="M27" i="70"/>
  <c r="K27" i="70"/>
  <c r="I27" i="70"/>
  <c r="G27" i="70"/>
  <c r="E27" i="70"/>
  <c r="C27" i="70"/>
  <c r="Q26" i="70"/>
  <c r="O26" i="70"/>
  <c r="M26" i="70"/>
  <c r="K26" i="70"/>
  <c r="I26" i="70"/>
  <c r="G26" i="70"/>
  <c r="E26" i="70"/>
  <c r="C26" i="70"/>
  <c r="C25" i="70"/>
  <c r="I25" i="70"/>
  <c r="K25" i="70"/>
  <c r="M25" i="70"/>
  <c r="O25" i="70"/>
  <c r="Q25" i="70"/>
  <c r="P23" i="70"/>
  <c r="N23" i="70"/>
  <c r="L23" i="70"/>
  <c r="J23" i="70"/>
  <c r="H23" i="70"/>
  <c r="F23" i="70"/>
  <c r="D23" i="70"/>
  <c r="B22" i="70"/>
  <c r="D12" i="70"/>
  <c r="E12" i="70"/>
  <c r="F12" i="70"/>
  <c r="G12" i="70"/>
  <c r="H12" i="70"/>
  <c r="I12" i="70"/>
  <c r="J12" i="70"/>
  <c r="K12" i="70"/>
  <c r="L12" i="70"/>
  <c r="M12" i="70"/>
  <c r="N12" i="70"/>
  <c r="O12" i="70"/>
  <c r="P12" i="70"/>
  <c r="Q12" i="70"/>
  <c r="R12" i="70"/>
  <c r="S12" i="70"/>
  <c r="D10" i="70"/>
  <c r="E10" i="70"/>
  <c r="F10" i="70"/>
  <c r="G10" i="70"/>
  <c r="H10" i="70"/>
  <c r="I10" i="70"/>
  <c r="J10" i="70"/>
  <c r="K10" i="70"/>
  <c r="L10" i="70"/>
  <c r="M10" i="70"/>
  <c r="N10" i="70"/>
  <c r="O10" i="70"/>
  <c r="P10" i="70"/>
  <c r="Q10" i="70"/>
  <c r="R10" i="70"/>
  <c r="S10" i="70"/>
  <c r="D8" i="70"/>
  <c r="E8" i="70"/>
  <c r="F8" i="70"/>
  <c r="G8" i="70"/>
  <c r="H8" i="70"/>
  <c r="I8" i="70"/>
  <c r="J8" i="70"/>
  <c r="K8" i="70"/>
  <c r="L8" i="70"/>
  <c r="M8" i="70"/>
  <c r="N8" i="70"/>
  <c r="O8" i="70"/>
  <c r="P8" i="70"/>
  <c r="Q8" i="70"/>
  <c r="R8" i="70"/>
  <c r="S8" i="70"/>
  <c r="F6" i="70"/>
  <c r="G6" i="70"/>
  <c r="H6" i="70"/>
  <c r="I6" i="70"/>
  <c r="J6" i="70"/>
  <c r="K6" i="70"/>
  <c r="L6" i="70"/>
  <c r="M6" i="70"/>
  <c r="N6" i="70"/>
  <c r="O6" i="70"/>
  <c r="P6" i="70"/>
  <c r="Q6" i="70"/>
  <c r="R6" i="70"/>
  <c r="S6" i="70"/>
  <c r="S2" i="70"/>
  <c r="R2" i="70"/>
  <c r="Q2" i="70"/>
  <c r="P2" i="70"/>
  <c r="O2" i="70"/>
  <c r="N2" i="70"/>
  <c r="M2" i="70"/>
  <c r="L2" i="70"/>
  <c r="K2" i="70"/>
  <c r="J2" i="70"/>
  <c r="I2" i="70"/>
  <c r="H2" i="70"/>
  <c r="G2" i="70"/>
  <c r="F2" i="70"/>
  <c r="E2" i="70"/>
  <c r="D2" i="70"/>
  <c r="C2" i="70"/>
  <c r="I40" i="39"/>
  <c r="I7" i="39"/>
  <c r="I9" i="39"/>
  <c r="L51" i="69"/>
  <c r="L50" i="69"/>
  <c r="L49" i="69"/>
  <c r="L48" i="69"/>
  <c r="L47" i="69"/>
  <c r="L46" i="69"/>
  <c r="L45" i="69"/>
  <c r="L44" i="69"/>
  <c r="L43" i="69"/>
  <c r="L42" i="69"/>
  <c r="L41" i="69"/>
  <c r="L40" i="69"/>
  <c r="L39" i="69"/>
  <c r="L38" i="69"/>
  <c r="L37" i="69"/>
  <c r="L36" i="69"/>
  <c r="L19" i="69"/>
  <c r="P19" i="69"/>
  <c r="L18" i="69"/>
  <c r="P18" i="69"/>
  <c r="L17" i="69"/>
  <c r="P17" i="69"/>
  <c r="L16" i="69"/>
  <c r="P16" i="69"/>
  <c r="L13" i="69"/>
  <c r="P13" i="69"/>
  <c r="L6" i="69"/>
  <c r="P6" i="69"/>
  <c r="L5" i="69"/>
  <c r="P5" i="69"/>
  <c r="L4" i="69"/>
  <c r="P4" i="69"/>
  <c r="L3" i="69"/>
  <c r="P3" i="69"/>
  <c r="L2" i="69"/>
  <c r="P2" i="69"/>
  <c r="B22" i="31"/>
  <c r="B3" i="3"/>
  <c r="C48" i="21"/>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J50" i="15"/>
  <c r="J51" i="15"/>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L16" i="4"/>
  <c r="N16" i="4"/>
  <c r="P16" i="4"/>
  <c r="R16" i="4"/>
  <c r="T16" i="4"/>
  <c r="K17" i="4"/>
  <c r="A22" i="51"/>
  <c r="B16" i="63"/>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D83" i="21"/>
  <c r="E83" i="21"/>
  <c r="F21" i="21"/>
  <c r="AA21"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K2" i="54"/>
  <c r="B23" i="63"/>
  <c r="A3" i="51"/>
  <c r="R41" i="4"/>
  <c r="Q41" i="4"/>
  <c r="P41" i="4"/>
  <c r="O41" i="4"/>
  <c r="N41" i="4"/>
  <c r="M41" i="4"/>
  <c r="L41" i="4"/>
  <c r="K40" i="4"/>
  <c r="T40" i="4"/>
  <c r="F23" i="4"/>
  <c r="D19" i="4"/>
  <c r="F6" i="1"/>
  <c r="I19" i="4"/>
  <c r="H19" i="4"/>
  <c r="G19" i="4"/>
  <c r="F9" i="1"/>
  <c r="AP9" i="1"/>
  <c r="F19" i="4"/>
  <c r="F8" i="1"/>
  <c r="AP8" i="1"/>
  <c r="E19" i="4"/>
  <c r="F7" i="1"/>
  <c r="G7" i="1"/>
  <c r="B2" i="52"/>
  <c r="E6"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H111" i="33"/>
  <c r="I111" i="33"/>
  <c r="J111" i="33"/>
  <c r="K111" i="33"/>
  <c r="L111" i="33"/>
  <c r="M111" i="33"/>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C23" i="33"/>
  <c r="C19" i="33"/>
  <c r="C17" i="33"/>
  <c r="C15" i="33"/>
  <c r="C15" i="21"/>
  <c r="D125" i="33"/>
  <c r="D117" i="33"/>
  <c r="E117" i="33"/>
  <c r="F117" i="33"/>
  <c r="G117"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E101" i="33"/>
  <c r="F101" i="33"/>
  <c r="G101" i="33"/>
  <c r="H101" i="33"/>
  <c r="I101" i="33"/>
  <c r="J101" i="33"/>
  <c r="K101" i="33"/>
  <c r="L101" i="33"/>
  <c r="M101" i="33"/>
  <c r="U27" i="33"/>
  <c r="E79" i="33"/>
  <c r="F77" i="33"/>
  <c r="G77"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W34" i="21"/>
  <c r="H36" i="21"/>
  <c r="U36" i="21"/>
  <c r="F35" i="21"/>
  <c r="AA35"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S36"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S37" i="33"/>
  <c r="W43" i="34"/>
  <c r="AC42" i="34"/>
  <c r="W42" i="34"/>
  <c r="AA42" i="34"/>
  <c r="S42" i="34"/>
  <c r="AC38" i="34"/>
  <c r="W38" i="34"/>
  <c r="AA38" i="34"/>
  <c r="S38" i="34"/>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S45" i="21"/>
  <c r="U28" i="21"/>
  <c r="AB44" i="21"/>
  <c r="S19" i="21"/>
  <c r="O27" i="31"/>
  <c r="O28" i="31"/>
  <c r="O26" i="31"/>
  <c r="M27" i="31"/>
  <c r="M28" i="31"/>
  <c r="M26" i="31"/>
  <c r="I26" i="31"/>
  <c r="Q26" i="31"/>
  <c r="K26" i="31"/>
  <c r="I27" i="31"/>
  <c r="Q27" i="31"/>
  <c r="K27" i="31"/>
  <c r="I28" i="31"/>
  <c r="Q28" i="31"/>
  <c r="K28" i="31"/>
  <c r="AC28" i="34"/>
  <c r="AA12" i="21"/>
  <c r="S12" i="21"/>
  <c r="H25" i="21"/>
  <c r="U25" i="21"/>
  <c r="F25" i="21"/>
  <c r="S25" i="21"/>
  <c r="J25" i="21"/>
  <c r="AC25" i="21"/>
  <c r="E125" i="33"/>
  <c r="F125" i="33"/>
  <c r="G125" i="33"/>
  <c r="U43" i="33"/>
  <c r="H17" i="37"/>
  <c r="U17" i="37"/>
  <c r="F23" i="37"/>
  <c r="S23" i="37"/>
  <c r="F79" i="37"/>
  <c r="AB27" i="37"/>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G79" i="37"/>
  <c r="J23" i="37"/>
  <c r="W23" i="37"/>
  <c r="F17" i="37"/>
  <c r="AA17" i="37"/>
  <c r="AC33" i="36"/>
  <c r="AC12" i="35"/>
  <c r="W23" i="35"/>
  <c r="AC23" i="37"/>
  <c r="S27" i="37"/>
  <c r="U39" i="37"/>
  <c r="AC8" i="37"/>
  <c r="S25" i="37"/>
  <c r="AC36" i="34"/>
  <c r="AB8" i="34"/>
  <c r="U19" i="21"/>
  <c r="AA36" i="21"/>
  <c r="S39"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D3" i="35"/>
  <c r="G4" i="4"/>
  <c r="S37" i="34"/>
  <c r="J16" i="35"/>
  <c r="W16" i="35"/>
  <c r="U42" i="21"/>
  <c r="AC26" i="36"/>
  <c r="W25" i="35"/>
  <c r="AA36" i="35"/>
  <c r="H11" i="37"/>
  <c r="AB11" i="37"/>
  <c r="W37" i="37"/>
  <c r="AA36" i="37"/>
  <c r="S42" i="33"/>
  <c r="U32" i="33"/>
  <c r="AB17" i="37"/>
  <c r="AC11" i="36"/>
  <c r="AC10" i="36"/>
  <c r="AB45" i="34"/>
  <c r="AC14" i="37"/>
  <c r="AB35" i="35"/>
  <c r="S25" i="35"/>
  <c r="W44" i="33"/>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F17" i="21"/>
  <c r="S17" i="21"/>
  <c r="H17" i="21"/>
  <c r="AB17" i="21"/>
  <c r="J17" i="21"/>
  <c r="AC17" i="21"/>
  <c r="H37" i="21"/>
  <c r="U37" i="21"/>
  <c r="F40" i="21"/>
  <c r="S40" i="21"/>
  <c r="H40" i="21"/>
  <c r="AB40" i="21"/>
  <c r="E119" i="21"/>
  <c r="F119" i="21"/>
  <c r="G119" i="21"/>
  <c r="H119" i="21"/>
  <c r="I119" i="21"/>
  <c r="J119" i="21"/>
  <c r="K119" i="21"/>
  <c r="L119" i="21"/>
  <c r="M119" i="21"/>
  <c r="S8" i="33"/>
  <c r="H66" i="33"/>
  <c r="S11" i="33"/>
  <c r="W15" i="33"/>
  <c r="AB39" i="34"/>
  <c r="F11" i="34"/>
  <c r="S11" i="34"/>
  <c r="E80" i="34"/>
  <c r="F80" i="34"/>
  <c r="H17" i="34"/>
  <c r="AB17" i="34"/>
  <c r="AC27" i="34"/>
  <c r="W27" i="34"/>
  <c r="S12" i="35"/>
  <c r="AB28" i="35"/>
  <c r="U28" i="35"/>
  <c r="W13" i="33"/>
  <c r="U13"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43" i="39"/>
  <c r="U43" i="39"/>
  <c r="J43" i="39"/>
  <c r="F99" i="37"/>
  <c r="AC27" i="37"/>
  <c r="U25" i="35"/>
  <c r="S45" i="34"/>
  <c r="U31" i="34"/>
  <c r="AC40" i="37"/>
  <c r="W40" i="37"/>
  <c r="W27" i="33"/>
  <c r="AC45" i="21"/>
  <c r="S28" i="33"/>
  <c r="S14" i="21"/>
  <c r="AA44" i="34"/>
  <c r="AB29" i="35"/>
  <c r="U29" i="35"/>
  <c r="U43" i="34"/>
  <c r="AB43" i="34"/>
  <c r="AC34" i="37"/>
  <c r="S35" i="37"/>
  <c r="AA35" i="37"/>
  <c r="AB10" i="35"/>
  <c r="S32" i="21"/>
  <c r="U38" i="21"/>
  <c r="F42" i="21"/>
  <c r="AA42" i="21"/>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U8" i="33"/>
  <c r="E106" i="33"/>
  <c r="U34" i="33"/>
  <c r="S34" i="33"/>
  <c r="E12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U41" i="33"/>
  <c r="F121" i="33"/>
  <c r="G121" i="33"/>
  <c r="H121" i="33"/>
  <c r="I121" i="33"/>
  <c r="J121" i="33"/>
  <c r="K121" i="33"/>
  <c r="L121" i="33"/>
  <c r="M121" i="33"/>
  <c r="F30" i="40"/>
  <c r="AA30" i="40"/>
  <c r="H100" i="40"/>
  <c r="I100" i="40"/>
  <c r="J100" i="40"/>
  <c r="K100" i="40"/>
  <c r="L100" i="40"/>
  <c r="M100" i="40"/>
  <c r="AB38" i="34"/>
  <c r="AB37" i="39"/>
  <c r="AA29" i="35"/>
  <c r="U39" i="39"/>
  <c r="AB21" i="39"/>
  <c r="U21" i="39"/>
  <c r="AB33" i="36"/>
  <c r="AA11" i="36"/>
  <c r="AA14" i="35"/>
  <c r="S14" i="35"/>
  <c r="G99" i="37"/>
  <c r="F33" i="37"/>
  <c r="U46" i="34"/>
  <c r="AC30" i="34"/>
  <c r="AA14" i="34"/>
  <c r="W12" i="34"/>
  <c r="U29" i="33"/>
  <c r="U17" i="34"/>
  <c r="AA11" i="34"/>
  <c r="W32" i="33"/>
  <c r="U15" i="33"/>
  <c r="AA40" i="21"/>
  <c r="U17" i="21"/>
  <c r="U16" i="40"/>
  <c r="W34" i="40"/>
  <c r="AB34" i="40"/>
  <c r="AB42" i="40"/>
  <c r="U42" i="40"/>
  <c r="AC16" i="40"/>
  <c r="W32" i="40"/>
  <c r="H25" i="40"/>
  <c r="AB25" i="40"/>
  <c r="F94" i="40"/>
  <c r="G94" i="40"/>
  <c r="U47" i="39"/>
  <c r="W15" i="39"/>
  <c r="J37" i="34"/>
  <c r="AC37" i="34"/>
  <c r="W36" i="33"/>
  <c r="S41" i="40"/>
  <c r="AB23" i="40"/>
  <c r="U27" i="39"/>
  <c r="H23" i="39"/>
  <c r="AB23" i="39"/>
  <c r="J23" i="39"/>
  <c r="AC23" i="39"/>
  <c r="F97" i="39"/>
  <c r="G97" i="39"/>
  <c r="S16" i="39"/>
  <c r="S15" i="34"/>
  <c r="AA15" i="34"/>
  <c r="F106" i="33"/>
  <c r="G106" i="33"/>
  <c r="H106" i="33"/>
  <c r="I106" i="33"/>
  <c r="J106" i="33"/>
  <c r="K106" i="33"/>
  <c r="L106" i="33"/>
  <c r="M106" i="33"/>
  <c r="U30" i="40"/>
  <c r="W29" i="35"/>
  <c r="AC39" i="39"/>
  <c r="W39" i="39"/>
  <c r="S39" i="39"/>
  <c r="U34" i="39"/>
  <c r="AB46" i="39"/>
  <c r="AB44" i="39"/>
  <c r="AC33" i="39"/>
  <c r="W33" i="39"/>
  <c r="S33"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G80" i="34"/>
  <c r="F17" i="34"/>
  <c r="AA17" i="34"/>
  <c r="J17" i="34"/>
  <c r="AC17" i="34"/>
  <c r="H11" i="34"/>
  <c r="AB11" i="34"/>
  <c r="W35" i="33"/>
  <c r="S32" i="33"/>
  <c r="U11" i="33"/>
  <c r="U10" i="33"/>
  <c r="I66" i="33"/>
  <c r="U40" i="21"/>
  <c r="U11" i="37"/>
  <c r="AC16" i="35"/>
  <c r="AC13" i="40"/>
  <c r="J11" i="34"/>
  <c r="W11" i="34"/>
  <c r="S17" i="34"/>
  <c r="F25" i="40"/>
  <c r="AA25" i="40"/>
  <c r="W11" i="33"/>
  <c r="H33" i="37"/>
  <c r="AB33" i="37"/>
  <c r="W15" i="34"/>
  <c r="AC15" i="34"/>
  <c r="U20" i="35"/>
  <c r="AB20" i="35"/>
  <c r="W23" i="40"/>
  <c r="D73" i="9"/>
  <c r="N73" i="9"/>
  <c r="AP11" i="1"/>
  <c r="B11" i="1"/>
  <c r="E11" i="1"/>
  <c r="B9" i="1"/>
  <c r="E9" i="1"/>
  <c r="B7" i="1"/>
  <c r="E7" i="1"/>
  <c r="C20" i="43"/>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U36" i="33"/>
  <c r="S29" i="33"/>
  <c r="W31" i="33"/>
  <c r="W43" i="33"/>
  <c r="U46" i="33"/>
  <c r="W39" i="33"/>
  <c r="U35" i="33"/>
  <c r="W26" i="33"/>
  <c r="W25" i="33"/>
  <c r="F87" i="33"/>
  <c r="G87" i="33"/>
  <c r="H87" i="33"/>
  <c r="I87" i="33"/>
  <c r="J87" i="33"/>
  <c r="K87" i="33"/>
  <c r="L87" i="33"/>
  <c r="M87" i="33"/>
  <c r="F85" i="33"/>
  <c r="G85" i="33"/>
  <c r="F79" i="33"/>
  <c r="G79" i="33"/>
  <c r="S10" i="33"/>
  <c r="S14" i="33"/>
  <c r="W10" i="33"/>
  <c r="W21" i="33"/>
  <c r="W14" i="33"/>
  <c r="U25" i="33"/>
  <c r="U21" i="33"/>
  <c r="S21" i="33"/>
  <c r="S44" i="21"/>
  <c r="W39" i="21"/>
  <c r="W32" i="21"/>
  <c r="U35" i="21"/>
  <c r="W43" i="21"/>
  <c r="AA37" i="21"/>
  <c r="S42" i="21"/>
  <c r="AB37" i="21"/>
  <c r="W28" i="21"/>
  <c r="AC46" i="21"/>
  <c r="AC26" i="21"/>
  <c r="F85" i="21"/>
  <c r="G85" i="21"/>
  <c r="J23" i="21"/>
  <c r="W23" i="21"/>
  <c r="F23" i="21"/>
  <c r="H23" i="21"/>
  <c r="AA17" i="21"/>
  <c r="W17" i="21"/>
  <c r="S15" i="21"/>
  <c r="F77" i="21"/>
  <c r="G77" i="21"/>
  <c r="AC11" i="21"/>
  <c r="AB11" i="21"/>
  <c r="W13" i="21"/>
  <c r="AA11"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AC21" i="39"/>
  <c r="S14" i="39"/>
  <c r="AB15" i="39"/>
  <c r="U11" i="39"/>
  <c r="U41" i="39"/>
  <c r="U23" i="39"/>
  <c r="AB38" i="39"/>
  <c r="U31" i="39"/>
  <c r="AB31" i="39"/>
  <c r="S25" i="39"/>
  <c r="S38" i="39"/>
  <c r="D18" i="9"/>
  <c r="M44" i="9"/>
  <c r="M43" i="9"/>
  <c r="B22" i="63"/>
  <c r="M20" i="15"/>
  <c r="D96" i="9"/>
  <c r="F28" i="15"/>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S26"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5" i="33"/>
  <c r="U23" i="33"/>
  <c r="W23" i="33"/>
  <c r="S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S8" i="1"/>
  <c r="S9" i="1"/>
  <c r="L38" i="9"/>
  <c r="B14" i="66"/>
  <c r="C45" i="9"/>
  <c r="H14" i="66"/>
  <c r="B7" i="66"/>
  <c r="R9" i="1"/>
  <c r="M20" i="6"/>
  <c r="I20" i="6"/>
  <c r="AY6" i="3"/>
  <c r="D3" i="6"/>
  <c r="H20" i="6"/>
  <c r="D20" i="6"/>
  <c r="R20" i="6"/>
  <c r="R7" i="1"/>
  <c r="R8" i="1"/>
  <c r="M19" i="6"/>
  <c r="I19" i="6"/>
  <c r="H19" i="6"/>
  <c r="D19" i="6"/>
  <c r="R19" i="6"/>
  <c r="R6" i="1"/>
  <c r="J9" i="39"/>
  <c r="AC9" i="39"/>
  <c r="D45" i="9"/>
  <c r="O40" i="9"/>
  <c r="K31" i="9"/>
  <c r="K32" i="9"/>
  <c r="R7" i="54"/>
  <c r="B52" i="63"/>
  <c r="N76" i="9"/>
  <c r="C46" i="9"/>
  <c r="K33" i="9"/>
  <c r="O41" i="9"/>
  <c r="I14" i="66"/>
  <c r="B8" i="66"/>
  <c r="D46" i="9"/>
  <c r="K34" i="9"/>
  <c r="R8" i="54"/>
  <c r="B54" i="63"/>
  <c r="A25" i="51"/>
  <c r="B18" i="63"/>
  <c r="I48" i="21"/>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G13" i="1"/>
  <c r="E52" i="37"/>
  <c r="D46" i="36"/>
  <c r="E48" i="35"/>
  <c r="D59" i="34"/>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P21" i="46"/>
  <c r="S8" i="59"/>
  <c r="D9" i="59"/>
  <c r="P22" i="46"/>
  <c r="P23" i="46"/>
  <c r="P24" i="46"/>
  <c r="B68" i="40"/>
  <c r="F33" i="44"/>
  <c r="F31" i="15"/>
  <c r="F58" i="15"/>
  <c r="M17" i="15"/>
  <c r="M19" i="44"/>
  <c r="E65" i="40"/>
  <c r="D67" i="40"/>
  <c r="G48" i="21"/>
  <c r="U7" i="21"/>
  <c r="V8" i="59"/>
  <c r="D8"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U7" i="33"/>
  <c r="F48" i="35"/>
  <c r="E46" i="36"/>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7" i="59"/>
  <c r="D6" i="59"/>
  <c r="E41" i="46"/>
  <c r="C41" i="46"/>
  <c r="S5" i="46"/>
  <c r="S2" i="46"/>
  <c r="S3" i="46"/>
  <c r="S7" i="46"/>
  <c r="S6" i="46"/>
  <c r="S4" i="46"/>
  <c r="K27" i="6"/>
  <c r="E63" i="40"/>
  <c r="C22" i="4"/>
  <c r="D21" i="6"/>
  <c r="D25" i="6"/>
  <c r="D10" i="6"/>
  <c r="D13" i="6"/>
  <c r="H21" i="6"/>
  <c r="H24" i="6"/>
  <c r="D6" i="6"/>
  <c r="D23" i="6"/>
  <c r="D14" i="6"/>
  <c r="D28" i="6"/>
  <c r="D8" i="6"/>
  <c r="H23" i="6"/>
  <c r="E45" i="9"/>
  <c r="F45" i="9"/>
  <c r="K38" i="9"/>
  <c r="C14" i="66"/>
  <c r="D24" i="6"/>
  <c r="D26" i="6"/>
  <c r="H26" i="6"/>
  <c r="R26" i="6"/>
  <c r="D22" i="6"/>
  <c r="D11" i="6"/>
  <c r="D12" i="6"/>
  <c r="H25" i="6"/>
  <c r="D9" i="6"/>
  <c r="D5" i="6"/>
  <c r="D29" i="6"/>
  <c r="H22" i="6"/>
  <c r="D15" i="6"/>
  <c r="F46" i="9"/>
  <c r="E46" i="9"/>
  <c r="G52" i="37"/>
  <c r="H7" i="34"/>
  <c r="J7" i="34"/>
  <c r="G48" i="35"/>
  <c r="F46" i="36"/>
  <c r="G46" i="36"/>
  <c r="H46" i="36"/>
  <c r="I46" i="36"/>
  <c r="J46" i="36"/>
  <c r="K46" i="36"/>
  <c r="L46" i="36"/>
  <c r="M46" i="36"/>
  <c r="N46" i="36"/>
  <c r="O46" i="36"/>
  <c r="F7" i="34"/>
  <c r="C115" i="46"/>
  <c r="D113" i="46"/>
  <c r="F67" i="40"/>
  <c r="G65" i="40"/>
  <c r="E48" i="21"/>
  <c r="F7" i="36"/>
  <c r="S7" i="36"/>
  <c r="M20" i="46"/>
  <c r="C19" i="46"/>
  <c r="R24" i="6"/>
  <c r="D16" i="6"/>
  <c r="D30" i="6"/>
  <c r="R22" i="6"/>
  <c r="R23" i="6"/>
  <c r="R25" i="6"/>
  <c r="D27" i="6"/>
  <c r="M27" i="6"/>
  <c r="R21" i="6"/>
  <c r="A6" i="51"/>
  <c r="B7" i="63"/>
  <c r="A6" i="64"/>
  <c r="A20" i="64"/>
  <c r="A20" i="51"/>
  <c r="B15" i="63"/>
  <c r="N5" i="54"/>
  <c r="B43" i="63"/>
  <c r="T13" i="1"/>
  <c r="M16" i="1"/>
  <c r="C13" i="43"/>
  <c r="T9" i="1"/>
  <c r="T11" i="1"/>
  <c r="T12" i="1"/>
  <c r="T7" i="1"/>
  <c r="T10" i="1"/>
  <c r="T6" i="1"/>
  <c r="T8" i="1"/>
  <c r="T16" i="1"/>
  <c r="AA7" i="36"/>
  <c r="R36" i="36"/>
  <c r="H48" i="35"/>
  <c r="W7" i="34"/>
  <c r="AC7" i="34"/>
  <c r="V49" i="34"/>
  <c r="I49" i="34"/>
  <c r="S7" i="34"/>
  <c r="AA7" i="34"/>
  <c r="R49" i="34"/>
  <c r="H7" i="36"/>
  <c r="AB7" i="34"/>
  <c r="T49" i="34"/>
  <c r="G49" i="34"/>
  <c r="U7" i="34"/>
  <c r="H52" i="37"/>
  <c r="J7" i="36"/>
  <c r="H65" i="40"/>
  <c r="G67" i="40"/>
  <c r="E53" i="21"/>
  <c r="F53" i="21"/>
  <c r="E52" i="21"/>
  <c r="F52" i="21"/>
  <c r="I53" i="21"/>
  <c r="J53" i="21"/>
  <c r="C38" i="46"/>
  <c r="C39" i="46"/>
  <c r="C33" i="46"/>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L46" i="15"/>
  <c r="AA7" i="37"/>
  <c r="R42" i="37"/>
  <c r="S7" i="37"/>
  <c r="E43" i="35"/>
  <c r="F43" i="35"/>
  <c r="E42" i="35"/>
  <c r="F42" i="35"/>
  <c r="I43" i="35"/>
  <c r="J43" i="35"/>
  <c r="C39" i="35"/>
  <c r="B3" i="35"/>
  <c r="B2" i="35"/>
  <c r="C38" i="35"/>
  <c r="H7" i="37"/>
  <c r="J7" i="37"/>
  <c r="AA9" i="40"/>
  <c r="R44" i="40"/>
  <c r="E44" i="40"/>
  <c r="E48" i="40"/>
  <c r="F48" i="40"/>
  <c r="S9" i="40"/>
  <c r="W9" i="39"/>
  <c r="J9" i="40"/>
  <c r="U9" i="39"/>
  <c r="H9" i="40"/>
  <c r="W7" i="37"/>
  <c r="AC7" i="37"/>
  <c r="V42" i="37"/>
  <c r="I42" i="37"/>
  <c r="AB7" i="37"/>
  <c r="T42" i="37"/>
  <c r="G42" i="37"/>
  <c r="U7" i="37"/>
  <c r="E42" i="37"/>
  <c r="R43" i="37"/>
  <c r="AB9" i="40"/>
  <c r="T44" i="40"/>
  <c r="G44" i="40"/>
  <c r="U9" i="40"/>
  <c r="AC9" i="40"/>
  <c r="V44" i="40"/>
  <c r="I44" i="40"/>
  <c r="W9" i="40"/>
  <c r="C43" i="37"/>
  <c r="B3" i="37"/>
  <c r="B2" i="37"/>
  <c r="C42" i="37"/>
  <c r="I46" i="37"/>
  <c r="J46" i="37"/>
  <c r="I47" i="37"/>
  <c r="J47" i="37"/>
  <c r="E47" i="37"/>
  <c r="F47" i="37"/>
  <c r="E46" i="37"/>
  <c r="F46" i="37"/>
  <c r="G46" i="37"/>
  <c r="H46" i="37"/>
  <c r="G47" i="37"/>
  <c r="H47" i="37"/>
  <c r="E12" i="67"/>
  <c r="M21" i="15"/>
  <c r="F8" i="15"/>
  <c r="F14" i="67"/>
  <c r="L49" i="44"/>
  <c r="B9" i="67"/>
  <c r="I4" i="65"/>
  <c r="J17" i="44"/>
  <c r="F28" i="44"/>
  <c r="J7" i="65"/>
  <c r="F9" i="15"/>
  <c r="N7" i="65"/>
  <c r="F6" i="15"/>
  <c r="F39" i="44"/>
  <c r="M8" i="15"/>
  <c r="B11" i="67"/>
  <c r="F16" i="15"/>
  <c r="F10" i="44"/>
  <c r="F26" i="15"/>
  <c r="M24" i="15"/>
  <c r="N5" i="65"/>
  <c r="F38" i="15"/>
  <c r="M26" i="15"/>
  <c r="F41" i="15"/>
  <c r="J4" i="65"/>
  <c r="F40" i="44"/>
  <c r="F43" i="44"/>
  <c r="M8" i="44"/>
  <c r="B12" i="67"/>
  <c r="M24" i="44"/>
  <c r="M31" i="44"/>
  <c r="B14" i="67"/>
  <c r="M30" i="44"/>
  <c r="M10" i="44"/>
  <c r="J36" i="15"/>
  <c r="E9" i="67"/>
  <c r="F11" i="67"/>
  <c r="F12" i="67"/>
  <c r="E8" i="67"/>
  <c r="L47" i="15"/>
  <c r="I6" i="65"/>
  <c r="L48" i="15"/>
  <c r="J5" i="65"/>
  <c r="F9" i="67"/>
  <c r="E14" i="67"/>
  <c r="M25" i="44"/>
  <c r="F15" i="44"/>
  <c r="M28" i="15"/>
  <c r="L48" i="44"/>
  <c r="J15" i="15"/>
  <c r="B13" i="67"/>
  <c r="E11" i="67"/>
  <c r="M9" i="15"/>
  <c r="M23" i="44"/>
  <c r="I7" i="65"/>
  <c r="C19" i="44"/>
  <c r="E13" i="67"/>
  <c r="M11" i="44"/>
  <c r="E10" i="67"/>
  <c r="M27" i="15"/>
  <c r="B10" i="67"/>
  <c r="J6" i="65"/>
  <c r="F42" i="15"/>
  <c r="F40" i="15"/>
  <c r="F43" i="15"/>
  <c r="F7" i="15"/>
  <c r="F37" i="44"/>
  <c r="F35" i="15"/>
  <c r="N3" i="65"/>
  <c r="M23" i="15"/>
  <c r="F18" i="44"/>
  <c r="F13" i="67"/>
  <c r="M22" i="15"/>
  <c r="F46" i="44"/>
  <c r="F8" i="44"/>
  <c r="B8" i="67"/>
  <c r="F10" i="67"/>
  <c r="N4" i="65"/>
  <c r="I3" i="65"/>
  <c r="M26" i="44"/>
  <c r="J3" i="65"/>
  <c r="M28" i="44"/>
  <c r="M29" i="44"/>
  <c r="F45" i="44"/>
  <c r="M6" i="15"/>
  <c r="C16" i="44"/>
  <c r="C14" i="15"/>
  <c r="F9" i="44"/>
  <c r="N6" i="65"/>
  <c r="M29" i="15"/>
  <c r="F13" i="15"/>
  <c r="F36" i="15"/>
  <c r="F11" i="44"/>
  <c r="F37" i="15"/>
  <c r="F38" i="44"/>
  <c r="F8" i="67"/>
  <c r="F81" i="33"/>
  <c r="G81" i="33"/>
  <c r="C15" i="43"/>
  <c r="L16" i="1"/>
  <c r="I48" i="40"/>
  <c r="J48" i="40"/>
  <c r="I49" i="40"/>
  <c r="J49" i="40"/>
  <c r="G48" i="40"/>
  <c r="H48" i="40"/>
  <c r="G49" i="40"/>
  <c r="H49" i="40"/>
  <c r="E49" i="40"/>
  <c r="F49" i="40"/>
  <c r="E33" i="46"/>
  <c r="G33" i="46"/>
  <c r="I33" i="46"/>
  <c r="T15" i="46"/>
  <c r="V15" i="46"/>
  <c r="T9" i="46"/>
  <c r="V9" i="46"/>
  <c r="T7" i="46"/>
  <c r="V7" i="46"/>
  <c r="C37" i="46"/>
  <c r="T3" i="46"/>
  <c r="V3" i="46"/>
  <c r="C34" i="46"/>
  <c r="T8" i="46"/>
  <c r="V8" i="46"/>
  <c r="C29" i="46"/>
  <c r="T5" i="46"/>
  <c r="V5" i="46"/>
  <c r="C36" i="46"/>
  <c r="T12" i="46"/>
  <c r="V12" i="46"/>
  <c r="C35" i="46"/>
  <c r="T2" i="46"/>
  <c r="V2" i="46"/>
  <c r="T11" i="46"/>
  <c r="V11" i="46"/>
  <c r="T6" i="46"/>
  <c r="V6" i="46"/>
  <c r="T10" i="46"/>
  <c r="V10" i="46"/>
  <c r="T13" i="46"/>
  <c r="V13" i="46"/>
  <c r="T14" i="46"/>
  <c r="V14" i="46"/>
  <c r="T16" i="46"/>
  <c r="V16" i="46"/>
  <c r="T4" i="46"/>
  <c r="V4" i="46"/>
  <c r="R45" i="40"/>
  <c r="G6" i="1"/>
  <c r="AP6" i="1"/>
  <c r="C12" i="39"/>
  <c r="AP7" i="1"/>
  <c r="G12" i="1"/>
  <c r="H29" i="39"/>
  <c r="J29" i="39"/>
  <c r="F103" i="39"/>
  <c r="G103" i="39"/>
  <c r="H19" i="39"/>
  <c r="J19" i="39"/>
  <c r="F93" i="39"/>
  <c r="G93" i="39"/>
  <c r="H17" i="39"/>
  <c r="J17" i="39"/>
  <c r="F91" i="39"/>
  <c r="G91" i="39"/>
  <c r="N16" i="1"/>
  <c r="C29" i="43"/>
  <c r="E11" i="52"/>
  <c r="J13" i="39"/>
  <c r="S9" i="39"/>
  <c r="O16" i="1"/>
  <c r="B16" i="52"/>
  <c r="E21" i="52"/>
  <c r="E8" i="52"/>
  <c r="B11" i="52"/>
  <c r="C14" i="43"/>
  <c r="C17" i="43"/>
  <c r="B15" i="52"/>
  <c r="B6" i="52"/>
  <c r="B7" i="52"/>
  <c r="B22" i="52"/>
  <c r="E9" i="52"/>
  <c r="E13" i="52"/>
  <c r="B5" i="52"/>
  <c r="B13" i="52"/>
  <c r="E10" i="52"/>
  <c r="B8" i="52"/>
  <c r="B9" i="52"/>
  <c r="E16" i="52"/>
  <c r="B14" i="52"/>
  <c r="E15" i="52"/>
  <c r="E17" i="52"/>
  <c r="B4" i="52"/>
  <c r="B10" i="52"/>
  <c r="E22" i="52"/>
  <c r="E5" i="52"/>
  <c r="E4" i="52"/>
  <c r="E7" i="52"/>
  <c r="E14" i="52"/>
  <c r="C18" i="15"/>
  <c r="C15" i="15"/>
  <c r="J1" i="65"/>
  <c r="C20" i="44"/>
  <c r="C17" i="44"/>
  <c r="E20" i="46"/>
  <c r="C8" i="44"/>
  <c r="F49" i="15"/>
  <c r="M7" i="15"/>
  <c r="J6" i="15"/>
  <c r="J20" i="15"/>
  <c r="Q73" i="44"/>
  <c r="Q72" i="15"/>
  <c r="C6" i="15"/>
  <c r="F65" i="15"/>
  <c r="J60" i="44"/>
  <c r="I55" i="44"/>
  <c r="J61" i="44"/>
  <c r="Q50" i="44"/>
  <c r="J58" i="44"/>
  <c r="J56" i="44"/>
  <c r="J59" i="44"/>
  <c r="Q52" i="44"/>
  <c r="L57" i="44"/>
  <c r="J54" i="44"/>
  <c r="F62" i="15"/>
  <c r="C61" i="15"/>
  <c r="C34" i="15"/>
  <c r="C29" i="44"/>
  <c r="F67" i="15"/>
  <c r="F50" i="15"/>
  <c r="C4" i="65"/>
  <c r="B39" i="1"/>
  <c r="I54" i="15"/>
  <c r="L56" i="15"/>
  <c r="J57" i="15"/>
  <c r="J55" i="15"/>
  <c r="J58" i="15"/>
  <c r="Q51" i="15"/>
  <c r="J53" i="15"/>
  <c r="F70" i="15"/>
  <c r="C27" i="15"/>
  <c r="M9" i="44"/>
  <c r="J8" i="44"/>
  <c r="F68" i="15"/>
  <c r="J22" i="44"/>
  <c r="C36" i="44"/>
  <c r="L59" i="15"/>
  <c r="L58" i="15"/>
  <c r="F64" i="15"/>
  <c r="F63" i="15"/>
  <c r="L60" i="44"/>
  <c r="L59" i="44"/>
  <c r="C17" i="15"/>
  <c r="C18" i="44"/>
  <c r="C16" i="15"/>
  <c r="E3" i="65"/>
  <c r="I48" i="33"/>
  <c r="W19" i="33"/>
  <c r="U19" i="33"/>
  <c r="G48" i="33"/>
  <c r="S19" i="33"/>
  <c r="G35" i="46"/>
  <c r="I35" i="46"/>
  <c r="E35" i="46"/>
  <c r="G36" i="46"/>
  <c r="I36" i="46"/>
  <c r="E36" i="46"/>
  <c r="C30" i="46"/>
  <c r="E30" i="46"/>
  <c r="C27" i="46"/>
  <c r="E29" i="46"/>
  <c r="E34" i="46"/>
  <c r="G34" i="46"/>
  <c r="I34" i="46"/>
  <c r="G37" i="46"/>
  <c r="I37" i="46"/>
  <c r="E37" i="46"/>
  <c r="AP16" i="1"/>
  <c r="F22" i="11"/>
  <c r="C45" i="40"/>
  <c r="C44" i="40"/>
  <c r="AB29" i="39"/>
  <c r="U29" i="39"/>
  <c r="AC29" i="39"/>
  <c r="W29" i="39"/>
  <c r="S29" i="39"/>
  <c r="AB17" i="39"/>
  <c r="U17" i="39"/>
  <c r="U19" i="39"/>
  <c r="AB19" i="39"/>
  <c r="W17" i="39"/>
  <c r="AC17" i="39"/>
  <c r="S17" i="39"/>
  <c r="AC19" i="39"/>
  <c r="W19" i="39"/>
  <c r="S19" i="39"/>
  <c r="AC13" i="39"/>
  <c r="W13" i="39"/>
  <c r="H13" i="39"/>
  <c r="G83" i="39"/>
  <c r="H83" i="39"/>
  <c r="I83" i="39"/>
  <c r="J83" i="39"/>
  <c r="K83" i="39"/>
  <c r="L83" i="39"/>
  <c r="M83" i="39"/>
  <c r="C18" i="43"/>
  <c r="C19" i="43"/>
  <c r="C25" i="43"/>
  <c r="C24" i="43"/>
  <c r="C48" i="15"/>
  <c r="C21" i="44"/>
  <c r="F17" i="11"/>
  <c r="C17" i="11"/>
  <c r="C19" i="11"/>
  <c r="J20" i="44"/>
  <c r="C19" i="15"/>
  <c r="Q76" i="44"/>
  <c r="Q63" i="44"/>
  <c r="Q61" i="15"/>
  <c r="Q74" i="15"/>
  <c r="J18" i="15"/>
  <c r="F1" i="15"/>
  <c r="Q53" i="15"/>
  <c r="C32" i="15"/>
  <c r="C34" i="44"/>
  <c r="Q75" i="44"/>
  <c r="Q62" i="44"/>
  <c r="Q75" i="15"/>
  <c r="Q62" i="15"/>
  <c r="F13" i="44"/>
  <c r="C12" i="44"/>
  <c r="C7" i="44"/>
  <c r="F11" i="15"/>
  <c r="M11" i="15"/>
  <c r="J10" i="15"/>
  <c r="J5" i="15"/>
  <c r="M13" i="44"/>
  <c r="J12" i="44"/>
  <c r="J7" i="44"/>
  <c r="L47" i="44"/>
  <c r="Q54" i="44"/>
  <c r="F1" i="44"/>
  <c r="P28" i="46"/>
  <c r="O28" i="46"/>
  <c r="M28" i="46"/>
  <c r="N28" i="46"/>
  <c r="F7" i="67"/>
  <c r="E48" i="33"/>
  <c r="G52" i="33"/>
  <c r="H52" i="33"/>
  <c r="G53" i="33"/>
  <c r="H53" i="33"/>
  <c r="I52" i="33"/>
  <c r="J52" i="33"/>
  <c r="I53" i="33"/>
  <c r="J53" i="33"/>
  <c r="E4" i="67"/>
  <c r="B53" i="40"/>
  <c r="F53" i="40"/>
  <c r="F63" i="40"/>
  <c r="B2" i="40"/>
  <c r="B60" i="40"/>
  <c r="F60" i="40"/>
  <c r="B58" i="40"/>
  <c r="F58" i="40"/>
  <c r="B54" i="40"/>
  <c r="F54" i="40"/>
  <c r="B55" i="40"/>
  <c r="F55" i="40"/>
  <c r="B57" i="40"/>
  <c r="F57" i="40"/>
  <c r="B56" i="40"/>
  <c r="F56" i="40"/>
  <c r="B61" i="40"/>
  <c r="F61" i="40"/>
  <c r="B59" i="40"/>
  <c r="F59" i="40"/>
  <c r="B62" i="40"/>
  <c r="F62" i="40"/>
  <c r="C26" i="46"/>
  <c r="F26" i="44"/>
  <c r="C26" i="44"/>
  <c r="F24" i="15"/>
  <c r="C24" i="15"/>
  <c r="F21" i="43"/>
  <c r="C23" i="43"/>
  <c r="D21" i="43"/>
  <c r="S13" i="39"/>
  <c r="AB13" i="39"/>
  <c r="U13" i="39"/>
  <c r="J26" i="15"/>
  <c r="J29" i="15"/>
  <c r="J24" i="15"/>
  <c r="C40" i="44"/>
  <c r="J28" i="44"/>
  <c r="J31" i="44"/>
  <c r="J26" i="44"/>
  <c r="C20" i="11"/>
  <c r="C21" i="11"/>
  <c r="C22" i="11"/>
  <c r="C23" i="11"/>
  <c r="B2" i="11"/>
  <c r="C22" i="44"/>
  <c r="C28" i="44"/>
  <c r="C52" i="15"/>
  <c r="C47" i="15"/>
  <c r="C10" i="15"/>
  <c r="C5" i="15"/>
  <c r="C20" i="15"/>
  <c r="C26" i="15"/>
  <c r="E7" i="67"/>
  <c r="L52" i="44"/>
  <c r="E52" i="33"/>
  <c r="F52" i="33"/>
  <c r="E53" i="33"/>
  <c r="F53" i="33"/>
  <c r="C49" i="33"/>
  <c r="B3" i="33"/>
  <c r="B2" i="33"/>
  <c r="E3" i="67"/>
  <c r="B2" i="46"/>
  <c r="B3" i="40"/>
  <c r="B5" i="40"/>
  <c r="B4" i="40"/>
  <c r="C22" i="43"/>
  <c r="C21" i="43"/>
  <c r="C28" i="43"/>
  <c r="C30" i="43"/>
  <c r="C32" i="43"/>
  <c r="B2" i="43"/>
  <c r="C25" i="44"/>
  <c r="C31" i="44"/>
  <c r="C23" i="15"/>
  <c r="C29" i="15"/>
  <c r="Q69" i="44"/>
  <c r="L58" i="44"/>
  <c r="L61" i="44"/>
  <c r="C59" i="15"/>
  <c r="C65" i="15"/>
  <c r="B5" i="11"/>
  <c r="B4" i="11"/>
  <c r="B3" i="11"/>
  <c r="C38" i="15"/>
  <c r="Q49" i="44"/>
  <c r="Q55" i="44"/>
  <c r="Q67" i="44"/>
  <c r="Q58" i="44"/>
  <c r="B7" i="67"/>
  <c r="B2" i="67"/>
  <c r="B4" i="46"/>
  <c r="D4" i="46"/>
  <c r="B3" i="46"/>
  <c r="C33" i="15"/>
  <c r="C31" i="15"/>
  <c r="C56" i="15"/>
  <c r="C60" i="15"/>
  <c r="C58" i="15"/>
  <c r="Q50" i="15"/>
  <c r="J59" i="15"/>
  <c r="J60" i="15"/>
  <c r="Q49" i="15"/>
  <c r="J19" i="15"/>
  <c r="J17" i="15"/>
  <c r="C13" i="15"/>
  <c r="C55" i="15"/>
  <c r="C64" i="15"/>
  <c r="C36" i="15"/>
  <c r="J14" i="15"/>
  <c r="J13" i="15"/>
  <c r="J23" i="15"/>
  <c r="C35" i="44"/>
  <c r="C33" i="44"/>
  <c r="J21" i="44"/>
  <c r="J19" i="44"/>
  <c r="Q51" i="44"/>
  <c r="C15" i="44"/>
  <c r="C38" i="44"/>
  <c r="J16" i="44"/>
  <c r="B4" i="43"/>
  <c r="B3" i="43"/>
  <c r="B5" i="43"/>
  <c r="Q68" i="44"/>
  <c r="Q77" i="44"/>
  <c r="Q59" i="44"/>
  <c r="Q64" i="44"/>
  <c r="B3" i="67"/>
  <c r="B4" i="67"/>
  <c r="C63" i="15"/>
  <c r="C57" i="15"/>
  <c r="C66" i="15"/>
  <c r="C67" i="15"/>
  <c r="C70" i="15"/>
  <c r="J22" i="15"/>
  <c r="J16" i="15"/>
  <c r="J25" i="15"/>
  <c r="Q71" i="15"/>
  <c r="J35" i="15"/>
  <c r="C37" i="15"/>
  <c r="C30" i="15"/>
  <c r="C39" i="15"/>
  <c r="C40" i="15"/>
  <c r="J24" i="44"/>
  <c r="J15" i="44"/>
  <c r="J25" i="44"/>
  <c r="C39" i="44"/>
  <c r="C32" i="44"/>
  <c r="C42" i="44"/>
  <c r="Q72" i="44"/>
  <c r="C43" i="44"/>
  <c r="L51" i="15"/>
  <c r="R22" i="31"/>
  <c r="B21" i="31"/>
  <c r="D8" i="12"/>
  <c r="Q70" i="15"/>
  <c r="Q69" i="15"/>
  <c r="J18" i="44"/>
  <c r="J27" i="44"/>
  <c r="J39" i="15"/>
  <c r="J40" i="15"/>
  <c r="Q68" i="15"/>
  <c r="L57" i="15"/>
  <c r="L60" i="15"/>
  <c r="Q71" i="44"/>
  <c r="Q70" i="44"/>
  <c r="C44" i="44"/>
  <c r="C45" i="44"/>
  <c r="B2" i="44"/>
  <c r="C43" i="15"/>
  <c r="Q66" i="15"/>
  <c r="B2" i="15"/>
  <c r="B3" i="15"/>
  <c r="Q48" i="15"/>
  <c r="Q54" i="15"/>
  <c r="Q57" i="15"/>
  <c r="J42" i="15"/>
  <c r="J43" i="15"/>
  <c r="C46" i="15"/>
  <c r="B5" i="44"/>
  <c r="B3" i="44"/>
  <c r="B4" i="44"/>
  <c r="Q58" i="15"/>
  <c r="Q63" i="15"/>
  <c r="Q67" i="15"/>
  <c r="Q76" i="15"/>
  <c r="B4" i="12"/>
  <c r="L44" i="9"/>
  <c r="B5" i="12"/>
  <c r="D21" i="9"/>
  <c r="B1" i="66"/>
  <c r="C7" i="66"/>
  <c r="C8" i="66"/>
  <c r="B2" i="66"/>
  <c r="D8" i="66"/>
  <c r="D7" i="66"/>
  <c r="J16" i="66"/>
  <c r="E16" i="66"/>
  <c r="F16" i="66"/>
  <c r="J17" i="66"/>
  <c r="E17" i="66"/>
  <c r="F17" i="66"/>
  <c r="F18" i="66"/>
  <c r="E18"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66"/>
  <c r="C5" i="66"/>
  <c r="D5" i="66"/>
  <c r="C10" i="71"/>
  <c r="J14" i="66"/>
  <c r="J15" i="66"/>
  <c r="J13" i="66"/>
  <c r="C44" i="9"/>
  <c r="G14" i="66"/>
  <c r="B6" i="66"/>
  <c r="D6" i="66"/>
  <c r="C6" i="66"/>
  <c r="N69" i="9"/>
  <c r="D63" i="9"/>
  <c r="D71" i="9"/>
  <c r="D66" i="9"/>
  <c r="N72" i="9"/>
  <c r="C103" i="9"/>
  <c r="C111" i="9"/>
  <c r="C104" i="9"/>
  <c r="C113" i="9"/>
  <c r="C114" i="9"/>
  <c r="C115" i="9"/>
  <c r="D76" i="9"/>
  <c r="D74" i="9"/>
  <c r="N74" i="9"/>
  <c r="D77" i="9"/>
  <c r="N75" i="9"/>
  <c r="O77" i="9"/>
  <c r="O79" i="9"/>
  <c r="O81" i="9"/>
  <c r="F15" i="66"/>
  <c r="E15" i="66"/>
  <c r="O80" i="9"/>
  <c r="Q77" i="9"/>
  <c r="B20" i="70"/>
  <c r="R22" i="70"/>
  <c r="B21" i="70"/>
  <c r="M83" i="9"/>
  <c r="N83" i="9"/>
  <c r="M84" i="9"/>
  <c r="N84" i="9"/>
  <c r="M85" i="9"/>
  <c r="N85" i="9"/>
  <c r="M86" i="9"/>
  <c r="N86" i="9"/>
  <c r="M87" i="9"/>
  <c r="N87" i="9"/>
  <c r="M88" i="9"/>
  <c r="N88" i="9"/>
  <c r="N89" i="9"/>
  <c r="O89" i="9"/>
  <c r="H5" i="71"/>
  <c r="I5" i="71"/>
  <c r="C90" i="9"/>
  <c r="C96" i="9"/>
  <c r="C91" i="9"/>
  <c r="C97" i="9"/>
  <c r="C98" i="9"/>
  <c r="C99" i="9"/>
  <c r="O78" i="9"/>
  <c r="T26" i="70"/>
  <c r="E98" i="9"/>
  <c r="E99" i="9"/>
  <c r="O39" i="9"/>
  <c r="K29" i="9"/>
  <c r="K30" i="9"/>
  <c r="R6" i="54"/>
  <c r="B50" i="63"/>
  <c r="E114" i="9"/>
  <c r="E115" i="9"/>
  <c r="C82" i="9"/>
  <c r="C81" i="9"/>
  <c r="C85" i="9"/>
  <c r="C86" i="9"/>
  <c r="D72" i="9"/>
  <c r="D70" i="9"/>
  <c r="E44" i="9"/>
  <c r="D44" i="9"/>
  <c r="F44" i="9"/>
  <c r="F14" i="66"/>
  <c r="E14" i="66"/>
  <c r="N38" i="9"/>
  <c r="K28" i="9"/>
  <c r="D42" i="9"/>
  <c r="Q5" i="54"/>
  <c r="B47" i="63"/>
  <c r="C34" i="9"/>
  <c r="M38" i="9"/>
  <c r="K27" i="9"/>
  <c r="E42" i="9"/>
  <c r="P5" i="54"/>
  <c r="B46" i="63"/>
  <c r="R5" i="54"/>
  <c r="B48" i="63"/>
  <c r="N68" i="9"/>
  <c r="O38" i="9"/>
  <c r="K25" i="9"/>
  <c r="K26" i="9"/>
  <c r="O43" i="9"/>
  <c r="C35" i="9"/>
  <c r="F42" i="9"/>
  <c r="N43" i="9"/>
  <c r="G22" i="9"/>
  <c r="B4" i="39"/>
  <c r="C21" i="9"/>
  <c r="G21" i="9"/>
  <c r="B3" i="39"/>
  <c r="D22" i="9"/>
  <c r="B5" i="39"/>
  <c r="L43" i="9"/>
  <c r="C49" i="39"/>
  <c r="E49" i="39"/>
  <c r="G49" i="39"/>
  <c r="E54" i="39"/>
  <c r="F54" i="39"/>
  <c r="E53" i="39"/>
  <c r="F53" i="39"/>
  <c r="I49" i="39"/>
  <c r="I54" i="39"/>
  <c r="J54" i="39"/>
  <c r="G54" i="39"/>
  <c r="H54" i="39"/>
  <c r="G53" i="39"/>
  <c r="H53" i="39"/>
  <c r="U12" i="39"/>
  <c r="W12" i="39"/>
  <c r="I53" i="39"/>
  <c r="J53" i="39"/>
  <c r="F12" i="40"/>
  <c r="S12" i="40"/>
  <c r="AA12" i="40"/>
  <c r="H12" i="40"/>
  <c r="U12" i="40"/>
  <c r="AB12" i="40"/>
  <c r="S12" i="39"/>
  <c r="J12" i="40"/>
  <c r="AC12" i="40"/>
  <c r="W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<sst xmlns="http://schemas.openxmlformats.org/spreadsheetml/2006/main" count="7501" uniqueCount="3213">
  <si>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</si>
  <si>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</si>
  <si>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</si>
  <si>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</si>
  <si>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</si>
  <si>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</si>
  <si>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</si>
  <si>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</si>
  <si>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</si>
  <si>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</si>
  <si>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</si>
  <si>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</si>
  <si>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</si>
  <si>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</si>
  <si>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</si>
  <si>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</si>
  <si>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</si>
  <si>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</si>
  <si>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</si>
  <si>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</si>
  <si>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</si>
  <si>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</si>
  <si>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</si>
  <si>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</si>
  <si>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</si>
  <si>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</si>
  <si>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</si>
  <si>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</si>
  <si>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</si>
  <si>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</si>
  <si>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</si>
  <si>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</si>
  <si>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</si>
  <si>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</si>
  <si>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</si>
  <si>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</si>
  <si>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</si>
  <si>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</si>
  <si>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</si>
  <si>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</si>
  <si>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</si>
  <si>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</si>
  <si>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</si>
  <si>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</si>
  <si>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</si>
  <si>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</si>
  <si>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</si>
  <si>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</si>
  <si>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</si>
  <si>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</si>
  <si>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</si>
  <si>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</si>
  <si>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</si>
  <si>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</si>
  <si>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</si>
  <si>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</si>
  <si>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</si>
  <si>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</si>
  <si>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</si>
  <si>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</si>
  <si>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</si>
  <si>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</si>
  <si>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</si>
  <si>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</si>
  <si>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</si>
  <si>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</si>
  <si>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</si>
  <si>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</si>
  <si>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</si>
  <si>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</si>
  <si>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</si>
  <si>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</si>
  <si>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</si>
  <si>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</si>
  <si>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</si>
  <si>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</si>
  <si>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</si>
  <si>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</si>
  <si>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</si>
  <si>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</si>
  <si>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</si>
  <si>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</si>
  <si>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</si>
  <si>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</si>
  <si>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</si>
  <si>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</si>
  <si>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</si>
  <si>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</si>
  <si>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</si>
  <si>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</si>
  <si>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</si>
  <si>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</si>
  <si>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</si>
  <si>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</si>
  <si>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</si>
  <si>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</si>
  <si>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</si>
  <si>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</si>
  <si>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</si>
  <si>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</si>
  <si>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</si>
  <si>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</si>
  <si>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</si>
  <si>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</si>
  <si>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</si>
  <si>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</si>
  <si>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</si>
  <si>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</si>
  <si>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</si>
  <si>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</si>
  <si>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</si>
  <si>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</si>
  <si>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</si>
  <si>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</si>
  <si>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</si>
  <si>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</si>
  <si>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</si>
  <si>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</si>
  <si>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</si>
  <si>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</si>
  <si>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</si>
  <si>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</si>
  <si>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</si>
  <si>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</si>
  <si>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</si>
  <si>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</si>
  <si>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</si>
  <si>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</si>
  <si>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</si>
  <si>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</si>
  <si>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</si>
  <si>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</si>
  <si>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</si>
  <si>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</si>
  <si>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</si>
  <si>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</si>
  <si>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</si>
  <si>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</si>
  <si>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</si>
  <si>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</si>
  <si>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</si>
  <si>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</si>
  <si>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</si>
  <si>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</si>
  <si>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</si>
  <si>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</si>
  <si>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</si>
  <si>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</si>
  <si>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</si>
  <si>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</si>
  <si>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</si>
  <si>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</si>
  <si>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</si>
  <si>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</si>
  <si>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</si>
  <si>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</si>
  <si>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</si>
  <si>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</si>
  <si>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</si>
  <si>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</si>
  <si>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</si>
  <si>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</si>
  <si>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</si>
  <si>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</si>
  <si>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</si>
  <si>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</si>
  <si>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</si>
  <si>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</si>
  <si>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</si>
  <si>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</si>
  <si>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</si>
  <si>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</si>
  <si>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</si>
  <si>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</si>
  <si>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</si>
  <si>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</si>
  <si>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</si>
  <si>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</si>
  <si>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</si>
  <si>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</si>
  <si>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</si>
  <si>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</si>
  <si>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</si>
  <si>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</si>
  <si>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</si>
  <si>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</si>
  <si>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</si>
  <si>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</si>
  <si>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</si>
  <si>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</si>
  <si>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</si>
  <si>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</si>
  <si>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</si>
  <si>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</si>
  <si>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</si>
  <si>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</si>
  <si>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</si>
  <si>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</si>
  <si>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</si>
  <si>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</si>
  <si>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</si>
  <si>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</si>
  <si>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</si>
  <si>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</si>
  <si>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</si>
  <si>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</si>
  <si>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</si>
  <si>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</si>
  <si>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</si>
  <si>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</si>
  <si>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</si>
  <si>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</si>
  <si>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</si>
  <si>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</si>
  <si>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</si>
  <si>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</si>
  <si>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</si>
  <si>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</si>
  <si>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</si>
  <si>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</si>
  <si>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</si>
  <si>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</si>
  <si>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</si>
  <si>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</si>
  <si>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</si>
  <si>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</si>
  <si>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</si>
  <si>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</si>
  <si>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</si>
  <si>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</si>
  <si>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</si>
  <si>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</si>
  <si>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</si>
  <si>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</si>
  <si>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</si>
  <si>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</si>
  <si>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</si>
  <si>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</si>
  <si>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</si>
  <si>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</si>
  <si>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</si>
  <si>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</si>
  <si>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</si>
  <si>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</si>
  <si>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</si>
  <si>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</si>
  <si>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</si>
  <si>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</si>
  <si>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</si>
  <si>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</si>
  <si>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</si>
  <si>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</si>
  <si>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</si>
  <si>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</si>
  <si>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</si>
  <si>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</si>
  <si>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</si>
  <si>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</si>
  <si>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</si>
  <si>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</si>
  <si>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</si>
  <si>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</si>
  <si>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</si>
  <si>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</si>
  <si>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</si>
  <si>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</si>
  <si>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</si>
  <si>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</si>
  <si>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</si>
  <si>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</si>
  <si>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</si>
  <si>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</si>
  <si>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</si>
  <si>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</si>
  <si>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</si>
  <si>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</si>
  <si>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</si>
  <si>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</si>
  <si>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</si>
  <si>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</si>
  <si>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</si>
  <si>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</si>
  <si>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</si>
  <si>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</si>
  <si>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</si>
  <si>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</si>
  <si>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</si>
  <si>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</si>
  <si>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</si>
  <si>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</si>
  <si>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</si>
  <si>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</si>
  <si>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</si>
  <si>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</si>
  <si>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</si>
  <si>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</si>
  <si>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</si>
  <si>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</si>
  <si>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</si>
  <si>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</si>
  <si>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</si>
  <si>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</si>
  <si>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</si>
  <si>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</si>
  <si>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</si>
  <si>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</si>
  <si>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</si>
  <si>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</si>
  <si>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</si>
  <si>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</si>
  <si>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</si>
  <si>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</si>
  <si>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</si>
  <si>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</si>
  <si>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</si>
  <si>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</si>
  <si>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</si>
  <si>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</si>
  <si>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</si>
  <si>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</si>
  <si>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</si>
  <si>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</si>
  <si>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</si>
  <si>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</si>
  <si>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</si>
  <si>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</si>
  <si>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</si>
  <si>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</si>
  <si>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</si>
  <si>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</si>
  <si>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</si>
  <si>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</si>
  <si>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</si>
  <si>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</si>
  <si>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</si>
  <si>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</si>
  <si>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</si>
  <si>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</si>
  <si>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</si>
  <si>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</si>
  <si>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</si>
  <si>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</si>
  <si>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</si>
  <si>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</si>
  <si>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</si>
  <si>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</si>
  <si>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</si>
  <si>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</si>
  <si>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</si>
  <si>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</si>
  <si>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</si>
  <si>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</si>
  <si>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</si>
  <si>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</si>
  <si>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</si>
  <si>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</si>
  <si>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</si>
  <si>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</si>
  <si>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</si>
  <si>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</si>
  <si>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</si>
  <si>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</si>
  <si>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</si>
  <si>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</si>
  <si>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</si>
  <si>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</si>
  <si>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</si>
  <si>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</si>
  <si>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</si>
  <si>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</si>
  <si>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</si>
  <si>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</si>
  <si>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</si>
  <si>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</si>
  <si>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</si>
  <si>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</si>
  <si>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</si>
  <si>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</si>
  <si>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</si>
  <si>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</si>
  <si>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</si>
  <si>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</si>
  <si>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</si>
  <si>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</si>
  <si>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</si>
  <si>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</si>
  <si>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</si>
  <si>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</si>
  <si>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</si>
  <si>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</si>
  <si>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</si>
  <si>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</si>
  <si>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</si>
  <si>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</si>
  <si>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</si>
  <si>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</si>
  <si>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</si>
  <si>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</si>
  <si>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</si>
  <si>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</si>
  <si>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</si>
  <si>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</si>
  <si>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</si>
  <si>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</si>
  <si>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</si>
  <si>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</si>
  <si>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</si>
  <si>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</si>
  <si>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</si>
  <si>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</si>
  <si>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</si>
  <si>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</si>
  <si>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</si>
  <si>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</si>
  <si>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</si>
  <si>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</si>
  <si>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</si>
  <si>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</si>
  <si>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</si>
  <si>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</si>
  <si>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</si>
  <si>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</si>
  <si>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</si>
  <si>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</si>
  <si>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</si>
  <si>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</si>
  <si>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</si>
  <si>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</si>
  <si>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</si>
  <si>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</si>
  <si>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</si>
  <si>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</si>
  <si>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</si>
  <si>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</si>
  <si>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</si>
  <si>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</si>
  <si>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</si>
  <si>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</si>
  <si>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</si>
  <si>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</si>
  <si>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</si>
  <si>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</si>
  <si>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</si>
  <si>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</si>
  <si>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</si>
  <si>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</si>
  <si>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</si>
  <si>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</si>
  <si>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</si>
  <si>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</si>
  <si>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</si>
  <si>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</si>
  <si>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</si>
  <si>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</si>
  <si>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</si>
  <si>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</si>
  <si>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</si>
  <si>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</si>
  <si>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</si>
  <si>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</si>
  <si>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</si>
  <si>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</si>
  <si>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</si>
  <si>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</si>
  <si>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</si>
  <si>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</si>
  <si>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</si>
  <si>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</si>
  <si>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</si>
  <si>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</si>
  <si>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</si>
  <si>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</si>
  <si>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</si>
  <si>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</si>
  <si>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</si>
  <si>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</si>
  <si>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</si>
  <si>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</si>
  <si>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</si>
  <si>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</si>
  <si>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</si>
  <si>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</si>
  <si>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</si>
  <si>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</si>
  <si>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</si>
  <si>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</si>
  <si>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</si>
  <si>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</si>
  <si>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</si>
  <si>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</si>
  <si>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</si>
  <si>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</si>
  <si>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</si>
  <si>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</si>
  <si>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</si>
  <si>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</si>
  <si>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</si>
  <si>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</si>
  <si>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</si>
  <si>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</si>
  <si>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</si>
  <si>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</si>
  <si>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</si>
  <si>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</si>
  <si>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</si>
  <si>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</si>
  <si>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</si>
  <si>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</si>
  <si>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</si>
  <si>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</si>
  <si>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</si>
  <si>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</si>
  <si>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</si>
  <si>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</si>
  <si>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</si>
  <si>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</si>
  <si>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</si>
  <si>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</si>
  <si>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</si>
  <si>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</si>
  <si>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</si>
  <si>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</si>
  <si>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</si>
  <si>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</si>
  <si>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</si>
  <si>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</si>
  <si>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</si>
  <si>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</si>
  <si>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</si>
  <si>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</si>
  <si>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</si>
  <si>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</si>
  <si>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</si>
  <si>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</si>
  <si>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</si>
  <si>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</si>
  <si>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</si>
  <si>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</si>
  <si>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</si>
  <si>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</si>
  <si>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</si>
  <si>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</si>
  <si>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</si>
  <si>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</si>
  <si>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</si>
  <si>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</si>
  <si>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</si>
  <si>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</si>
  <si>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</si>
  <si>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</si>
  <si>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</si>
  <si>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</si>
  <si>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</si>
  <si>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</si>
  <si>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</si>
  <si>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</si>
  <si>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</si>
  <si>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</si>
  <si>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</si>
  <si>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</si>
  <si>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</si>
  <si>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</si>
  <si>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</si>
  <si>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</si>
  <si>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</si>
  <si>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</si>
  <si>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</si>
  <si>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</si>
  <si>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</si>
  <si>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</si>
  <si>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</si>
  <si>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</si>
  <si>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</si>
  <si>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</si>
  <si>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</si>
  <si>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</si>
  <si>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</si>
  <si>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</si>
  <si>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</si>
  <si>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</si>
  <si>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</si>
  <si>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</si>
  <si>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</si>
  <si>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</si>
  <si>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</si>
  <si>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</si>
  <si>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</si>
  <si>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</si>
  <si>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</si>
  <si>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</si>
  <si>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</si>
  <si>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</si>
  <si>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</si>
  <si>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</si>
  <si>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</si>
  <si>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</si>
  <si>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</si>
  <si>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</si>
  <si>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</si>
  <si>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</si>
  <si>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</si>
  <si>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</si>
  <si>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</si>
  <si>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</si>
  <si>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</si>
  <si>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</si>
  <si>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</si>
  <si>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</si>
  <si>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</si>
  <si>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</si>
  <si>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</si>
  <si>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</si>
  <si>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</si>
  <si>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</si>
  <si>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</si>
  <si>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</si>
  <si>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</si>
  <si>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</si>
  <si>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</si>
  <si>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</si>
  <si>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</si>
  <si>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</si>
  <si>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</si>
  <si>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</si>
  <si>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</si>
  <si>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</si>
  <si>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</si>
  <si>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</si>
  <si>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</si>
  <si>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</si>
  <si>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</si>
  <si>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</si>
  <si>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</si>
  <si>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</si>
  <si>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</si>
  <si>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</si>
  <si>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</si>
  <si>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</si>
  <si>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</si>
  <si>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</si>
  <si>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</si>
  <si>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</si>
  <si>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</si>
  <si>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</si>
  <si>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</si>
  <si>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</si>
  <si>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</si>
  <si>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</si>
  <si>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</si>
  <si>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</si>
  <si>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</si>
  <si>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</si>
  <si>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</si>
  <si>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</si>
  <si>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</si>
  <si>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</si>
  <si>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</si>
  <si>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</si>
  <si>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</si>
  <si>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</si>
  <si>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</si>
  <si>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</si>
  <si>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</si>
  <si>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</si>
  <si>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</si>
  <si>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</si>
  <si>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</si>
  <si>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</si>
  <si>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</si>
  <si>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</si>
  <si>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</si>
  <si>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</si>
  <si>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</si>
  <si>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</si>
  <si>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</si>
  <si>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</si>
  <si>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</si>
  <si>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</si>
  <si>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</si>
  <si>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</si>
  <si>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</si>
  <si>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</si>
  <si>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</si>
  <si>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</si>
  <si>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</si>
  <si>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</si>
  <si>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</si>
  <si>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</si>
  <si>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</si>
  <si>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</si>
  <si>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</si>
  <si>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</si>
  <si>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</si>
  <si>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</si>
  <si>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</si>
  <si>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</si>
  <si>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</si>
  <si>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</si>
  <si>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</si>
  <si>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</si>
  <si>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</si>
  <si>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</si>
  <si>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</si>
  <si>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</si>
  <si>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</si>
  <si>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</si>
  <si>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</si>
  <si>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</si>
  <si>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</si>
  <si>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</si>
  <si>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</si>
  <si>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</si>
  <si>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</si>
  <si>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</si>
  <si>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</si>
  <si>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</si>
  <si>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</si>
  <si>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</si>
  <si>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</si>
  <si>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</si>
  <si>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</si>
  <si>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</si>
  <si>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</si>
  <si>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</si>
  <si>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</si>
  <si>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</si>
  <si>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</si>
  <si>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</si>
  <si>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</si>
  <si>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</si>
  <si>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</si>
  <si>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</si>
  <si>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</si>
  <si>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</si>
  <si>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</si>
  <si>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</si>
  <si>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</si>
  <si>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</si>
  <si>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</si>
  <si>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</si>
  <si>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</si>
  <si>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</si>
  <si>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</si>
  <si>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</si>
  <si>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</si>
  <si>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</si>
  <si>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</si>
  <si>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</si>
  <si>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</si>
  <si>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</si>
  <si>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</si>
  <si>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</si>
  <si>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</si>
  <si>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</si>
  <si>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</si>
  <si>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</si>
  <si>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</si>
  <si>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</si>
  <si>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</si>
  <si>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</si>
  <si>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</si>
  <si>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</si>
  <si>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</si>
  <si>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</si>
  <si>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</si>
  <si>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</si>
  <si>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</si>
  <si>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</si>
  <si>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</si>
  <si>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</si>
  <si>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</si>
  <si>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</si>
  <si>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</si>
  <si>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</si>
  <si>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</si>
  <si>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</si>
  <si>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</si>
  <si>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</si>
  <si>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</si>
  <si>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</si>
  <si>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</si>
  <si>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</si>
  <si>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</si>
  <si>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</si>
  <si>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</si>
  <si>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</si>
  <si>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</si>
  <si>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</si>
  <si>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</si>
  <si>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</si>
  <si>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</si>
  <si>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</si>
  <si>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</si>
  <si>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</si>
  <si>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</si>
  <si>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</si>
  <si>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</si>
  <si>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</si>
  <si>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</si>
  <si>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</si>
  <si>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</si>
  <si>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</si>
  <si>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</si>
  <si>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</si>
  <si>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</si>
  <si>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</si>
  <si>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</si>
  <si>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</si>
  <si>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</si>
  <si>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</si>
  <si>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</si>
  <si>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</si>
  <si>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</si>
  <si>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</si>
  <si>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</si>
  <si>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</si>
  <si>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</si>
  <si>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</si>
  <si>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</si>
  <si>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</si>
  <si>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</si>
  <si>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</si>
  <si>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</si>
  <si>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</si>
  <si>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</si>
  <si>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</si>
  <si>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</si>
  <si>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</si>
  <si>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</si>
  <si>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</si>
  <si>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</si>
  <si>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</si>
  <si>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</si>
  <si>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</si>
  <si>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</si>
  <si>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</si>
  <si>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</si>
  <si>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</si>
  <si>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</si>
  <si>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</si>
  <si>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</si>
  <si>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</si>
  <si>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</si>
  <si>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</si>
  <si>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</si>
  <si>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</si>
  <si>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</si>
  <si>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</si>
  <si>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</si>
  <si>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</si>
  <si>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</si>
  <si>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</si>
  <si>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</si>
  <si>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</si>
  <si>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</si>
  <si>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</si>
  <si>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</si>
  <si>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</si>
  <si>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</si>
  <si>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</si>
  <si>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</si>
  <si>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</si>
  <si>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</si>
  <si>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</si>
  <si>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</si>
  <si>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</si>
  <si>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</si>
  <si>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</si>
  <si>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</si>
  <si>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</si>
  <si>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</si>
  <si>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</si>
  <si>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</si>
  <si>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</si>
  <si>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</si>
  <si>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</si>
  <si>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</si>
  <si>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</si>
  <si>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</si>
  <si>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</si>
  <si>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</si>
  <si>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</si>
  <si>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</si>
  <si>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</si>
  <si>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</si>
  <si>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</si>
  <si>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</si>
  <si>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</si>
  <si>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</si>
  <si>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</si>
  <si>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</si>
  <si>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</si>
  <si>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</si>
  <si>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</si>
  <si>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</si>
  <si>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</si>
  <si>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</si>
  <si>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</si>
  <si>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</si>
  <si>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</si>
  <si>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</si>
  <si>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</si>
  <si>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</si>
  <si>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</si>
  <si>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</si>
  <si>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</si>
  <si>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</si>
  <si>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</si>
  <si>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</si>
  <si>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</si>
  <si>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</si>
  <si>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</si>
  <si>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</si>
  <si>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</si>
  <si>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</si>
  <si>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</si>
  <si>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</si>
  <si>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</si>
  <si>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</si>
  <si>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</si>
  <si>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</si>
  <si>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</si>
  <si>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</si>
  <si>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</si>
  <si>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</si>
  <si>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</si>
  <si>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</si>
  <si>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</si>
  <si>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</si>
  <si>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</si>
  <si>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</si>
  <si>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</si>
  <si>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</si>
  <si>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</si>
  <si>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</si>
  <si>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</si>
  <si>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</si>
  <si>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</si>
  <si>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</si>
  <si>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</si>
  <si>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</si>
  <si>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</si>
  <si>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</si>
  <si>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</si>
  <si>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</si>
  <si>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</si>
  <si>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</si>
  <si>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</si>
  <si>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</si>
  <si>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</si>
  <si>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</si>
  <si>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</si>
  <si>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</si>
  <si>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</si>
  <si>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</si>
  <si>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</si>
  <si>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</si>
  <si>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</si>
  <si>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</si>
  <si>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</si>
  <si>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</si>
  <si>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</si>
  <si>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</si>
  <si>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</si>
  <si>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</si>
  <si>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</si>
  <si>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</si>
  <si>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</si>
  <si>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</si>
  <si>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</si>
  <si>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</si>
  <si>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</si>
  <si>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</si>
  <si>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</si>
  <si>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</si>
  <si>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</si>
  <si>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</si>
  <si>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</si>
  <si>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</si>
  <si>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</si>
  <si>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</si>
  <si>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</si>
  <si>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</si>
  <si>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</si>
  <si>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</si>
  <si>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</si>
  <si>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</si>
  <si>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</si>
  <si>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</si>
  <si>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</si>
  <si>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</si>
  <si>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</si>
  <si>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</si>
  <si>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</si>
  <si>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</si>
  <si>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</si>
  <si>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</si>
  <si>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</si>
  <si>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</si>
  <si>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</si>
  <si>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</si>
  <si>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</si>
  <si>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</si>
  <si>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</si>
  <si>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</si>
  <si>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</si>
  <si>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</si>
  <si>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</si>
  <si>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</si>
  <si>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</si>
  <si>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</si>
  <si>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</si>
  <si>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</si>
  <si>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</si>
  <si>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</si>
  <si>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</si>
  <si>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</si>
  <si>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</si>
  <si>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</si>
  <si>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</si>
  <si>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</si>
  <si>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</si>
  <si>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</si>
  <si>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</si>
  <si>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</si>
  <si>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</si>
  <si>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</si>
  <si>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</si>
  <si>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</si>
  <si>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</si>
  <si>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</si>
  <si>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</si>
  <si>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</si>
  <si>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</si>
  <si>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</si>
  <si>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</si>
  <si>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</si>
  <si>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</si>
  <si>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</si>
  <si>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</si>
  <si>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</si>
  <si>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</si>
  <si>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</si>
  <si>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</si>
  <si>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</si>
  <si>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</si>
  <si>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</si>
  <si>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</si>
  <si>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</si>
  <si>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</si>
  <si>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</si>
  <si>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</si>
  <si>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</si>
  <si>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</si>
  <si>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</si>
  <si>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</si>
  <si>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</si>
  <si>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</si>
  <si>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</si>
  <si>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</si>
  <si>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</si>
  <si>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</si>
  <si>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</si>
  <si>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</si>
  <si>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</si>
  <si>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</si>
  <si>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</si>
  <si>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</si>
  <si>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</si>
  <si>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</si>
  <si>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</si>
  <si>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</si>
  <si>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</si>
  <si>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</si>
  <si>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</si>
  <si>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</si>
  <si>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</si>
  <si>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</si>
  <si>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</si>
  <si>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</si>
  <si>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</si>
  <si>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</si>
  <si>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</si>
  <si>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</si>
  <si>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</si>
  <si>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</si>
  <si>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</si>
  <si>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</si>
  <si>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</si>
  <si>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</si>
  <si>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</si>
  <si>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</si>
  <si>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</si>
  <si>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</si>
  <si>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</si>
  <si>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</si>
  <si>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</si>
  <si>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</si>
  <si>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</si>
  <si>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</si>
  <si>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</si>
  <si>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</si>
  <si>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</si>
  <si>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</si>
  <si>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</si>
  <si>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</si>
  <si>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</si>
  <si>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</si>
  <si>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</si>
  <si>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</si>
  <si>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</si>
  <si>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</si>
  <si>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</si>
  <si>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</si>
  <si>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</si>
  <si>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</si>
  <si>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</si>
  <si>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</si>
  <si>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</si>
  <si>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</si>
  <si>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</si>
  <si>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</si>
  <si>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</si>
  <si>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</si>
  <si>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</si>
  <si>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</si>
  <si>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</si>
  <si>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</si>
  <si>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</si>
  <si>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</si>
  <si>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</si>
  <si>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</si>
  <si>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</si>
  <si>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</si>
  <si>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</si>
  <si>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</si>
  <si>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</si>
  <si>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</si>
  <si>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</si>
  <si>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</si>
  <si>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</si>
  <si>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</si>
  <si>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</si>
  <si>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</si>
  <si>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</si>
  <si>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</si>
  <si>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</si>
  <si>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</si>
  <si>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</si>
  <si>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</si>
  <si>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</si>
  <si>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</si>
  <si>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</si>
  <si>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</si>
  <si>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</si>
  <si>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</si>
  <si>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</si>
  <si>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</si>
  <si>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</si>
  <si>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</si>
  <si>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</si>
  <si>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</si>
  <si>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</si>
  <si>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</si>
  <si>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</si>
  <si>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</si>
  <si>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</si>
  <si>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</si>
  <si>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</si>
  <si>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</si>
  <si>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</si>
  <si>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</si>
  <si>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</si>
  <si>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</si>
  <si>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</si>
  <si>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</si>
  <si>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</si>
  <si>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</si>
  <si>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</si>
  <si>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</si>
  <si>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</si>
  <si>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</si>
  <si>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</si>
  <si>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</si>
  <si>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</si>
  <si>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</si>
  <si>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</si>
  <si>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</si>
  <si>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</si>
  <si>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</si>
  <si>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</si>
  <si>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</si>
  <si>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</si>
  <si>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</si>
  <si>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</si>
  <si>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</si>
  <si>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</si>
  <si>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</si>
  <si>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</si>
  <si>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</si>
  <si>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</si>
  <si>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</si>
  <si>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</si>
  <si>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</si>
  <si>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</si>
  <si>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</si>
  <si>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</si>
  <si>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</si>
  <si>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</si>
  <si>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</si>
  <si>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</si>
  <si>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</si>
  <si>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</si>
  <si>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</si>
  <si>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</si>
  <si>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</si>
  <si>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</si>
  <si>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</si>
  <si>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</si>
  <si>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</si>
  <si>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</si>
  <si>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</si>
  <si>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</si>
  <si>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</si>
  <si>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</si>
  <si>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</si>
  <si>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</si>
  <si>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</si>
  <si>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</si>
  <si>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</si>
  <si>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</si>
  <si>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</si>
  <si>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</si>
  <si>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</si>
  <si>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</si>
  <si>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</si>
  <si>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</si>
  <si>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</si>
  <si>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</si>
  <si>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</si>
  <si>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</si>
  <si>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</si>
  <si>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</si>
  <si>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</si>
  <si>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</si>
  <si>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</si>
  <si>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</si>
  <si>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</si>
  <si>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</si>
  <si>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</si>
  <si>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</si>
  <si>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</si>
  <si>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</si>
  <si>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</si>
  <si>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</si>
  <si>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</si>
  <si>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</si>
  <si>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</si>
  <si>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</si>
  <si>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</si>
  <si>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</si>
  <si>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</si>
  <si>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</si>
  <si>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</si>
  <si>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</si>
  <si>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</si>
  <si>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</si>
  <si>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</si>
  <si>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</si>
  <si>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</si>
  <si>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</si>
  <si>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</si>
  <si>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</si>
  <si>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</si>
  <si>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</si>
  <si>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</si>
  <si>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</si>
  <si>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</si>
  <si>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</si>
  <si>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</si>
  <si>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</si>
  <si>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</si>
  <si>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</si>
  <si>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</si>
  <si>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</si>
  <si>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</si>
  <si>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</si>
  <si>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</si>
  <si>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</si>
  <si>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</si>
  <si>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</si>
  <si>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</si>
  <si>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</si>
  <si>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</si>
  <si>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</si>
  <si>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</si>
  <si>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</si>
  <si>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</si>
  <si>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</si>
  <si>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</si>
  <si>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</si>
  <si>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</si>
  <si>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</si>
  <si>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</si>
  <si>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</si>
  <si>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</si>
  <si>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</si>
  <si>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</si>
  <si>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</si>
  <si>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</si>
  <si>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</si>
  <si>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</si>
  <si>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</si>
  <si>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</si>
  <si>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</si>
  <si>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</si>
  <si>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</si>
  <si>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</si>
  <si>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</si>
  <si>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</si>
  <si>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</si>
  <si>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</si>
  <si>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</si>
  <si>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</si>
  <si>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</si>
  <si>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</si>
  <si>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</si>
  <si>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</si>
  <si>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</si>
  <si>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</si>
  <si>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</si>
  <si>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</si>
  <si>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</si>
  <si>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</si>
  <si>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</si>
  <si>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</si>
  <si>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</si>
  <si>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</si>
  <si>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</si>
  <si>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</si>
  <si>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</si>
  <si>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</si>
  <si>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</si>
  <si>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</si>
  <si>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</si>
  <si>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</si>
  <si>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</si>
  <si>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</si>
  <si>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</si>
  <si>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</si>
  <si>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</si>
  <si>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</si>
  <si>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</si>
  <si>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</si>
  <si>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</si>
  <si>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</si>
  <si>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</si>
  <si>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</si>
  <si>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</si>
  <si>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</si>
  <si>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</si>
  <si>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</si>
  <si>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</si>
  <si>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</si>
  <si>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</si>
  <si>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</si>
  <si>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</si>
  <si>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</si>
  <si>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</si>
  <si>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</si>
  <si>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</si>
  <si>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</si>
  <si>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</si>
  <si>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</si>
  <si>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</si>
  <si>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</si>
  <si>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</si>
  <si>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</si>
  <si>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</si>
  <si>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</si>
  <si>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</si>
  <si>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</si>
  <si>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</si>
  <si>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</si>
  <si>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</si>
  <si>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</si>
  <si>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</si>
  <si>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</si>
  <si>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</si>
  <si>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</si>
  <si>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</si>
  <si>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</si>
  <si>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</si>
  <si>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</si>
  <si>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</si>
  <si>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</si>
  <si>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</si>
  <si>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</si>
  <si>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</si>
  <si>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</si>
  <si>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</si>
  <si>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</si>
  <si>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</si>
  <si>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</si>
  <si>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</si>
  <si>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</si>
  <si>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</si>
  <si>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</si>
  <si>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</si>
  <si>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</si>
  <si>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</si>
  <si>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</si>
  <si>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</si>
  <si>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</si>
  <si>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</si>
  <si>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</si>
  <si>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</si>
  <si>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</si>
  <si>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</si>
  <si>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</si>
  <si>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</si>
  <si>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</si>
  <si>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</si>
  <si>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</si>
  <si>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</si>
  <si>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</si>
  <si>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</si>
  <si>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</si>
  <si>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</si>
  <si>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</si>
  <si>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</si>
  <si>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</si>
  <si>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</si>
  <si>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</si>
  <si>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</si>
  <si>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</si>
  <si>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</si>
  <si>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</si>
  <si>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</si>
  <si>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</si>
  <si>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</si>
  <si>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</si>
  <si>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</si>
  <si>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</si>
  <si>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</si>
  <si>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</si>
  <si>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</si>
  <si>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</si>
  <si>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</si>
  <si>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</si>
  <si>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</si>
  <si>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</si>
  <si>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</si>
  <si>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</si>
  <si>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</si>
  <si>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</si>
  <si>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</si>
  <si>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</si>
  <si>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</si>
  <si>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</si>
  <si>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</si>
  <si>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</si>
  <si>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</si>
  <si>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</si>
  <si>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</si>
  <si>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</si>
  <si>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</si>
  <si>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</si>
  <si>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</si>
  <si>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</si>
  <si>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</si>
  <si>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</si>
  <si>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</si>
  <si>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</si>
  <si>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</si>
  <si>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</si>
  <si>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</si>
  <si>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</si>
  <si>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</si>
  <si>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</si>
  <si>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</si>
  <si>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</si>
  <si>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</si>
  <si>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</si>
  <si>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</si>
  <si>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</si>
  <si>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</si>
  <si>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</si>
  <si>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</si>
  <si>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</si>
  <si>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</si>
  <si>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</si>
  <si>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</si>
  <si>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</si>
  <si>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</si>
  <si>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</si>
  <si>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</si>
  <si>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</si>
  <si>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</si>
  <si>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</si>
  <si>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</si>
  <si>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</si>
  <si>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</si>
  <si>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</si>
  <si>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</si>
  <si>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</si>
  <si>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</si>
  <si>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</si>
  <si>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</si>
  <si>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</si>
  <si>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</si>
  <si>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</si>
  <si>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</si>
  <si>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</si>
  <si>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</si>
  <si>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</si>
  <si>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</si>
  <si>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</si>
  <si>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</si>
  <si>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</si>
  <si>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</si>
  <si>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</si>
  <si>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</si>
  <si>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</si>
  <si>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</si>
  <si>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</si>
  <si>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</si>
  <si>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</si>
  <si>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</si>
  <si>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</si>
  <si>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</si>
  <si>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</si>
  <si>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</si>
  <si>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</si>
  <si>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</si>
  <si>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</si>
  <si>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</si>
  <si>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</si>
  <si>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</si>
  <si>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</si>
  <si>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</si>
  <si>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</si>
  <si>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</si>
  <si>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</si>
  <si>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</si>
  <si>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</si>
  <si>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</si>
  <si>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</si>
  <si>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</si>
  <si>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</si>
  <si>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</si>
  <si>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</si>
  <si>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</si>
  <si>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</si>
  <si>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</si>
  <si>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</si>
  <si>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</si>
  <si>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</si>
  <si>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</si>
  <si>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</si>
  <si>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</si>
  <si>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</si>
  <si>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</si>
  <si>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</si>
  <si>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</si>
  <si>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</si>
  <si>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</si>
  <si>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</si>
  <si>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</si>
  <si>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</si>
  <si>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</si>
  <si>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</si>
  <si>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</si>
  <si>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</si>
  <si>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</si>
  <si>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</si>
  <si>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</si>
  <si>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</si>
  <si>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</si>
  <si>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</si>
  <si>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</si>
  <si>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</si>
  <si>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</si>
  <si>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</si>
  <si>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</si>
  <si>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</si>
  <si>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</si>
  <si>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</si>
  <si>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</si>
  <si>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</si>
  <si>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</si>
  <si>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</si>
  <si>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</si>
  <si>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</si>
  <si>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</si>
  <si>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</si>
  <si>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</si>
  <si>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</si>
  <si>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</si>
  <si>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</si>
  <si>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</si>
  <si>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</si>
  <si>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</si>
  <si>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</si>
  <si>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</si>
  <si>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</si>
  <si>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</si>
  <si>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</si>
  <si>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</si>
  <si>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</si>
  <si>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</si>
  <si>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</si>
  <si>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</si>
  <si>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</si>
  <si>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</si>
  <si>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</si>
  <si>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</si>
  <si>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</si>
  <si>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</si>
  <si>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</si>
  <si>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</si>
  <si>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</si>
  <si>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</si>
  <si>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</si>
  <si>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</si>
  <si>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</si>
  <si>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</si>
  <si>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</si>
  <si>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</si>
  <si>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</si>
  <si>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</si>
  <si>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</si>
  <si>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</si>
  <si>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</si>
  <si>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</si>
  <si>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</si>
  <si>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</si>
  <si>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</si>
  <si>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</si>
  <si>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</si>
  <si>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</si>
  <si>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</si>
  <si>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</si>
  <si>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</si>
  <si>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</si>
  <si>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</si>
  <si>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</si>
  <si>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</si>
  <si>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</si>
  <si>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</si>
  <si>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</si>
  <si>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</si>
  <si>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</si>
  <si>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</si>
  <si>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</si>
  <si>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</si>
  <si>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</si>
  <si>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</si>
  <si>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</si>
  <si>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</si>
  <si>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</si>
  <si>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</si>
  <si>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</si>
  <si>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</si>
  <si>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</si>
  <si>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</si>
  <si>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</si>
  <si>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</si>
  <si>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</si>
  <si>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</si>
  <si>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</si>
  <si>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</si>
  <si>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</si>
  <si>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</si>
  <si>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</si>
  <si>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</si>
  <si>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</si>
  <si>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</si>
  <si>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</si>
  <si>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</si>
  <si>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</si>
  <si>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</si>
  <si>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</si>
  <si>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</si>
  <si>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</si>
  <si>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</si>
  <si>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</si>
  <si>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</si>
  <si>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</si>
  <si>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</si>
  <si>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</si>
  <si>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</si>
  <si>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</si>
  <si>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</si>
  <si>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</si>
  <si>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</si>
  <si>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</si>
  <si>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</si>
  <si>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</si>
  <si>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</si>
  <si>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</si>
  <si>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</si>
  <si>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</si>
  <si>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</si>
  <si>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</si>
  <si>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</si>
  <si>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</si>
  <si>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</si>
  <si>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</si>
  <si>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</si>
  <si>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</si>
  <si>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</si>
  <si>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</si>
  <si>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</si>
  <si>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</si>
  <si>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</si>
  <si>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</si>
  <si>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</si>
  <si>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</si>
  <si>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</si>
  <si>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</si>
  <si>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</si>
  <si>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</si>
  <si>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</si>
  <si>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</si>
  <si>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</si>
  <si>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</si>
  <si>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</si>
  <si>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</si>
  <si>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</si>
  <si>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</si>
  <si>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</si>
  <si>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</si>
  <si>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</si>
  <si>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</si>
  <si>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</si>
  <si>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</si>
  <si>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</si>
  <si>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</si>
  <si>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</si>
  <si>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</si>
  <si>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</si>
  <si>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</si>
  <si>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</si>
  <si>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</si>
  <si>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</si>
  <si>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</si>
  <si>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</si>
  <si>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</si>
  <si>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</si>
  <si>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</si>
  <si>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</si>
  <si>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</si>
  <si>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</si>
  <si>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</si>
  <si>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</si>
  <si>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</si>
  <si>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</si>
  <si>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</si>
  <si>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</si>
  <si>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</si>
  <si>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</si>
  <si>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</si>
  <si>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</si>
  <si>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</si>
  <si>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</si>
  <si>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</si>
  <si>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</si>
  <si>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</si>
  <si>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</si>
  <si>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</si>
  <si>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</si>
  <si>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</si>
  <si>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</si>
  <si>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</si>
  <si>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</si>
  <si>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</si>
  <si>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</si>
  <si>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</si>
  <si>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</si>
  <si>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</si>
  <si>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</si>
  <si>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</si>
  <si>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</si>
  <si>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</si>
  <si>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</si>
  <si>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</si>
  <si>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</si>
  <si>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</si>
  <si>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</si>
  <si>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</si>
  <si>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</si>
  <si>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</si>
  <si>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</si>
  <si>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</si>
  <si>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</si>
  <si>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</si>
  <si>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</si>
  <si>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</si>
  <si>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</si>
  <si>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</si>
  <si>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</si>
  <si>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</si>
  <si>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</si>
  <si>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</si>
  <si>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</si>
  <si>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</si>
  <si>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</si>
  <si>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</si>
  <si>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</si>
  <si>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</si>
  <si>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</si>
  <si>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</si>
  <si>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</si>
  <si>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</si>
  <si>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</si>
  <si>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</si>
  <si>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</si>
  <si>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</si>
  <si>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</si>
  <si>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</si>
  <si>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</si>
  <si>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</si>
  <si>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</si>
  <si>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</si>
  <si>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</si>
  <si>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</si>
  <si>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</si>
  <si>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</si>
  <si>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</si>
  <si>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</si>
  <si>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</si>
  <si>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</si>
  <si>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</si>
  <si>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</si>
  <si>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</si>
  <si>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</si>
  <si>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</si>
  <si>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</si>
  <si>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</si>
  <si>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</si>
  <si>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</si>
  <si>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</si>
  <si>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</si>
  <si>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</si>
  <si>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</si>
  <si>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</si>
  <si>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</si>
  <si>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</si>
  <si>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</si>
  <si>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</si>
  <si>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</si>
  <si>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</si>
  <si>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</si>
  <si>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</si>
  <si>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</si>
  <si>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</si>
  <si>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</si>
  <si>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</si>
  <si>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</si>
  <si>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</si>
  <si>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</si>
  <si>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</si>
  <si>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</si>
  <si>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</si>
  <si>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</si>
  <si>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</si>
  <si>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</si>
  <si>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</si>
  <si>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</si>
  <si>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</si>
  <si>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</si>
  <si>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</si>
  <si>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</si>
  <si>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</si>
  <si>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</si>
  <si>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</si>
  <si>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</si>
  <si>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</si>
  <si>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</si>
  <si>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</si>
  <si>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</si>
  <si>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</si>
  <si>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</si>
  <si>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</si>
  <si>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</si>
  <si>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</si>
  <si>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</si>
  <si>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</si>
  <si>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</si>
  <si>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</si>
  <si>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</si>
  <si>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</si>
  <si>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</si>
  <si>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</si>
  <si>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</si>
  <si>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</si>
  <si>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</si>
  <si>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</si>
  <si>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</si>
  <si>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</si>
  <si>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</si>
  <si>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</si>
  <si>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</si>
  <si>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</si>
  <si>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</si>
  <si>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</si>
  <si>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</si>
  <si>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</si>
  <si>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</si>
  <si>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</si>
  <si>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</si>
  <si>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</si>
  <si>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</si>
  <si>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</si>
  <si>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</si>
  <si>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</si>
  <si>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</si>
  <si>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</si>
  <si>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</si>
  <si>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</si>
  <si>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</si>
  <si>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</si>
  <si>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</si>
  <si>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</si>
  <si>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</si>
  <si>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</si>
  <si>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</si>
  <si>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</si>
  <si>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</si>
  <si>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</si>
  <si>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</si>
  <si>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</si>
  <si>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</si>
  <si>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</si>
  <si>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</si>
  <si>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</si>
  <si>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</si>
  <si>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</si>
  <si>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</si>
  <si>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</si>
  <si>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</si>
  <si>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</si>
  <si>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</si>
  <si>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</si>
  <si>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</si>
  <si>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</si>
  <si>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</si>
  <si>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</si>
  <si>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</si>
  <si>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</si>
  <si>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</si>
  <si>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</si>
  <si>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</si>
  <si>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</si>
  <si>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</si>
  <si>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</si>
  <si>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</si>
  <si>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</si>
  <si>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</si>
  <si>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</si>
  <si>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</si>
  <si>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</si>
  <si>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</si>
  <si>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</si>
  <si>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</si>
  <si>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</si>
  <si>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</si>
  <si>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</si>
  <si>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</si>
  <si>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</si>
  <si>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</si>
  <si>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</si>
  <si>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</si>
  <si>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</si>
  <si>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</si>
  <si>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</si>
  <si>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</si>
  <si>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</si>
  <si>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</si>
  <si>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</si>
  <si>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</si>
  <si>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</si>
  <si>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</si>
  <si>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</si>
  <si>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</si>
  <si>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</si>
  <si>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</si>
  <si>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</si>
  <si>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</si>
  <si>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</si>
  <si>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</si>
  <si>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</si>
  <si>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</si>
  <si>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</si>
  <si>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</si>
  <si>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</si>
  <si>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</si>
  <si>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</si>
  <si>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</si>
  <si>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</si>
  <si>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</si>
  <si>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</si>
  <si>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</si>
  <si>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</si>
  <si>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</si>
  <si>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</si>
  <si>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</si>
  <si>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</si>
  <si>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</si>
  <si>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</si>
  <si>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</si>
  <si>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</si>
  <si>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</si>
  <si>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</si>
  <si>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</si>
  <si>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</si>
  <si>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</si>
  <si>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</si>
  <si>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</si>
  <si>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</si>
  <si>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</si>
  <si>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</si>
  <si>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</si>
  <si>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</si>
  <si>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</si>
  <si>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</si>
  <si>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</si>
  <si>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</si>
  <si>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</si>
  <si>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</si>
  <si>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</si>
  <si>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</si>
  <si>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</si>
  <si>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</si>
  <si>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</si>
  <si>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</si>
  <si>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</si>
  <si>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</si>
  <si>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</si>
  <si>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</si>
  <si>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</si>
  <si>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</si>
  <si>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</si>
  <si>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</si>
  <si>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</si>
  <si>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</si>
  <si>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</si>
  <si>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</si>
  <si>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</si>
  <si>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</si>
  <si>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</si>
  <si>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</si>
  <si>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</si>
  <si>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</si>
  <si>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</si>
  <si>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</si>
  <si>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</si>
  <si>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</si>
  <si>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</si>
  <si>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</si>
  <si>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</si>
  <si>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</si>
  <si>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</si>
  <si>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</si>
  <si>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</si>
  <si>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</si>
  <si>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</si>
  <si>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</si>
  <si>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</si>
  <si>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</si>
  <si>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</si>
  <si>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</si>
  <si>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</si>
  <si>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</si>
  <si>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</si>
  <si>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</si>
  <si>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</si>
  <si>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</si>
  <si>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</si>
  <si>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</si>
  <si>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</si>
  <si>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</si>
  <si>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</si>
  <si>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</si>
  <si>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</si>
  <si>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</si>
  <si>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</si>
  <si>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</si>
  <si>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</si>
  <si>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</si>
  <si>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</si>
  <si>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</si>
  <si>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</si>
  <si>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</si>
  <si>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</si>
  <si>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</si>
  <si>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</si>
  <si>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</si>
  <si>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</si>
  <si>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</si>
  <si>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</si>
  <si>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</si>
  <si>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</si>
  <si>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</si>
  <si>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</si>
  <si>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</si>
  <si>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</si>
  <si>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</si>
  <si>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</si>
  <si>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</si>
  <si>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</si>
  <si>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</si>
  <si>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</si>
  <si>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</si>
  <si>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</si>
  <si>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</si>
  <si>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</si>
  <si>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</si>
  <si>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</si>
  <si>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</si>
  <si>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</si>
  <si>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</si>
  <si>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</si>
  <si>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</si>
  <si>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</si>
  <si>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</si>
  <si>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</si>
  <si>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</si>
  <si>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</si>
  <si>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</si>
  <si>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</si>
  <si>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</si>
  <si>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</si>
  <si>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</si>
  <si>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</si>
  <si>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</si>
  <si>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</si>
  <si>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</si>
  <si>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</si>
  <si>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</si>
  <si>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</si>
  <si>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</si>
  <si>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</si>
  <si>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</si>
  <si>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</si>
  <si>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</si>
  <si>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</si>
  <si>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</si>
  <si>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</si>
  <si>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</si>
  <si>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</si>
  <si>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</si>
  <si>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</si>
  <si>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</si>
  <si>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</si>
  <si>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</si>
  <si>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</si>
  <si>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</si>
  <si>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</si>
  <si>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</si>
  <si>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</si>
  <si>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</si>
  <si>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</si>
  <si>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</si>
  <si>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</si>
  <si>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</si>
  <si>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</si>
  <si>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</si>
  <si>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</si>
  <si>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</si>
  <si>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</si>
  <si>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</si>
  <si>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</si>
  <si>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</si>
  <si>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</si>
  <si>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</si>
  <si>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</si>
  <si>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</si>
  <si>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</si>
  <si>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</si>
  <si>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</si>
  <si>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</si>
  <si>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</si>
  <si>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</si>
  <si>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</si>
  <si>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</si>
  <si>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</si>
  <si>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</si>
  <si>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</si>
  <si>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</si>
  <si>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</si>
  <si>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</si>
  <si>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</si>
  <si>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</si>
  <si>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</si>
  <si>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</si>
  <si>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</si>
  <si>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</si>
  <si>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</si>
  <si>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</si>
  <si>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</si>
  <si>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</si>
  <si>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</si>
  <si>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</si>
  <si>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</si>
  <si>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</si>
  <si>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</si>
  <si>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</si>
  <si>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</si>
  <si>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</si>
  <si>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</si>
  <si>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</si>
  <si>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</si>
  <si>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</si>
  <si>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</si>
  <si>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</si>
  <si>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</si>
  <si>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</si>
  <si>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</si>
  <si>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</si>
  <si>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</si>
  <si>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</si>
  <si>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</si>
  <si>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</si>
  <si>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</si>
  <si>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</si>
  <si>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</si>
  <si>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</si>
  <si>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</si>
  <si>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</si>
  <si>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</si>
  <si>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</si>
  <si>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</si>
  <si>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</si>
  <si>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</si>
  <si>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</si>
  <si>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</si>
  <si>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</si>
  <si>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</si>
  <si>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</si>
  <si>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</si>
  <si>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</si>
  <si>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</si>
  <si>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</si>
  <si>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</si>
  <si>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</si>
  <si>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</si>
  <si>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</si>
  <si>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</si>
  <si>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</si>
  <si>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</si>
  <si>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</si>
  <si>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</si>
  <si>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</si>
  <si>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</si>
  <si>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</si>
  <si>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</si>
  <si>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</si>
  <si>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</si>
  <si>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</si>
  <si>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</si>
  <si>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</si>
  <si>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</si>
  <si>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</si>
  <si>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</si>
  <si>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</si>
  <si>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</si>
  <si>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</si>
  <si>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</si>
  <si>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</si>
  <si>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</si>
  <si>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</si>
  <si>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</si>
  <si>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</si>
  <si>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</si>
  <si>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</si>
  <si>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</si>
  <si>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</si>
  <si>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</si>
  <si>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</si>
  <si>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</si>
  <si>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</si>
  <si>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</si>
  <si>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</si>
  <si>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</si>
  <si>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</si>
  <si>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</si>
  <si>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</si>
  <si>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</si>
  <si>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</si>
  <si>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</si>
  <si>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</si>
  <si>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</si>
  <si>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</si>
  <si>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</si>
  <si>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</si>
  <si>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</si>
  <si>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</si>
  <si>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</si>
  <si>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</si>
  <si>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</si>
  <si>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</si>
  <si>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</si>
  <si>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</si>
  <si>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</si>
  <si>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</si>
  <si>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</si>
  <si>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</si>
  <si>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</si>
  <si>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</si>
  <si>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</si>
  <si>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</si>
  <si>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</si>
  <si>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</si>
  <si>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</si>
  <si>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</si>
  <si>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</si>
  <si>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</si>
  <si>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</si>
  <si>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</si>
  <si>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</si>
  <si>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</si>
  <si>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</si>
  <si>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</si>
  <si>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</si>
  <si>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</si>
  <si>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</si>
  <si>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</si>
  <si>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</si>
  <si>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</si>
  <si>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</si>
  <si>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</si>
  <si>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</si>
  <si>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</si>
  <si>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</si>
  <si>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</si>
  <si>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</si>
  <si>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</si>
  <si>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</si>
  <si>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</si>
  <si>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</si>
  <si>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</si>
  <si>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</si>
  <si>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</si>
  <si>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</si>
  <si>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</si>
  <si>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</si>
  <si>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</si>
  <si>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</si>
  <si>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</si>
  <si>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</si>
  <si>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</si>
  <si>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</si>
  <si>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</si>
  <si>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</si>
  <si>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</si>
  <si>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</si>
  <si>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</si>
  <si>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</si>
  <si>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</si>
  <si>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</si>
  <si>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</si>
  <si>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</si>
  <si>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</si>
  <si>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</si>
  <si>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</si>
  <si>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</si>
  <si>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</si>
  <si>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</si>
  <si>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</si>
  <si>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</si>
  <si>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</si>
  <si>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</si>
  <si>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</si>
  <si>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</si>
  <si>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</si>
  <si>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</si>
  <si>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</si>
  <si>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</si>
  <si>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</si>
  <si>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</si>
  <si>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</si>
  <si>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</si>
  <si>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</si>
  <si>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</si>
  <si>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</si>
  <si>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</si>
  <si>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</si>
  <si>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</si>
  <si>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</si>
  <si>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</si>
  <si>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</si>
  <si>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</si>
  <si>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</si>
  <si>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</si>
  <si>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</si>
  <si>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</si>
  <si>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</si>
  <si>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</si>
  <si>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</si>
  <si>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</si>
  <si>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</si>
  <si>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</si>
  <si>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</si>
  <si>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</si>
  <si>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</si>
  <si>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</si>
  <si>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</si>
  <si>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</si>
  <si>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</si>
  <si>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</si>
  <si>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</si>
  <si>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</si>
  <si>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</si>
  <si>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</si>
  <si>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</si>
  <si>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</si>
  <si>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</si>
  <si>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</si>
  <si>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</si>
  <si>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</si>
  <si>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</si>
  <si>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</si>
  <si>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</si>
  <si>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</si>
  <si>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</si>
  <si>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</si>
  <si>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</si>
  <si>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</si>
  <si>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</si>
  <si>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</si>
  <si>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</si>
  <si>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</si>
  <si>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</si>
  <si>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</si>
  <si>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</si>
  <si>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</si>
  <si>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</si>
  <si>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</si>
  <si>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</si>
  <si>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</si>
  <si>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</si>
  <si>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</si>
  <si>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</si>
  <si>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</si>
  <si>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</si>
  <si>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</si>
  <si>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</si>
  <si>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</si>
  <si>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</si>
  <si>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</si>
  <si>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</si>
  <si>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</si>
  <si>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</si>
  <si>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</si>
  <si>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</si>
  <si>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</si>
  <si>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</si>
  <si>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</si>
  <si>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</si>
  <si>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</si>
  <si>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</si>
  <si>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</si>
  <si>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</si>
  <si>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</si>
  <si>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</si>
  <si>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</si>
  <si>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</si>
  <si>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</si>
  <si>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</si>
  <si>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</si>
  <si>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</si>
  <si>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</si>
  <si>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</si>
  <si>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</si>
  <si>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</si>
  <si>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</si>
  <si>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</si>
  <si>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</si>
  <si>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</si>
  <si>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</si>
  <si>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</si>
  <si>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</si>
  <si>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</si>
  <si>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</si>
  <si>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</si>
  <si>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</si>
  <si>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</si>
  <si>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</si>
  <si>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</si>
  <si>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</si>
  <si>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</si>
  <si>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</si>
  <si>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</si>
  <si>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</si>
  <si>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</si>
  <si>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</si>
  <si>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</si>
  <si>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</si>
  <si>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</si>
  <si>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</si>
  <si>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</si>
  <si>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</si>
  <si>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</si>
  <si>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</si>
  <si>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</si>
  <si>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</si>
  <si>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</si>
  <si>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</si>
  <si>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</si>
  <si>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</si>
  <si>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</si>
  <si>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</si>
  <si>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</si>
  <si>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</si>
  <si>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</si>
  <si>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</si>
  <si>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</si>
  <si>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</si>
  <si>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</si>
  <si>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</si>
  <si>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</si>
  <si>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</si>
  <si>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</si>
  <si>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</si>
  <si>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</si>
  <si>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</si>
  <si>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</si>
  <si>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</si>
  <si>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</si>
  <si>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</si>
  <si>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</si>
  <si>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</si>
  <si>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</si>
  <si>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</si>
  <si>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</si>
  <si>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</si>
  <si>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</si>
  <si>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</si>
  <si>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</si>
  <si>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</si>
  <si>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</si>
  <si>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</si>
  <si>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</si>
  <si>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</si>
  <si>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</si>
  <si>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</si>
  <si>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</si>
  <si>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</si>
  <si>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</si>
  <si>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</si>
  <si>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</si>
  <si>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</si>
  <si>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</si>
  <si>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</si>
  <si>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</si>
  <si>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</si>
  <si>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</si>
  <si>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</si>
  <si>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</si>
  <si>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</si>
  <si>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</si>
  <si>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</si>
  <si>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</si>
  <si>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</si>
  <si>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</si>
  <si>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</si>
  <si>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</si>
  <si>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</si>
  <si>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</si>
  <si>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</si>
  <si>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</si>
  <si>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</si>
  <si>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</si>
  <si>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</si>
  <si>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</si>
  <si>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</si>
  <si>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</si>
  <si>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</si>
  <si>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</si>
  <si>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</si>
  <si>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</si>
  <si>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</si>
  <si>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</si>
  <si>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</si>
  <si>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</si>
  <si>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</si>
  <si>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</si>
  <si>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</si>
  <si>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</si>
  <si>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</si>
  <si>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</si>
  <si>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</si>
  <si>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</si>
  <si>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</si>
  <si>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</si>
  <si>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</si>
  <si>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</si>
  <si>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</si>
  <si>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</si>
  <si>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</si>
  <si>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</si>
  <si>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</si>
  <si>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</si>
  <si>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</si>
  <si>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</si>
  <si>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</si>
  <si>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</si>
  <si>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</si>
  <si>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</si>
  <si>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</si>
  <si>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</si>
  <si>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</si>
  <si>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</si>
  <si>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</si>
  <si>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</si>
  <si>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</si>
  <si>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</si>
  <si>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</si>
  <si>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</si>
  <si>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</si>
  <si>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</si>
  <si>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</si>
  <si>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</si>
  <si>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</si>
  <si>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</si>
  <si>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</si>
  <si>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</si>
  <si>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</si>
  <si>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</si>
  <si>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</si>
  <si>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</si>
  <si>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</si>
  <si>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</si>
  <si>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</si>
  <si>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</si>
  <si>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</si>
  <si>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</si>
  <si>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</si>
  <si>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</si>
  <si>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</si>
  <si>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</si>
  <si>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</si>
  <si>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</si>
  <si>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</si>
  <si>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</si>
  <si>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</si>
  <si>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</si>
  <si>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</si>
  <si>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</si>
  <si>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</si>
  <si>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</si>
  <si>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</si>
  <si>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</si>
  <si>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</si>
  <si>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</si>
  <si>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</si>
  <si>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</si>
  <si>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</si>
  <si>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</si>
  <si>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</si>
  <si>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</si>
  <si>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</si>
  <si>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</si>
  <si>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</si>
  <si>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</si>
  <si>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</si>
  <si>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</si>
  <si>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</si>
  <si>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</si>
  <si>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</si>
  <si>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</si>
  <si>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</si>
  <si>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</si>
  <si>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</si>
  <si>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</si>
  <si>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</si>
  <si>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</si>
  <si>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</si>
  <si>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</si>
  <si>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</si>
  <si>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</si>
  <si>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</si>
  <si>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</si>
  <si>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</si>
  <si>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</si>
  <si>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</si>
  <si>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</si>
  <si>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</si>
  <si>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</si>
  <si>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</si>
  <si>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</si>
  <si>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</si>
  <si>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</si>
  <si>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</si>
  <si>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</si>
  <si>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</si>
  <si>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</si>
  <si>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</si>
  <si>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</si>
  <si>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</si>
  <si>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</si>
  <si>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</si>
  <si>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</si>
  <si>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</si>
  <si>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</si>
  <si>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</si>
  <si>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</si>
  <si>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</si>
  <si>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</si>
  <si>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</si>
  <si>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</si>
  <si>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</si>
  <si>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</si>
  <si>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</si>
  <si>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</si>
  <si>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</si>
  <si>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</si>
  <si>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</si>
  <si>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</si>
  <si>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</si>
  <si>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</si>
  <si>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</si>
  <si>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</si>
  <si>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</si>
  <si>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</si>
  <si>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</si>
  <si>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</si>
  <si>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</si>
  <si>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</si>
  <si>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</si>
  <si>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</si>
  <si>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</si>
  <si>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</si>
  <si>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</si>
  <si>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</si>
  <si>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</si>
  <si>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</si>
  <si>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</si>
  <si>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</si>
  <si>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</si>
  <si>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</si>
  <si>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</si>
  <si>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</si>
  <si>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</si>
  <si>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</si>
  <si>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</si>
  <si>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</si>
  <si>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</si>
  <si>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</si>
  <si>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</si>
  <si>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</si>
  <si>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</si>
  <si>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</si>
  <si>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</si>
  <si>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</si>
  <si>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</si>
  <si>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</si>
  <si>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</si>
  <si>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</si>
  <si>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</si>
  <si>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</si>
  <si>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</si>
  <si>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</si>
  <si>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</si>
  <si>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</si>
  <si>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</si>
  <si>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</si>
  <si>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</si>
  <si>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</si>
  <si>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</si>
  <si>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</si>
  <si>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</si>
  <si>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</si>
  <si>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</si>
  <si>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</si>
  <si>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</si>
  <si>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</si>
  <si>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</si>
  <si>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</si>
  <si>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</si>
  <si>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</si>
  <si>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</si>
  <si>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</si>
  <si>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</si>
  <si>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</si>
  <si>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</si>
  <si>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</si>
  <si>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</si>
  <si>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</si>
  <si>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</si>
  <si>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</si>
  <si>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</si>
  <si>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</si>
  <si>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</si>
  <si>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</si>
  <si>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</si>
  <si>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</si>
  <si>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</si>
  <si>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</si>
  <si>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</si>
  <si>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</si>
  <si>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</si>
  <si>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</si>
  <si>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</si>
  <si>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</si>
  <si>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</si>
  <si>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</si>
  <si>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</si>
  <si>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</si>
  <si>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</si>
  <si>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</si>
  <si>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</si>
  <si>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</si>
  <si>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</si>
  <si>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</si>
  <si>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</si>
  <si>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</si>
  <si>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</si>
  <si>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</si>
  <si>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</si>
  <si>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</si>
  <si>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</si>
  <si>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</si>
  <si>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</si>
  <si>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</si>
  <si>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</si>
  <si>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</si>
  <si>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</si>
  <si>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</si>
  <si>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</si>
  <si>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</si>
  <si>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</si>
  <si>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</si>
  <si>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</si>
  <si>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</si>
  <si>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</si>
  <si>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</si>
  <si>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</si>
  <si>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</si>
  <si>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</si>
  <si>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</si>
  <si>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</si>
  <si>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</si>
  <si>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</si>
  <si>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</si>
  <si>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</si>
  <si>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</si>
  <si>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</si>
  <si>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</si>
  <si>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</si>
  <si>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</si>
  <si>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</si>
  <si>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</si>
  <si>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</si>
  <si>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</si>
  <si>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</si>
  <si>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</si>
  <si>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</si>
  <si>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</si>
  <si>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</si>
  <si>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</si>
  <si>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</si>
  <si>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</si>
  <si>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</si>
  <si>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</si>
  <si>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</si>
  <si>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</si>
  <si>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</si>
  <si>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</si>
  <si>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</si>
  <si>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</si>
  <si>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</si>
  <si>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</si>
  <si>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</si>
  <si>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</si>
  <si>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</si>
  <si>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</si>
  <si>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</si>
  <si>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</si>
  <si>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</si>
  <si>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</si>
  <si>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</si>
  <si>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</si>
  <si>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</si>
  <si>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</si>
  <si>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</si>
  <si>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</si>
  <si>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</si>
  <si>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</si>
  <si>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</si>
  <si>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</si>
  <si>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</si>
  <si>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</si>
  <si>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</si>
  <si>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</si>
  <si>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</si>
  <si>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</si>
  <si>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</si>
  <si>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</si>
  <si>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</si>
  <si>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</si>
  <si>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</si>
  <si>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</si>
  <si>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</si>
  <si>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</si>
  <si>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</si>
  <si>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</si>
  <si>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</si>
  <si>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</si>
  <si>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</si>
  <si>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</si>
  <si>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</si>
  <si>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</si>
  <si>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</si>
  <si>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</si>
  <si>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</si>
  <si>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</si>
  <si>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</si>
  <si>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</si>
  <si>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</si>
  <si>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</si>
  <si>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</si>
  <si>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</si>
  <si>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</si>
  <si>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</si>
  <si>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</si>
  <si>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</si>
  <si>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</si>
  <si>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</si>
  <si>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</si>
  <si>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</si>
  <si>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</si>
  <si>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</si>
  <si>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</si>
  <si>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</si>
  <si>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</si>
  <si>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</si>
  <si>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</si>
  <si>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</si>
  <si>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</si>
  <si>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</si>
  <si>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</si>
  <si>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</si>
  <si>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</si>
  <si>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</si>
  <si>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</si>
  <si>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</si>
  <si>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</si>
  <si>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</si>
  <si>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</si>
  <si>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</si>
  <si>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</si>
  <si>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</si>
  <si>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</si>
  <si>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</si>
  <si>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</si>
  <si>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</si>
  <si>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</si>
  <si>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</si>
  <si>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</si>
  <si>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</si>
  <si>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</si>
  <si>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</si>
  <si>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</si>
  <si>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</si>
  <si>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</si>
  <si>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</si>
  <si>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</si>
  <si>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</si>
  <si>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</si>
  <si>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</si>
  <si>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</si>
  <si>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</si>
  <si>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</si>
  <si>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</si>
  <si>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</si>
  <si>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</si>
  <si>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</si>
  <si>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</si>
  <si>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</si>
  <si>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</si>
  <si>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</si>
  <si>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</si>
  <si>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</si>
  <si>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</si>
  <si>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</si>
  <si>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</si>
  <si>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</si>
  <si>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</si>
  <si>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</si>
  <si>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</si>
  <si>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</si>
  <si>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</si>
  <si>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</si>
  <si>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</si>
  <si>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</si>
  <si>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</si>
  <si>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土地（套用方法）</t>
  </si>
  <si>
    <t>售价</t>
  </si>
  <si>
    <t>公园壹号</t>
    <phoneticPr fontId="3" type="noConversion"/>
  </si>
  <si>
    <t>正常</t>
  </si>
  <si>
    <t>住宅</t>
    <phoneticPr fontId="21" type="noConversion"/>
  </si>
  <si>
    <t>其他：</t>
  </si>
  <si>
    <t>企业</t>
  </si>
  <si>
    <t>商业</t>
  </si>
  <si>
    <t>住宅</t>
    <phoneticPr fontId="3" type="noConversion"/>
  </si>
  <si>
    <t>商业</t>
    <phoneticPr fontId="3" type="noConversion"/>
  </si>
  <si>
    <t>地上</t>
  </si>
  <si>
    <t>普通住宅</t>
  </si>
  <si>
    <t>底商</t>
  </si>
  <si>
    <t>60-70（含）</t>
  </si>
  <si>
    <t>一般</t>
  </si>
  <si>
    <t>精装</t>
  </si>
  <si>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</si>
  <si>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</si>
  <si>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</si>
  <si>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</si>
  <si>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</si>
  <si>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</si>
  <si>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</si>
  <si>
    <t>六通</t>
    <phoneticPr fontId="21" type="noConversion"/>
  </si>
  <si>
    <t>五通</t>
  </si>
  <si>
    <t>五通</t>
    <phoneticPr fontId="21" type="noConversion"/>
  </si>
  <si>
    <t>较好</t>
  </si>
  <si>
    <t>中梁御府</t>
    <phoneticPr fontId="3" type="noConversion"/>
  </si>
  <si>
    <t>君悦阳光城</t>
    <phoneticPr fontId="3" type="noConversion"/>
  </si>
  <si>
    <t>君越阳光城</t>
    <phoneticPr fontId="3" type="noConversion"/>
  </si>
  <si>
    <t>商业</t>
    <phoneticPr fontId="26" type="noConversion"/>
  </si>
  <si>
    <t>30-40（含）</t>
  </si>
  <si>
    <t>奥园广场</t>
    <phoneticPr fontId="3" type="noConversion"/>
  </si>
  <si>
    <t>长兴湖壹号</t>
    <phoneticPr fontId="3" type="noConversion"/>
  </si>
  <si>
    <t>可餐饮</t>
    <phoneticPr fontId="26" type="noConversion"/>
  </si>
  <si>
    <t>不可餐饮</t>
  </si>
  <si>
    <t>不可餐饮</t>
    <phoneticPr fontId="26" type="noConversion"/>
  </si>
  <si>
    <t>标准层高</t>
  </si>
  <si>
    <t>标准层高</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</si>
  <si>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</si>
  <si>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</si>
  <si>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1-2</t>
    </r>
    <r>
      <rPr>
        <sz val="11"/>
        <color indexed="8"/>
        <rFont val="宋体"/>
        <family val="3"/>
        <charset val="134"/>
      </rPr>
      <t>层</t>
    </r>
    <phoneticPr fontId="26" type="noConversion"/>
  </si>
  <si>
    <t>独栋商业</t>
    <phoneticPr fontId="26" type="noConversion"/>
  </si>
  <si>
    <t>临街商铺</t>
  </si>
  <si>
    <t>临街商铺</t>
    <phoneticPr fontId="26" type="noConversion"/>
  </si>
  <si>
    <t>住宅底商</t>
    <phoneticPr fontId="26" type="noConversion"/>
  </si>
  <si>
    <t>办公底商</t>
    <phoneticPr fontId="26" type="noConversion"/>
  </si>
  <si>
    <t>钢混</t>
  </si>
  <si>
    <t>钢混</t>
    <phoneticPr fontId="26" type="noConversion"/>
  </si>
  <si>
    <t>七通</t>
    <phoneticPr fontId="26" type="noConversion"/>
  </si>
  <si>
    <t>六通</t>
    <phoneticPr fontId="26" type="noConversion"/>
  </si>
  <si>
    <t>五通</t>
    <phoneticPr fontId="26" type="noConversion"/>
  </si>
  <si>
    <t>四通</t>
    <phoneticPr fontId="26" type="noConversion"/>
  </si>
  <si>
    <t>1层</t>
  </si>
  <si>
    <t>多面临街</t>
    <phoneticPr fontId="26" type="noConversion"/>
  </si>
  <si>
    <t>双面临街</t>
    <phoneticPr fontId="26" type="noConversion"/>
  </si>
  <si>
    <t>单面临街</t>
  </si>
  <si>
    <t>单面临街</t>
    <phoneticPr fontId="26" type="noConversion"/>
  </si>
  <si>
    <t>不临街</t>
    <phoneticPr fontId="26" type="noConversion"/>
  </si>
  <si>
    <t>土地</t>
  </si>
  <si>
    <t>比较法-住宅、综合</t>
  </si>
  <si>
    <t>剩余法-待开发</t>
  </si>
  <si>
    <t>住宅</t>
    <phoneticPr fontId="26" type="noConversion"/>
  </si>
  <si>
    <t>商住</t>
  </si>
  <si>
    <t>商住</t>
    <phoneticPr fontId="26" type="noConversion"/>
  </si>
  <si>
    <t>70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</si>
  <si>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</si>
  <si>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</si>
  <si>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</si>
  <si>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</si>
  <si>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</si>
  <si>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</si>
  <si>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</si>
  <si>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</si>
  <si>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</si>
  <si>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</si>
  <si>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</si>
  <si>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</si>
  <si>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较好</t>
    <phoneticPr fontId="26"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</si>
  <si>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</si>
  <si>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</si>
  <si>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</si>
  <si>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</si>
  <si>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</si>
  <si>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</si>
  <si>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</si>
  <si>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</si>
  <si>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</si>
  <si>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</si>
  <si>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</si>
  <si>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</si>
  <si>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</si>
  <si>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</si>
  <si>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镇头镇万紫路西侧、规划道路北侧(集镇开发1号地块)</t>
  </si>
  <si>
    <t>长沙市</t>
  </si>
  <si>
    <t>住宅用地</t>
  </si>
  <si>
    <t>＞1.0,≤2.86</t>
  </si>
  <si>
    <t>挂牌</t>
  </si>
  <si>
    <t>2019-09-06</t>
  </si>
  <si>
    <t>陈辉跃*陈兵等7人</t>
  </si>
  <si>
    <t>1星</t>
  </si>
  <si>
    <t>大瑶镇塘冲路北侧(2015年集镇开发三号地块)</t>
  </si>
  <si>
    <t>综合用地(含住宅)</t>
  </si>
  <si>
    <t>＞1.0,≤6.32</t>
  </si>
  <si>
    <t>陈建福</t>
  </si>
  <si>
    <t>2星</t>
  </si>
  <si>
    <t>镇头集镇(原镇头镇农技站地块)</t>
  </si>
  <si>
    <t>＞1.0,≤3.0</t>
  </si>
  <si>
    <t>2019-08-28</t>
  </si>
  <si>
    <t>浏阳市兴家房地产开发有限公司</t>
  </si>
  <si>
    <t>永安镇府前路东侧、北辅路北侧(LZ06—05—01地块)</t>
  </si>
  <si>
    <t>＞1.0,≤2.3</t>
  </si>
  <si>
    <t>周正伟*陈永平*黄先霞</t>
  </si>
  <si>
    <t>永安镇安业路南侧、市场路东侧(LZ06—14—01地块)</t>
  </si>
  <si>
    <t>＞1.0,≤2.4</t>
  </si>
  <si>
    <t>2019-08-08</t>
  </si>
  <si>
    <t>浏阳教建房地产开发有限公司,浏阳市浏永加油站</t>
  </si>
  <si>
    <t>浏阳市西北环线西侧、白塔岭路南侧(新屋岭片区XWL-06-09-02地块)</t>
  </si>
  <si>
    <t>＞1.0,≤2.5</t>
  </si>
  <si>
    <t>2019-07-17</t>
  </si>
  <si>
    <t>湖南安盛置业有限公司</t>
  </si>
  <si>
    <t>浏阳高新区大安路东侧、水山路北侧</t>
  </si>
  <si>
    <t>2019-06-27</t>
  </si>
  <si>
    <t>浏阳鼎盛投资有限公司</t>
  </si>
  <si>
    <t>＞1.0,≤2.8</t>
  </si>
  <si>
    <t>浏阳市城市建设集团有限公司</t>
  </si>
  <si>
    <t>浏阳市平水片区,南泥湾路南侧(PS-04-21地块)</t>
  </si>
  <si>
    <t>＞1.0,≤2.0</t>
  </si>
  <si>
    <t>浏阳市平水片区,集里路南侧(XHS-A-09地块)</t>
  </si>
  <si>
    <t>3星</t>
  </si>
  <si>
    <t>长兴片区,予倩东路南侧,李畋路西侧(CX-0304地块)</t>
  </si>
  <si>
    <t>≥1.0,≤1.2</t>
  </si>
  <si>
    <t>浏阳市水利投资建设有限公司</t>
  </si>
  <si>
    <t>浏阳高新区永和北路西侧、水山路北侧</t>
  </si>
  <si>
    <t>高新区株陵路东侧、督正路北侧(高新区组团东南片区XN02-35-01地块)</t>
  </si>
  <si>
    <t>浏阳市新屋岭片区,白沙路西XWL-03-02-5地块)</t>
  </si>
  <si>
    <t>＞1.0,≤1.8</t>
  </si>
  <si>
    <t>浏阳高新区永明路西侧、水山路南侧</t>
  </si>
  <si>
    <t>阳光路以西,纬二路以南(工业新城礼耕三号A地块)</t>
  </si>
  <si>
    <t>浏阳市工业新城建设开发有限公司</t>
  </si>
  <si>
    <t>浏阳高新区督正路南侧、永和南路西侧</t>
  </si>
  <si>
    <t>浏阳高新区捞刀河南侧、永明路东侧</t>
  </si>
  <si>
    <t>长兴片区,李畋路东侧,锦程大道南侧(CJ07-17地块)</t>
  </si>
  <si>
    <t>≥1.0,≤2.8</t>
  </si>
  <si>
    <t>浏阳高新区永明路东侧、永福路北侧</t>
  </si>
  <si>
    <t>≥1.0,≤2.0</t>
  </si>
  <si>
    <t>阳光路以东,经八路以西,纬二路以北(工业新城水山五号B地块)</t>
  </si>
  <si>
    <t>浏阳高新区永明路西侧、鼎盛路南侧(XB05-08地块)</t>
  </si>
  <si>
    <t>银华路以南,阳光路以西(工业新城水山三号B地块)</t>
  </si>
  <si>
    <t>＞1.0,≤2.2</t>
  </si>
  <si>
    <t>浏阳市平水片区,禧和路西侧(PS-04-14-01地块)</t>
  </si>
  <si>
    <t>银华路以南,经八路以西(工业新城水山五号A地块)</t>
  </si>
  <si>
    <t>浏阳市杉松、金桥片区,禧和路西侧(SJ-0414地块)</t>
  </si>
  <si>
    <t>＞1.0,≤3.5</t>
  </si>
  <si>
    <t>浏阳高新区新河南路东侧、建新中路北侧</t>
  </si>
  <si>
    <t>长兴片区,长兴湖东侧,李畋路西侧(CX-0309-03地块)</t>
  </si>
  <si>
    <t>浏阳市新屋岭片区,禧和路西侧(XWL-05-08-2地块)</t>
  </si>
  <si>
    <t>浏阳高新区芦塘路南,株陵路东(XN02-35地块)</t>
  </si>
  <si>
    <t>浏阳高新区永明路东,永福路北(XB05-19-1地块)</t>
  </si>
  <si>
    <t>浏阳高新区捞刀河路南,大安路东(XB02-01-1-03地块)</t>
  </si>
  <si>
    <t>经八路以西,纬二路以南(工业新城礼耕三号B地块)</t>
  </si>
  <si>
    <t>浏阳高新区株陵河西侧、永新路南侧</t>
  </si>
  <si>
    <t>浏阳高新区永和南路西侧、芦塘路南侧</t>
  </si>
  <si>
    <t>银华路以北,长兴路两侧(工业新城水山四号B-1地块)</t>
  </si>
  <si>
    <t>浏阳高新区捞刀河南侧、大安路西侧</t>
  </si>
  <si>
    <t>浏阳市平水片区,禧和路东侧侧(PS-04-17-01地块)</t>
  </si>
  <si>
    <t>＞1.0,≤2.6</t>
  </si>
  <si>
    <t>纬三路以南,阳光路以西(工业新城水山三号A-2地块)</t>
  </si>
  <si>
    <t>浏阳市新屋岭片区,白沙路西侧(XWL-03-02-4地块)</t>
  </si>
  <si>
    <t>银华路以北,阳光路以东(工业新城水山四号A地块)</t>
  </si>
  <si>
    <t>浏阳市经八路以东、三一九北铺道以北(工业新城礼耕四号B地块)</t>
  </si>
  <si>
    <t>≥1.0,≤2.2</t>
  </si>
  <si>
    <t>2019-06-21</t>
  </si>
  <si>
    <t>浏阳工业新城建设开发有限公司</t>
  </si>
  <si>
    <t>两型大道南侧、食品路西侧(LX07-08-01地块)</t>
  </si>
  <si>
    <t>浏阳市经八路以东、纬一路以南、长兴路以西(工业新城礼耕四号A地块)</t>
  </si>
  <si>
    <t>永安镇安平路北侧、安云路东侧(永安镇镇区LZ02-06地块)</t>
  </si>
  <si>
    <t>2019-06-05</t>
  </si>
  <si>
    <t>湖南昆仑置业有限公司</t>
  </si>
  <si>
    <t>永安镇安平路南侧、安云路东侧(LZ02—14—01地块)</t>
  </si>
  <si>
    <t>长沙扬帆房地产开发有限公司</t>
  </si>
  <si>
    <t>大瑶镇塘冲路北侧(2015年集镇开发四号地块)</t>
  </si>
  <si>
    <t>2019-05-23</t>
  </si>
  <si>
    <t>王承义</t>
  </si>
  <si>
    <t>永安镇新河路西侧、滨河路南侧(永安镇镇区LZ01-14地块)</t>
  </si>
  <si>
    <t>2019-05-21</t>
  </si>
  <si>
    <t>土地面积</t>
    <phoneticPr fontId="228" type="noConversion"/>
  </si>
  <si>
    <t>容积率</t>
    <phoneticPr fontId="228" type="noConversion"/>
  </si>
  <si>
    <t>计容建筑面积</t>
    <phoneticPr fontId="228" type="noConversion"/>
  </si>
  <si>
    <t>楼面地价</t>
  </si>
  <si>
    <t>钢混</t>
    <phoneticPr fontId="21"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</si>
  <si>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</si>
  <si>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</si>
  <si>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</si>
  <si>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</si>
  <si>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</si>
  <si>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工程进度</t>
  </si>
  <si>
    <t>毗邻道路等级</t>
    <phoneticPr fontId="3" type="noConversion"/>
  </si>
  <si>
    <t>城市主干道</t>
    <phoneticPr fontId="228" type="noConversion"/>
  </si>
  <si>
    <t>城市次干道</t>
  </si>
  <si>
    <t>城市次干道</t>
    <phoneticPr fontId="228" type="noConversion"/>
  </si>
  <si>
    <t>城市支路</t>
  </si>
  <si>
    <t>城市支路</t>
    <phoneticPr fontId="228" type="noConversion"/>
  </si>
  <si>
    <t>修正项3</t>
    <phoneticPr fontId="3" type="noConversion"/>
  </si>
  <si>
    <t>长沙市</t>
    <phoneticPr fontId="228" type="noConversion"/>
  </si>
  <si>
    <t>住宅面积</t>
    <phoneticPr fontId="228" type="noConversion"/>
  </si>
  <si>
    <t>商业面积</t>
    <phoneticPr fontId="228" type="noConversion"/>
  </si>
  <si>
    <t>楼面价</t>
    <phoneticPr fontId="228" type="noConversion"/>
  </si>
  <si>
    <t>地面价</t>
    <phoneticPr fontId="228" type="noConversion"/>
  </si>
  <si>
    <r>
      <rPr>
        <sz val="10"/>
        <rFont val="宋体"/>
        <family val="3"/>
        <charset val="134"/>
      </rPr>
      <t>浏阳市新屋岭片区</t>
    </r>
    <r>
      <rPr>
        <sz val="10"/>
        <rFont val="Arial"/>
        <family val="2"/>
      </rPr>
      <t>,</t>
    </r>
    <r>
      <rPr>
        <sz val="10"/>
        <rFont val="宋体"/>
        <family val="3"/>
        <charset val="134"/>
      </rPr>
      <t>禧和路西侧</t>
    </r>
    <r>
      <rPr>
        <sz val="10"/>
        <rFont val="Arial"/>
        <family val="2"/>
      </rPr>
      <t>(XWL-05-08-01</t>
    </r>
    <r>
      <rPr>
        <sz val="10"/>
        <rFont val="宋体"/>
        <family val="3"/>
        <charset val="134"/>
      </rPr>
      <t>地块</t>
    </r>
    <r>
      <rPr>
        <sz val="10"/>
        <rFont val="Arial"/>
        <family val="2"/>
      </rPr>
      <t>)</t>
    </r>
    <phoneticPr fontId="228" type="noConversion"/>
  </si>
  <si>
    <r>
      <rPr>
        <sz val="10"/>
        <rFont val="宋体"/>
        <family val="3"/>
        <charset val="134"/>
      </rPr>
      <t>浏阳市杉松、金桥片区</t>
    </r>
    <r>
      <rPr>
        <sz val="10"/>
        <rFont val="Arial"/>
        <family val="2"/>
      </rPr>
      <t>,</t>
    </r>
    <r>
      <rPr>
        <sz val="10"/>
        <rFont val="宋体"/>
        <family val="3"/>
        <charset val="134"/>
      </rPr>
      <t>禧和路西侧</t>
    </r>
    <r>
      <rPr>
        <sz val="10"/>
        <rFont val="Arial"/>
        <family val="2"/>
      </rPr>
      <t>(SJ-0415-1</t>
    </r>
    <r>
      <rPr>
        <sz val="10"/>
        <rFont val="宋体"/>
        <family val="3"/>
        <charset val="134"/>
      </rPr>
      <t>地块</t>
    </r>
    <r>
      <rPr>
        <sz val="10"/>
        <rFont val="Arial"/>
        <family val="2"/>
      </rPr>
      <t>)</t>
    </r>
    <phoneticPr fontId="228" type="noConversion"/>
  </si>
  <si>
    <r>
      <rPr>
        <sz val="10"/>
        <rFont val="宋体"/>
        <family val="3"/>
        <charset val="134"/>
      </rPr>
      <t>长兴片区</t>
    </r>
    <r>
      <rPr>
        <sz val="10"/>
        <rFont val="Arial"/>
        <family val="2"/>
      </rPr>
      <t>,</t>
    </r>
    <r>
      <rPr>
        <sz val="10"/>
        <rFont val="宋体"/>
        <family val="3"/>
        <charset val="134"/>
      </rPr>
      <t>水佳路东侧</t>
    </r>
    <r>
      <rPr>
        <sz val="10"/>
        <rFont val="Arial"/>
        <family val="2"/>
      </rPr>
      <t>,</t>
    </r>
    <r>
      <rPr>
        <sz val="10"/>
        <rFont val="宋体"/>
        <family val="3"/>
        <charset val="134"/>
      </rPr>
      <t>白沙路北侧</t>
    </r>
    <r>
      <rPr>
        <sz val="10"/>
        <rFont val="Arial"/>
        <family val="2"/>
      </rPr>
      <t>(CJ07-24</t>
    </r>
    <r>
      <rPr>
        <sz val="10"/>
        <rFont val="宋体"/>
        <family val="3"/>
        <charset val="134"/>
      </rPr>
      <t>地块</t>
    </r>
    <r>
      <rPr>
        <sz val="10"/>
        <rFont val="Arial"/>
        <family val="2"/>
      </rPr>
      <t>)</t>
    </r>
    <phoneticPr fontId="22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</si>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</sst>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6" fillId="0" borderId="0" xfId="16"/>
    <xf numFmtId="0" fontId="86" fillId="0" borderId="0" xfId="16" applyFont="1"/>
    <xf numFmtId="0" fontId="86" fillId="6" borderId="0" xfId="16" applyFill="1"/>
    <xf numFmtId="178" fontId="71"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86" fillId="0" borderId="0" xfId="16" applyFill="1"/>
    <xf numFmtId="0" fontId="117" fillId="9" borderId="2" xfId="0"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86" fillId="9" borderId="51" xfId="2"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182" fontId="76" fillId="9" borderId="7"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9" fontId="71" fillId="5" borderId="0" xfId="0" applyNumberFormat="1" applyFont="1" applyFill="1" applyAlignment="1" applyProtection="1">
      <alignment vertical="center"/>
      <protection locked="0"/>
    </xf>
    <xf numFmtId="180" fontId="76" fillId="5" borderId="0" xfId="0" applyNumberFormat="1" applyFont="1" applyFill="1" applyAlignment="1" applyProtection="1">
      <alignment horizontal="center" vertical="center"/>
      <protection locked="0"/>
    </xf>
    <xf numFmtId="0" fontId="127" fillId="6" borderId="0" xfId="16" applyFont="1" applyFill="1"/>
    <xf numFmtId="180" fontId="86" fillId="0" borderId="0" xfId="16" applyNumberFormat="1"/>
    <xf numFmtId="180" fontId="86" fillId="6" borderId="0" xfId="16" applyNumberFormat="1" applyFill="1"/>
    <xf numFmtId="180" fontId="86" fillId="0" borderId="0" xfId="16" applyNumberFormat="1" applyFill="1"/>
    <xf numFmtId="0" fontId="86" fillId="0" borderId="0" xfId="16" applyAlignment="1">
      <alignment horizontal="right"/>
    </xf>
    <xf numFmtId="0" fontId="86" fillId="6" borderId="0" xfId="16" applyFill="1" applyAlignment="1">
      <alignment horizontal="right"/>
    </xf>
    <xf numFmtId="0" fontId="86" fillId="0" borderId="0" xfId="16" applyFill="1" applyAlignment="1">
      <alignment horizontal="right"/>
    </xf>
    <xf numFmtId="2" fontId="0" fillId="0" borderId="0" xfId="0" applyNumberForma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3</xdr:row>
      <xdr:rowOff>38100</xdr:rowOff>
    </xdr:from>
    <xdr:to>
      <xdr:col>11</xdr:col>
      <xdr:colOff>551483</xdr:colOff>
      <xdr:row>34</xdr:row>
      <xdr:rowOff>18388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552450"/>
          <a:ext cx="7742858" cy="5295238"/>
        </a:xfrm>
        <a:prstGeom prst="rect">
          <a:avLst/>
        </a:prstGeom>
      </xdr:spPr>
    </xdr:pic>
    <xdr:clientData/>
  </xdr:twoCellAnchor>
  <xdr:twoCellAnchor editAs="oneCell">
    <xdr:from>
      <xdr:col>1</xdr:col>
      <xdr:colOff>0</xdr:colOff>
      <xdr:row>38</xdr:row>
      <xdr:rowOff>0</xdr:rowOff>
    </xdr:from>
    <xdr:to>
      <xdr:col>11</xdr:col>
      <xdr:colOff>56286</xdr:colOff>
      <xdr:row>69</xdr:row>
      <xdr:rowOff>8860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515100"/>
          <a:ext cx="6914286" cy="5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146</xdr:row>
      <xdr:rowOff>152400</xdr:rowOff>
    </xdr:from>
    <xdr:to>
      <xdr:col>5</xdr:col>
      <xdr:colOff>608572</xdr:colOff>
      <xdr:row>194</xdr:row>
      <xdr:rowOff>132381</xdr:rowOff>
    </xdr:to>
    <xdr:pic>
      <xdr:nvPicPr>
        <xdr:cNvPr id="4" name="图片 3"/>
        <xdr:cNvPicPr>
          <a:picLocks noChangeAspect="1"/>
        </xdr:cNvPicPr>
      </xdr:nvPicPr>
      <xdr:blipFill>
        <a:blip xmlns:r="http://schemas.openxmlformats.org/officeDocument/2006/relationships" r:embed="rId1"/>
        <a:stretch>
          <a:fillRect/>
        </a:stretch>
      </xdr:blipFill>
      <xdr:spPr>
        <a:xfrm>
          <a:off x="57150" y="22193250"/>
          <a:ext cx="8228572" cy="7752381"/>
        </a:xfrm>
        <a:prstGeom prst="rect">
          <a:avLst/>
        </a:prstGeom>
      </xdr:spPr>
    </xdr:pic>
    <xdr:clientData/>
  </xdr:twoCellAnchor>
  <xdr:twoCellAnchor editAs="oneCell">
    <xdr:from>
      <xdr:col>5</xdr:col>
      <xdr:colOff>0</xdr:colOff>
      <xdr:row>150</xdr:row>
      <xdr:rowOff>38100</xdr:rowOff>
    </xdr:from>
    <xdr:to>
      <xdr:col>13</xdr:col>
      <xdr:colOff>275414</xdr:colOff>
      <xdr:row>176</xdr:row>
      <xdr:rowOff>9003</xdr:rowOff>
    </xdr:to>
    <xdr:pic>
      <xdr:nvPicPr>
        <xdr:cNvPr id="5" name="图片 4"/>
        <xdr:cNvPicPr>
          <a:picLocks noChangeAspect="1"/>
        </xdr:cNvPicPr>
      </xdr:nvPicPr>
      <xdr:blipFill>
        <a:blip xmlns:r="http://schemas.openxmlformats.org/officeDocument/2006/relationships" r:embed="rId2"/>
        <a:stretch>
          <a:fillRect/>
        </a:stretch>
      </xdr:blipFill>
      <xdr:spPr>
        <a:xfrm>
          <a:off x="7677150" y="22726650"/>
          <a:ext cx="6495239" cy="4180953"/>
        </a:xfrm>
        <a:prstGeom prst="rect">
          <a:avLst/>
        </a:prstGeom>
      </xdr:spPr>
    </xdr:pic>
    <xdr:clientData/>
  </xdr:twoCellAnchor>
  <xdr:twoCellAnchor editAs="oneCell">
    <xdr:from>
      <xdr:col>0</xdr:col>
      <xdr:colOff>0</xdr:colOff>
      <xdr:row>100</xdr:row>
      <xdr:rowOff>85725</xdr:rowOff>
    </xdr:from>
    <xdr:to>
      <xdr:col>5</xdr:col>
      <xdr:colOff>313327</xdr:colOff>
      <xdr:row>148</xdr:row>
      <xdr:rowOff>94278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678025"/>
          <a:ext cx="7990477" cy="7780953"/>
        </a:xfrm>
        <a:prstGeom prst="rect">
          <a:avLst/>
        </a:prstGeom>
      </xdr:spPr>
    </xdr:pic>
    <xdr:clientData/>
  </xdr:twoCellAnchor>
  <xdr:twoCellAnchor editAs="oneCell">
    <xdr:from>
      <xdr:col>4</xdr:col>
      <xdr:colOff>933450</xdr:colOff>
      <xdr:row>106</xdr:row>
      <xdr:rowOff>133350</xdr:rowOff>
    </xdr:from>
    <xdr:to>
      <xdr:col>13</xdr:col>
      <xdr:colOff>180160</xdr:colOff>
      <xdr:row>133</xdr:row>
      <xdr:rowOff>18518</xdr:rowOff>
    </xdr:to>
    <xdr:pic>
      <xdr:nvPicPr>
        <xdr:cNvPr id="7" name="图片 6"/>
        <xdr:cNvPicPr>
          <a:picLocks noChangeAspect="1"/>
        </xdr:cNvPicPr>
      </xdr:nvPicPr>
      <xdr:blipFill>
        <a:blip xmlns:r="http://schemas.openxmlformats.org/officeDocument/2006/relationships" r:embed="rId4"/>
        <a:stretch>
          <a:fillRect/>
        </a:stretch>
      </xdr:blipFill>
      <xdr:spPr>
        <a:xfrm>
          <a:off x="7553325" y="15697200"/>
          <a:ext cx="6523810" cy="4257143"/>
        </a:xfrm>
        <a:prstGeom prst="rect">
          <a:avLst/>
        </a:prstGeom>
      </xdr:spPr>
    </xdr:pic>
    <xdr:clientData/>
  </xdr:twoCellAnchor>
  <xdr:twoCellAnchor editAs="oneCell">
    <xdr:from>
      <xdr:col>0</xdr:col>
      <xdr:colOff>0</xdr:colOff>
      <xdr:row>52</xdr:row>
      <xdr:rowOff>104775</xdr:rowOff>
    </xdr:from>
    <xdr:to>
      <xdr:col>5</xdr:col>
      <xdr:colOff>313327</xdr:colOff>
      <xdr:row>101</xdr:row>
      <xdr:rowOff>56165</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924675"/>
          <a:ext cx="7990477" cy="7885715"/>
        </a:xfrm>
        <a:prstGeom prst="rect">
          <a:avLst/>
        </a:prstGeom>
      </xdr:spPr>
    </xdr:pic>
    <xdr:clientData/>
  </xdr:twoCellAnchor>
  <xdr:twoCellAnchor editAs="oneCell">
    <xdr:from>
      <xdr:col>5</xdr:col>
      <xdr:colOff>419100</xdr:colOff>
      <xdr:row>55</xdr:row>
      <xdr:rowOff>85725</xdr:rowOff>
    </xdr:from>
    <xdr:to>
      <xdr:col>13</xdr:col>
      <xdr:colOff>523085</xdr:colOff>
      <xdr:row>81</xdr:row>
      <xdr:rowOff>9009</xdr:rowOff>
    </xdr:to>
    <xdr:pic>
      <xdr:nvPicPr>
        <xdr:cNvPr id="9" name="图片 8"/>
        <xdr:cNvPicPr>
          <a:picLocks noChangeAspect="1"/>
        </xdr:cNvPicPr>
      </xdr:nvPicPr>
      <xdr:blipFill>
        <a:blip xmlns:r="http://schemas.openxmlformats.org/officeDocument/2006/relationships" r:embed="rId6"/>
        <a:stretch>
          <a:fillRect/>
        </a:stretch>
      </xdr:blipFill>
      <xdr:spPr>
        <a:xfrm>
          <a:off x="8096250" y="7391400"/>
          <a:ext cx="6323810" cy="4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2656</v>
      </c>
      <c r="B1" s="2843" t="s">
        <v>2753</v>
      </c>
    </row>
    <row r="2" spans="1:55" s="2847" customFormat="1" ht="15" thickTop="1">
      <c r="A2" s="2845" t="s">
        <v>2660</v>
      </c>
      <c r="B2" s="2846" t="str">
        <f>'预评函-封皮'!B37</f>
        <v>出让国有建设用地使用权市场价格预评估</v>
      </c>
      <c r="AX2" s="2848"/>
      <c r="AZ2" s="2848"/>
      <c r="BA2" s="2849"/>
      <c r="BC2" s="2849"/>
    </row>
    <row r="3" spans="1:55" s="2850" customFormat="1">
      <c r="A3" s="2829" t="s">
        <v>2661</v>
      </c>
      <c r="B3" s="2832">
        <f>'预评函-封皮'!B40</f>
        <v>0</v>
      </c>
    </row>
    <row r="4" spans="1:55" s="2831" customFormat="1">
      <c r="A4" s="2829" t="s">
        <v>2662</v>
      </c>
      <c r="B4" s="2830" t="str">
        <f>'预评函-封皮'!B46</f>
        <v>土地估价师、土地估价师</v>
      </c>
      <c r="N4" s="2831" t="str">
        <f>'预评函-1'!A28</f>
        <v>——</v>
      </c>
    </row>
    <row r="5" spans="1:55" s="2844" customFormat="1" ht="15" thickBot="1">
      <c r="A5" s="2851" t="s">
        <v>2663</v>
      </c>
      <c r="B5" s="2852" t="str">
        <f>'预评函-封皮'!B49</f>
        <v>康正预评字号</v>
      </c>
    </row>
    <row r="6" spans="1:55" s="2853" customFormat="1" ht="15" thickTop="1">
      <c r="A6" s="2845" t="s">
        <v>2705</v>
      </c>
      <c r="B6" s="2846" t="str">
        <f>'预评函-1'!A4</f>
        <v>受贵公司委托，我公司对出让国有建设用地使用权市场价格进行了预评估。</v>
      </c>
      <c r="AM6" s="2854"/>
    </row>
    <row r="7" spans="1:55" s="2828" customFormat="1">
      <c r="A7" s="2829" t="s">
        <v>2657</v>
      </c>
      <c r="B7" s="2830" t="str">
        <f>'预评函-1'!A6</f>
        <v>估价对象为使用的、位于出让国有建设用地使用权。根据《国有土地使用证》[]，估价对象（分摊）出让国有建设用地使用权面积为45078.46平方米。根据《建设工程规划许可证》[]、《出让合同》[]，估价对象规划建筑面积为126219.52平方米。</v>
      </c>
    </row>
    <row r="8" spans="1:55" s="2828" customFormat="1">
      <c r="A8" s="2829" t="s">
        <v>2658</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2708</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2659</v>
      </c>
      <c r="B10" s="2830" t="str">
        <f>'预评函-1'!A11</f>
        <v>2019年12月16日</v>
      </c>
    </row>
    <row r="11" spans="1:55" s="2828" customFormat="1">
      <c r="A11" s="2829" t="s">
        <v>2665</v>
      </c>
      <c r="B11" s="2830" t="str">
        <f>'预评函-1'!A14</f>
        <v>根据《国有土地使用证》[]，本次评估估价对象证载（地类）用途为。</v>
      </c>
    </row>
    <row r="12" spans="1:55" s="2828" customFormat="1">
      <c r="A12" s="2829" t="s">
        <v>2666</v>
      </c>
      <c r="B12" s="2830" t="str">
        <f>'预评函-1'!A15</f>
        <v>本次评估设定用途即为证载用途。</v>
      </c>
    </row>
    <row r="13" spans="1:55" s="2828" customFormat="1">
      <c r="A13" s="2829" t="s">
        <v>2667</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2668</v>
      </c>
      <c r="B14" s="2830" t="str">
        <f>'预评函-1'!A18</f>
        <v>。本次评估设定土地开发程度为红线外市政基础设施达“七通”、宗地红线内场地平整。</v>
      </c>
    </row>
    <row r="15" spans="1:55" s="2828" customFormat="1">
      <c r="A15" s="2829" t="s">
        <v>2664</v>
      </c>
      <c r="B15" s="2830" t="str">
        <f>'预评函-1'!A20</f>
        <v>根据《国有土地使用证》[]，估价对象（分摊）出让国有建设用地使用权面积为45078.46平方米。根据《建设工程规划许可证》[]、《出让合同》[]，估价对象规划建筑面积为126219.52平方米。</v>
      </c>
    </row>
    <row r="16" spans="1:55" s="2828" customFormat="1">
      <c r="A16" s="2829" t="s">
        <v>2669</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1日、商业2059年7月1日。截至估价期日，出让国有建设用地使用权剩余土地使用年限为。</v>
      </c>
    </row>
    <row r="17" spans="1:48" s="2828" customFormat="1">
      <c r="A17" s="2829" t="s">
        <v>2670</v>
      </c>
      <c r="B17" s="2830" t="str">
        <f>'预评函-1'!A23</f>
        <v>本次评估设定估价对象剩余土地使用年限为。</v>
      </c>
    </row>
    <row r="18" spans="1:48" s="2828" customFormat="1">
      <c r="A18" s="2829" t="s">
        <v>2671</v>
      </c>
      <c r="B18" s="2830" t="str">
        <f>'预评函-1'!A25</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19" spans="1:48" s="2828" customFormat="1">
      <c r="A19" s="2829" t="s">
        <v>2672</v>
      </c>
      <c r="B19" s="2830" t="str">
        <f>'预评函-1'!A26</f>
        <v>——</v>
      </c>
    </row>
    <row r="20" spans="1:48" s="2828" customFormat="1">
      <c r="A20" s="2829" t="s">
        <v>2673</v>
      </c>
      <c r="B20" s="2830" t="str">
        <f>'预评函-1'!A27</f>
        <v>——</v>
      </c>
    </row>
    <row r="21" spans="1:48" s="2844" customFormat="1" ht="15" thickBot="1">
      <c r="A21" s="2851" t="s">
        <v>2674</v>
      </c>
      <c r="B21" s="2852" t="str">
        <f>'预评函-1'!A28</f>
        <v>——</v>
      </c>
    </row>
    <row r="22" spans="1:48" ht="15" thickTop="1">
      <c r="A22" s="2840" t="s">
        <v>2675</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2676</v>
      </c>
      <c r="B23" s="2830" t="str">
        <f>'预评函-2'!K2</f>
        <v>估价期日：2019年12月16日</v>
      </c>
    </row>
    <row r="24" spans="1:48">
      <c r="A24" s="2829" t="s">
        <v>2677</v>
      </c>
      <c r="B24" s="2830" t="str">
        <f>'预评函-2'!R2</f>
        <v>估价期日的国有建设用地使用权性质：出让</v>
      </c>
    </row>
    <row r="25" spans="1:48">
      <c r="A25" s="2829" t="s">
        <v>2733</v>
      </c>
      <c r="B25" s="2830" t="str">
        <f>'预评函-2'!A3</f>
        <v>估价期日土地使用者</v>
      </c>
    </row>
    <row r="26" spans="1:48">
      <c r="A26" s="2829" t="s">
        <v>2709</v>
      </c>
      <c r="B26" s="2830" t="str">
        <f>'预评函-2'!A5</f>
        <v>中信开发</v>
      </c>
    </row>
    <row r="27" spans="1:48">
      <c r="A27" s="2829" t="s">
        <v>2734</v>
      </c>
      <c r="B27" s="2830" t="str">
        <f>'预评函-2'!B3</f>
        <v>宗地编号/不动产单元号</v>
      </c>
    </row>
    <row r="28" spans="1:48">
      <c r="A28" s="2829" t="s">
        <v>2710</v>
      </c>
      <c r="B28" s="2830" t="str">
        <f>'预评函-2'!B5</f>
        <v>11111111111</v>
      </c>
    </row>
    <row r="29" spans="1:48">
      <c r="A29" s="2829" t="s">
        <v>2736</v>
      </c>
      <c r="B29" s="2830">
        <f>'预评函-2'!C5</f>
        <v>22</v>
      </c>
    </row>
    <row r="30" spans="1:48">
      <c r="A30" s="2829" t="s">
        <v>2737</v>
      </c>
      <c r="B30" s="2830" t="str">
        <f>'预评函-2'!D3</f>
        <v>土地使用证编号/不动产权证书编号</v>
      </c>
    </row>
    <row r="31" spans="1:48">
      <c r="A31" s="2829" t="s">
        <v>2711</v>
      </c>
      <c r="B31" s="2830" t="str">
        <f>'预评函-2'!D5</f>
        <v>京国土字第111号</v>
      </c>
    </row>
    <row r="32" spans="1:48">
      <c r="A32" s="2829" t="s">
        <v>2712</v>
      </c>
      <c r="B32" s="2830">
        <f>'预评函-2'!E5</f>
        <v>0</v>
      </c>
      <c r="AV32" s="2834"/>
    </row>
    <row r="33" spans="1:2">
      <c r="A33" s="2829" t="s">
        <v>2713</v>
      </c>
      <c r="B33" s="2830">
        <f>'预评函-2'!F5</f>
        <v>258</v>
      </c>
    </row>
    <row r="34" spans="1:2">
      <c r="A34" s="2829" t="s">
        <v>2714</v>
      </c>
      <c r="B34" s="2830">
        <f>'预评函-2'!G5</f>
        <v>0</v>
      </c>
    </row>
    <row r="35" spans="1:2">
      <c r="A35" s="2829" t="s">
        <v>2715</v>
      </c>
      <c r="B35" s="2830">
        <f>'预评函-2'!H5</f>
        <v>1.5</v>
      </c>
    </row>
    <row r="36" spans="1:2">
      <c r="A36" s="2829" t="s">
        <v>2716</v>
      </c>
      <c r="B36" s="2830">
        <f>'预评函-2'!I5</f>
        <v>1.5</v>
      </c>
    </row>
    <row r="37" spans="1:2">
      <c r="A37" s="2829" t="s">
        <v>2717</v>
      </c>
      <c r="B37" s="2830">
        <f>'预评函-2'!J5</f>
        <v>1.5</v>
      </c>
    </row>
    <row r="38" spans="1:2">
      <c r="A38" s="2829" t="s">
        <v>2718</v>
      </c>
      <c r="B38" s="2830" t="str">
        <f>'预评函-2'!K5</f>
        <v>红线外七通、宗地红线内</v>
      </c>
    </row>
    <row r="39" spans="1:2">
      <c r="A39" s="2829" t="s">
        <v>2719</v>
      </c>
      <c r="B39" s="2830" t="str">
        <f>'预评函-2'!L5</f>
        <v>红线外七通、宗地红线内场地</v>
      </c>
    </row>
    <row r="40" spans="1:2">
      <c r="A40" s="2829" t="s">
        <v>2738</v>
      </c>
      <c r="B40" s="2830" t="str">
        <f>'预评函-2'!M3</f>
        <v>（剩余）土地使用年限/年</v>
      </c>
    </row>
    <row r="41" spans="1:2">
      <c r="A41" s="2829" t="s">
        <v>2720</v>
      </c>
      <c r="B41" s="2830">
        <f>'预评函-2'!M5</f>
        <v>0</v>
      </c>
    </row>
    <row r="42" spans="1:2">
      <c r="A42" s="2829" t="s">
        <v>2739</v>
      </c>
      <c r="B42" s="2830" t="str">
        <f>'预评函-2'!N3</f>
        <v>（分摊）出让国有建设用地使用权面积/㎡</v>
      </c>
    </row>
    <row r="43" spans="1:2">
      <c r="A43" s="2829" t="s">
        <v>2721</v>
      </c>
      <c r="B43" s="2830">
        <f>'预评函-2'!N5</f>
        <v>45078.46</v>
      </c>
    </row>
    <row r="44" spans="1:2">
      <c r="A44" s="2829" t="s">
        <v>2740</v>
      </c>
      <c r="B44" s="2830" t="str">
        <f>'预评函-2'!O3</f>
        <v>规划建筑面积/㎡</v>
      </c>
    </row>
    <row r="45" spans="1:2">
      <c r="A45" s="2829" t="s">
        <v>2722</v>
      </c>
      <c r="B45" s="2830">
        <f>'预评函-2'!O5</f>
        <v>126219.51999999999</v>
      </c>
    </row>
    <row r="46" spans="1:2">
      <c r="A46" s="2829" t="s">
        <v>2723</v>
      </c>
      <c r="B46" s="2830">
        <f ca="1">'预评函-2'!P5</f>
        <v>5019</v>
      </c>
    </row>
    <row r="47" spans="1:2">
      <c r="A47" s="2829" t="s">
        <v>2724</v>
      </c>
      <c r="B47" s="2830">
        <f ca="1">'预评函-2'!Q5</f>
        <v>1792</v>
      </c>
    </row>
    <row r="48" spans="1:2">
      <c r="A48" s="2829" t="s">
        <v>2725</v>
      </c>
      <c r="B48" s="2830">
        <f ca="1">'预评函-2'!R5</f>
        <v>22623</v>
      </c>
    </row>
    <row r="49" spans="1:2">
      <c r="A49" s="2829" t="s">
        <v>2741</v>
      </c>
      <c r="B49" s="2830" t="str">
        <f>'预评函-2'!A6</f>
        <v>——</v>
      </c>
    </row>
    <row r="50" spans="1:2">
      <c r="A50" s="2829" t="s">
        <v>2726</v>
      </c>
      <c r="B50" s="2830" t="str">
        <f>'预评函-2'!R6</f>
        <v>——</v>
      </c>
    </row>
    <row r="51" spans="1:2">
      <c r="A51" s="2829" t="s">
        <v>2742</v>
      </c>
      <c r="B51" s="2830" t="str">
        <f>'预评函-2'!A7</f>
        <v>——</v>
      </c>
    </row>
    <row r="52" spans="1:2">
      <c r="A52" s="2829" t="s">
        <v>2727</v>
      </c>
      <c r="B52" s="2830" t="str">
        <f>'预评函-2'!R7</f>
        <v>——</v>
      </c>
    </row>
    <row r="53" spans="1:2">
      <c r="A53" s="2829" t="s">
        <v>2743</v>
      </c>
      <c r="B53" s="2830" t="str">
        <f>'预评函-2'!A8</f>
        <v>——</v>
      </c>
    </row>
    <row r="54" spans="1:2" s="2844" customFormat="1" ht="15" thickBot="1">
      <c r="A54" s="2851" t="s">
        <v>2728</v>
      </c>
      <c r="B54" s="2852" t="str">
        <f>'预评函-2'!R8</f>
        <v>——</v>
      </c>
    </row>
    <row r="55" spans="1:2" ht="15" thickTop="1">
      <c r="A55" s="2840" t="s">
        <v>2678</v>
      </c>
      <c r="B55" s="2841" t="str">
        <f>'预评函-3'!A2</f>
        <v>1.权利限制：根据估价对象《不动产权证书》原件、《国有土地使用权》复印件，截至估价期日，估价对象抵押权未见登记。未设定租赁等其他他项权利。</v>
      </c>
    </row>
    <row r="56" spans="1:2">
      <c r="A56" s="2829" t="s">
        <v>2679</v>
      </c>
      <c r="B56" s="2830" t="str">
        <f>'预评函-3'!A3</f>
        <v>2.基础设施条件：估价对象实际开发程度为红线外七通、宗地红线内；本次评估设定开发程度为红线外七通、宗地红线内场地。</v>
      </c>
    </row>
    <row r="57" spans="1:2">
      <c r="A57" s="2829" t="s">
        <v>2680</v>
      </c>
      <c r="B57" s="2830" t="str">
        <f>'预评函-3'!A4</f>
        <v>3.估价规划限制条件：详见《建设工程规划许可证》[]、《出让合同》[]。</v>
      </c>
    </row>
    <row r="58" spans="1:2" s="2844" customFormat="1" ht="15" thickBot="1">
      <c r="A58" s="2851" t="s">
        <v>2729</v>
      </c>
      <c r="B58" s="2852" t="str">
        <f>'预评函-3'!A5</f>
        <v>4.影响价格的其他限定条件：无。</v>
      </c>
    </row>
    <row r="59" spans="1:2" ht="15" thickTop="1">
      <c r="A59" s="2840" t="s">
        <v>2681</v>
      </c>
      <c r="B59" s="2841" t="str">
        <f>'预评函-3'!A8</f>
        <v>2.本《评估意见函》仅供金融机构进行内部审核使用，不做其他目的之用。</v>
      </c>
    </row>
    <row r="60" spans="1:2">
      <c r="A60" s="2829" t="s">
        <v>2682</v>
      </c>
      <c r="B60" s="2830" t="str">
        <f>'预评函-3'!A9</f>
        <v>3.抵押双方在办理抵押登记手续时，应使用本公司出具的正式《土地估价报告》，特提请报告使用者注意。</v>
      </c>
    </row>
    <row r="61" spans="1:2">
      <c r="A61" s="2829" t="s">
        <v>2684</v>
      </c>
      <c r="B61" s="2830" t="str">
        <f>'预评函-3'!A10</f>
        <v>4.估价师所知悉的法定优先受偿款情况为：</v>
      </c>
    </row>
    <row r="62" spans="1:2">
      <c r="A62" s="2829" t="s">
        <v>2683</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2685</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2686</v>
      </c>
      <c r="B64" s="2835" t="str">
        <f>'预评函-3'!A13</f>
        <v>（3）。</v>
      </c>
    </row>
    <row r="65" spans="1:2">
      <c r="A65" s="2829" t="s">
        <v>2687</v>
      </c>
      <c r="B65" s="2836" t="str">
        <f>'预评函-3'!A14</f>
        <v>综上，本次评估不存在估价师知悉的法定优先受偿款</v>
      </c>
    </row>
    <row r="66" spans="1:2">
      <c r="A66" s="2829" t="s">
        <v>2688</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2689</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2692</v>
      </c>
      <c r="B68" s="2855">
        <f>'预评函-3'!D30</f>
        <v>42558</v>
      </c>
    </row>
    <row r="69" spans="1:2" ht="15" thickTop="1">
      <c r="A69" s="2840" t="s">
        <v>2690</v>
      </c>
      <c r="B69" s="2841" t="str">
        <f>'预评函-3'!A20</f>
        <v>土地估价师</v>
      </c>
    </row>
    <row r="70" spans="1:2">
      <c r="A70" s="2829" t="s">
        <v>2690</v>
      </c>
      <c r="B70" s="2836">
        <f>'预评函-3'!B20</f>
        <v>0</v>
      </c>
    </row>
    <row r="71" spans="1:2">
      <c r="A71" s="2829" t="s">
        <v>2691</v>
      </c>
      <c r="B71" s="2830" t="str">
        <f>'预评函-3'!A21</f>
        <v>土地估价师</v>
      </c>
    </row>
    <row r="72" spans="1:2" s="2844" customFormat="1" ht="15" thickBot="1">
      <c r="A72" s="2851" t="s">
        <v>2691</v>
      </c>
      <c r="B72" s="2857">
        <f>'预评函-3'!B21</f>
        <v>0</v>
      </c>
    </row>
    <row r="73" spans="1:2" ht="15" thickTop="1">
      <c r="A73" s="2840" t="s">
        <v>2750</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2751</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2752</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2787</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E34" sqref="E34"/>
    </sheetView>
  </sheetViews>
  <sheetFormatPr defaultColWidth="10" defaultRowHeight="14.25"/>
  <cols>
    <col min="1" max="1" width="15.375" style="1671" customWidth="1"/>
    <col min="2" max="2" width="11.375" style="1671" customWidth="1"/>
    <col min="3" max="3" width="12.625" style="1671" customWidth="1"/>
    <col min="4" max="4" width="12"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47" t="str">
        <f>IF(B10="北京市","北京市",C10)&amp;F10&amp;B16&amp;"国有建设用地使用权"&amp;B9&amp;"预评估"</f>
        <v>出让国有建设用地使用权市场价格预评估</v>
      </c>
      <c r="C1" s="3248"/>
      <c r="D1" s="3248"/>
      <c r="E1" s="3248"/>
      <c r="F1" s="3248"/>
      <c r="G1" s="3248"/>
      <c r="H1" s="3248"/>
      <c r="I1" s="3249"/>
      <c r="J1" s="1674"/>
      <c r="K1" s="2415" t="str">
        <f>IF(B10="北京市","北京市",C10)&amp;F10&amp;B16&amp;"国有建设用地使用权"&amp;B9</f>
        <v>出让国有建设用地使用权市场价格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1939</v>
      </c>
      <c r="B3" s="1642">
        <v>43780</v>
      </c>
      <c r="C3" s="1643" t="s">
        <v>1995</v>
      </c>
      <c r="D3" s="1642">
        <v>43815</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2888</v>
      </c>
      <c r="C4" s="1826">
        <f>SUMIF(土地估价师,B4,估价师及机构信息!E3:E24)</f>
        <v>0</v>
      </c>
      <c r="D4" s="1823" t="s">
        <v>2888</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1941</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2706</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2707</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2994</v>
      </c>
      <c r="C8" s="1651"/>
      <c r="D8" s="3253" t="s">
        <v>1944</v>
      </c>
      <c r="E8" s="1824"/>
      <c r="F8" s="1652"/>
      <c r="G8" s="1640"/>
      <c r="H8" s="1640"/>
      <c r="I8" s="1687"/>
      <c r="J8" s="1674"/>
      <c r="K8" s="1754"/>
      <c r="L8" s="1703"/>
      <c r="M8" s="1703"/>
      <c r="N8" s="1674"/>
      <c r="O8" s="1675"/>
      <c r="P8" s="1674"/>
      <c r="Q8" s="1674"/>
      <c r="R8" s="1674"/>
      <c r="S8" s="1674"/>
      <c r="T8" s="1674"/>
      <c r="U8" s="1674"/>
    </row>
    <row r="9" spans="1:21" ht="15" thickBot="1">
      <c r="A9" s="1653" t="s">
        <v>1943</v>
      </c>
      <c r="B9" s="1654" t="s">
        <v>3212</v>
      </c>
      <c r="C9" s="1655"/>
      <c r="D9" s="3254"/>
      <c r="E9" s="1654" t="s">
        <v>952</v>
      </c>
      <c r="F9" s="1727"/>
      <c r="G9" s="1722"/>
      <c r="H9" s="1722"/>
      <c r="I9" s="1723"/>
      <c r="J9" s="1674"/>
      <c r="K9" s="1754"/>
      <c r="L9" s="1703"/>
      <c r="M9" s="1703"/>
      <c r="N9" s="1674"/>
      <c r="O9" s="1675"/>
      <c r="P9" s="1674"/>
      <c r="Q9" s="1674"/>
      <c r="R9" s="1674"/>
      <c r="S9" s="1674"/>
      <c r="T9" s="1674"/>
      <c r="U9" s="1674"/>
    </row>
    <row r="10" spans="1:21" ht="15" thickTop="1">
      <c r="A10" s="1724" t="s">
        <v>1999</v>
      </c>
      <c r="B10" s="1699" t="s">
        <v>3004</v>
      </c>
      <c r="C10" s="1656"/>
      <c r="D10" s="1647"/>
      <c r="E10" s="1657" t="s">
        <v>1946</v>
      </c>
      <c r="F10" s="1658"/>
      <c r="G10" s="1725"/>
      <c r="H10" s="1726"/>
      <c r="I10" s="1647"/>
      <c r="J10" s="1674"/>
      <c r="K10" s="1754"/>
      <c r="L10" s="1703"/>
      <c r="M10" s="1703"/>
      <c r="N10" s="1674"/>
      <c r="O10" s="1675"/>
      <c r="P10" s="1674"/>
      <c r="Q10" s="1674"/>
      <c r="R10" s="1674"/>
      <c r="S10" s="1674"/>
      <c r="T10" s="1674"/>
      <c r="U10" s="1674"/>
    </row>
    <row r="11" spans="1:21">
      <c r="A11" s="1677" t="s">
        <v>2000</v>
      </c>
      <c r="B11" s="1678" t="s">
        <v>3005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2058</v>
      </c>
      <c r="B12" s="3250"/>
      <c r="C12" s="3251"/>
      <c r="D12" s="3252"/>
      <c r="E12" s="1679" t="s">
        <v>2061</v>
      </c>
      <c r="F12" s="3268" t="s">
        <v>2889</v>
      </c>
      <c r="G12" s="3269"/>
      <c r="H12" s="3269"/>
      <c r="I12" s="3270"/>
      <c r="J12" s="1674"/>
      <c r="K12" s="1754"/>
      <c r="L12" s="1703"/>
      <c r="M12" s="1703"/>
      <c r="N12" s="1674"/>
      <c r="O12" s="1675"/>
      <c r="P12" s="1674"/>
      <c r="Q12" s="1674"/>
      <c r="R12" s="1674"/>
      <c r="S12" s="1674"/>
      <c r="T12" s="1674"/>
      <c r="U12" s="1674"/>
    </row>
    <row r="13" spans="1:21">
      <c r="A13" s="1667" t="s">
        <v>2059</v>
      </c>
      <c r="B13" s="3250"/>
      <c r="C13" s="3251"/>
      <c r="D13" s="3252"/>
      <c r="E13" s="1679" t="s">
        <v>2061</v>
      </c>
      <c r="F13" s="3268" t="s">
        <v>2890</v>
      </c>
      <c r="G13" s="3269"/>
      <c r="H13" s="3269"/>
      <c r="I13" s="3270"/>
      <c r="J13" s="1674"/>
      <c r="K13" s="1754"/>
      <c r="L13" s="1703"/>
      <c r="M13" s="1703"/>
      <c r="N13" s="1674"/>
      <c r="O13" s="1675"/>
      <c r="P13" s="1674"/>
      <c r="Q13" s="1674"/>
      <c r="R13" s="1674"/>
      <c r="S13" s="1674"/>
      <c r="T13" s="1674"/>
      <c r="U13" s="1674"/>
    </row>
    <row r="14" spans="1:21">
      <c r="A14" s="1641" t="s">
        <v>2062</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28.5">
      <c r="A16" s="1660" t="s">
        <v>1947</v>
      </c>
      <c r="B16" s="1661" t="s">
        <v>2989</v>
      </c>
      <c r="C16" s="1679" t="s">
        <v>1948</v>
      </c>
      <c r="D16" s="2606" t="s">
        <v>1949</v>
      </c>
      <c r="E16" s="1702" t="s">
        <v>3006</v>
      </c>
      <c r="F16" s="1702"/>
      <c r="G16" s="1702"/>
      <c r="H16" s="1702"/>
      <c r="I16" s="1666" t="s">
        <v>1954</v>
      </c>
      <c r="J16" s="1674"/>
      <c r="K16" s="2416" t="str">
        <f>IF(D17="","",D16&amp;TEXT(D17,"yyyy年m月d日;;"))</f>
        <v>住宅2089年7月1日</v>
      </c>
      <c r="L16" s="1679" t="str">
        <f>IF(OR(K16="",M16=""),"","、")</f>
        <v>、</v>
      </c>
      <c r="M16" s="2416" t="str">
        <f>IF(E17="","",E16&amp;TEXT(E17,"yyyy年m月d日;;"))</f>
        <v>商业2059年7月1日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1955</v>
      </c>
      <c r="D17" s="1680">
        <v>69215</v>
      </c>
      <c r="E17" s="1680">
        <v>58257</v>
      </c>
      <c r="F17" s="1680"/>
      <c r="G17" s="1680"/>
      <c r="H17" s="1680"/>
      <c r="I17" s="1680"/>
      <c r="J17" s="1674"/>
      <c r="K17" s="2415" t="str">
        <f>CONCATENATE(K16,L16,M16,N16,O16,P16,Q16,R16,S16,T16,,U16)</f>
        <v>住宅2089年7月1日、商业2059年7月1日</v>
      </c>
      <c r="L17" s="1703"/>
      <c r="M17" s="1703"/>
      <c r="N17" s="1674"/>
      <c r="O17" s="1675"/>
      <c r="P17" s="1674"/>
      <c r="Q17" s="1674"/>
      <c r="R17" s="1674"/>
      <c r="S17" s="1674"/>
      <c r="T17" s="1674"/>
      <c r="U17" s="1674"/>
    </row>
    <row r="18" spans="1:21">
      <c r="A18" s="1743"/>
      <c r="B18" s="1662"/>
      <c r="C18" s="1663" t="s">
        <v>1956</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69.58</v>
      </c>
      <c r="E19" s="1665">
        <f>IF(B16="出让",IF(E17="","",ROUNDDOWN(MIN((E17-$D$3)/365,E18),2)),E18)</f>
        <v>39.56</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2060</v>
      </c>
      <c r="D20" s="3265"/>
      <c r="E20" s="3266"/>
      <c r="F20" s="3266"/>
      <c r="G20" s="3266"/>
      <c r="H20" s="3266"/>
      <c r="I20" s="3267"/>
      <c r="J20" s="1674"/>
      <c r="K20" s="1754"/>
      <c r="L20" s="1703"/>
      <c r="M20" s="1703"/>
      <c r="N20" s="1674"/>
      <c r="O20" s="1675"/>
      <c r="P20" s="1674"/>
      <c r="Q20" s="1674"/>
      <c r="R20" s="1674"/>
      <c r="S20" s="1674"/>
      <c r="T20" s="1674"/>
      <c r="U20" s="1674"/>
    </row>
    <row r="21" spans="1:21">
      <c r="A21" s="1743" t="s">
        <v>1958</v>
      </c>
      <c r="B21" s="1744" t="s">
        <v>1959</v>
      </c>
      <c r="C21" s="1739">
        <f>'数据-汇总表'!E3</f>
        <v>126219.51999999999</v>
      </c>
      <c r="D21" s="1740" t="s">
        <v>1960</v>
      </c>
      <c r="E21" s="3255" t="s">
        <v>1998</v>
      </c>
      <c r="F21" s="3256"/>
      <c r="G21" s="3256"/>
      <c r="H21" s="3256"/>
      <c r="I21" s="3257"/>
      <c r="J21" s="1674"/>
      <c r="K21" s="1754"/>
      <c r="L21" s="1703"/>
      <c r="M21" s="1703"/>
      <c r="N21" s="1674"/>
      <c r="O21" s="1675"/>
      <c r="P21" s="1674"/>
      <c r="Q21" s="1674"/>
      <c r="R21" s="1674"/>
      <c r="S21" s="1674"/>
      <c r="T21" s="1674"/>
      <c r="U21" s="1674"/>
    </row>
    <row r="22" spans="1:21">
      <c r="A22" s="3093" t="s">
        <v>952</v>
      </c>
      <c r="B22" s="1641" t="s">
        <v>1961</v>
      </c>
      <c r="C22" s="1666">
        <f>'数据-汇总表'!D3</f>
        <v>45078.46</v>
      </c>
      <c r="D22" s="1667" t="s">
        <v>1960</v>
      </c>
      <c r="E22" s="3255" t="s">
        <v>2891</v>
      </c>
      <c r="F22" s="3256"/>
      <c r="G22" s="3256"/>
      <c r="H22" s="3256"/>
      <c r="I22" s="3257"/>
      <c r="J22" s="1674"/>
      <c r="K22" s="1754"/>
      <c r="L22" s="1703"/>
      <c r="M22" s="1703"/>
      <c r="N22" s="1674"/>
      <c r="O22" s="1675"/>
      <c r="P22" s="1674"/>
      <c r="Q22" s="1674"/>
      <c r="R22" s="1674"/>
      <c r="S22" s="1674"/>
      <c r="T22" s="1674"/>
      <c r="U22" s="1674"/>
    </row>
    <row r="23" spans="1:21" ht="43.5" thickBot="1">
      <c r="A23" s="1745" t="s">
        <v>1962</v>
      </c>
      <c r="B23" s="1681" t="s">
        <v>1963</v>
      </c>
      <c r="C23" s="1682"/>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58" t="s">
        <v>1966</v>
      </c>
      <c r="C24" s="3259"/>
      <c r="D24" s="3260" t="s">
        <v>1967</v>
      </c>
      <c r="E24" s="3261"/>
      <c r="F24" s="1688" t="s">
        <v>1968</v>
      </c>
      <c r="G24" s="1674"/>
      <c r="H24" s="1674"/>
      <c r="I24" s="1687"/>
      <c r="J24" s="1674"/>
      <c r="K24" s="3246" t="s">
        <v>1969</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2325</v>
      </c>
      <c r="C25" s="1689" t="s">
        <v>1970</v>
      </c>
      <c r="D25" s="1690"/>
      <c r="E25" s="1691" t="s">
        <v>952</v>
      </c>
      <c r="F25" s="1692"/>
      <c r="G25" s="1674"/>
      <c r="H25" s="1674"/>
      <c r="I25" s="1687"/>
      <c r="J25" s="1674"/>
      <c r="K25" s="3246"/>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1971</v>
      </c>
      <c r="C26" s="1689" t="s">
        <v>2326</v>
      </c>
      <c r="D26" s="1640"/>
      <c r="E26" s="1640"/>
      <c r="F26" s="1668"/>
      <c r="G26" s="1674"/>
      <c r="H26" s="1674"/>
      <c r="I26" s="1687"/>
      <c r="J26" s="1674"/>
      <c r="K26" s="3246"/>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1972</v>
      </c>
      <c r="B27" s="1733" t="s">
        <v>1973</v>
      </c>
      <c r="C27" s="1693"/>
      <c r="D27" s="2611" t="s">
        <v>1973</v>
      </c>
      <c r="E27" s="1694"/>
      <c r="F27" s="1668"/>
      <c r="G27" s="1674"/>
      <c r="H27" s="1674"/>
      <c r="I27" s="1687"/>
      <c r="J27" s="1674"/>
      <c r="K27" s="1754"/>
      <c r="L27" s="1703"/>
      <c r="M27" s="1703"/>
      <c r="N27" s="1674"/>
      <c r="O27" s="1675"/>
      <c r="P27" s="1674"/>
      <c r="Q27" s="1674"/>
      <c r="R27" s="1674"/>
      <c r="S27" s="1674"/>
      <c r="T27" s="1674"/>
      <c r="U27" s="1674"/>
    </row>
    <row r="28" spans="1:21">
      <c r="A28" s="1736"/>
      <c r="B28" s="1733" t="s">
        <v>1974</v>
      </c>
      <c r="C28" s="1695"/>
      <c r="D28" s="2612" t="s">
        <v>1974</v>
      </c>
      <c r="E28" s="1696"/>
      <c r="F28" s="1668"/>
      <c r="G28" s="1674"/>
      <c r="H28" s="1674"/>
      <c r="I28" s="1687"/>
      <c r="J28" s="1674"/>
      <c r="K28" s="1754"/>
      <c r="L28" s="1703"/>
      <c r="M28" s="1703"/>
      <c r="N28" s="1674"/>
      <c r="O28" s="1675"/>
      <c r="P28" s="1674"/>
      <c r="Q28" s="1674"/>
      <c r="R28" s="1674"/>
      <c r="S28" s="1674"/>
      <c r="T28" s="1674"/>
      <c r="U28" s="1674"/>
    </row>
    <row r="29" spans="1:21">
      <c r="A29" s="1736"/>
      <c r="B29" s="1733" t="s">
        <v>1975</v>
      </c>
      <c r="C29" s="1695"/>
      <c r="D29" s="2612" t="s">
        <v>1975</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1976</v>
      </c>
      <c r="C30" s="1697"/>
      <c r="D30" s="2613" t="s">
        <v>1976</v>
      </c>
      <c r="E30" s="1698"/>
      <c r="F30" s="1669"/>
      <c r="G30" s="1722"/>
      <c r="H30" s="1722"/>
      <c r="I30" s="1723"/>
      <c r="J30" s="1674"/>
      <c r="K30" s="1754"/>
      <c r="L30" s="1703"/>
      <c r="M30" s="1703"/>
      <c r="N30" s="1674"/>
      <c r="O30" s="1675"/>
      <c r="P30" s="1674"/>
      <c r="Q30" s="1674"/>
      <c r="R30" s="1674"/>
      <c r="S30" s="1674"/>
      <c r="T30" s="1674"/>
      <c r="U30" s="1674"/>
    </row>
    <row r="31" spans="1:21" ht="15" thickTop="1">
      <c r="A31" s="3273" t="s">
        <v>2001</v>
      </c>
      <c r="B31" s="1744" t="s">
        <v>2002</v>
      </c>
      <c r="C31" s="3271"/>
      <c r="D31" s="3272"/>
      <c r="E31" s="1674"/>
      <c r="F31" s="1674"/>
      <c r="G31" s="1674"/>
      <c r="H31" s="1674"/>
      <c r="I31" s="1687"/>
      <c r="J31" s="1674"/>
      <c r="K31" s="2418"/>
      <c r="L31" s="1674"/>
      <c r="M31" s="1674"/>
      <c r="N31" s="1674"/>
      <c r="O31" s="1674"/>
      <c r="P31" s="1674"/>
      <c r="Q31" s="1674"/>
      <c r="R31" s="1674"/>
      <c r="S31" s="1674"/>
      <c r="T31" s="1674"/>
      <c r="U31" s="1674"/>
    </row>
    <row r="32" spans="1:21">
      <c r="A32" s="3273"/>
      <c r="B32" s="1641" t="s">
        <v>2003</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73"/>
      <c r="B33" s="1641" t="s">
        <v>2004</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74"/>
      <c r="B34" s="1641" t="s">
        <v>2005</v>
      </c>
      <c r="C34" s="3275"/>
      <c r="D34" s="3276"/>
      <c r="E34" s="1674"/>
      <c r="F34" s="1674"/>
      <c r="G34" s="1674"/>
      <c r="H34" s="1674"/>
      <c r="I34" s="1687"/>
      <c r="J34" s="1674"/>
      <c r="K34" s="2418"/>
      <c r="L34" s="1674"/>
      <c r="M34" s="1674"/>
      <c r="N34" s="1674"/>
      <c r="O34" s="1674"/>
      <c r="P34" s="1674"/>
      <c r="Q34" s="1674"/>
      <c r="R34" s="1674"/>
      <c r="S34" s="1674"/>
      <c r="T34" s="1674"/>
      <c r="U34" s="1674"/>
    </row>
    <row r="35" spans="1:21">
      <c r="A35" s="3277" t="s">
        <v>847</v>
      </c>
      <c r="B35" s="1702"/>
      <c r="C35" s="1756" t="str">
        <f>IF(B35="场地平整","——","具体情况：")</f>
        <v>具体情况：</v>
      </c>
      <c r="D35" s="3279"/>
      <c r="E35" s="3280"/>
      <c r="F35" s="3280"/>
      <c r="G35" s="3280"/>
      <c r="H35" s="3280"/>
      <c r="I35" s="3281"/>
      <c r="J35" s="1674"/>
      <c r="K35" s="1755"/>
      <c r="L35" s="1703"/>
      <c r="M35" s="1703"/>
      <c r="N35" s="1674"/>
      <c r="O35" s="1675"/>
      <c r="P35" s="1674"/>
      <c r="Q35" s="1674"/>
      <c r="R35" s="1674"/>
      <c r="S35" s="1674"/>
      <c r="T35" s="1674"/>
      <c r="U35" s="1674"/>
    </row>
    <row r="36" spans="1:21">
      <c r="A36" s="3273"/>
      <c r="B36" s="3282" t="s">
        <v>2054</v>
      </c>
      <c r="C36" s="3283"/>
      <c r="D36" s="1772"/>
      <c r="E36" s="3284"/>
      <c r="F36" s="3284"/>
      <c r="G36" s="1667" t="str">
        <f>IF(B35="场地未平整","估价结果处理","")</f>
        <v/>
      </c>
      <c r="H36" s="3285"/>
      <c r="I36" s="3285"/>
      <c r="J36" s="1674"/>
      <c r="K36" s="1755"/>
      <c r="L36" s="1703"/>
      <c r="M36" s="1703"/>
      <c r="N36" s="1674"/>
      <c r="O36" s="1675"/>
      <c r="P36" s="1674"/>
      <c r="Q36" s="1674"/>
      <c r="R36" s="1674"/>
      <c r="S36" s="1674"/>
      <c r="T36" s="1674"/>
      <c r="U36" s="1674"/>
    </row>
    <row r="37" spans="1:21" ht="28.5">
      <c r="A37" s="3273"/>
      <c r="B37" s="3262"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73"/>
      <c r="B38" s="3263"/>
      <c r="C38" s="1649" t="s">
        <v>850</v>
      </c>
      <c r="D38" s="1771">
        <f>ROUNDDOWN(MIN(('数据-取费表'!$B$2-D37)/365,D34),1)</f>
        <v>120</v>
      </c>
      <c r="E38" s="1707" t="s">
        <v>851</v>
      </c>
      <c r="F38" s="1674"/>
      <c r="G38" s="1674"/>
      <c r="H38" s="1674"/>
      <c r="I38" s="1687"/>
      <c r="J38" s="1674"/>
      <c r="K38" s="1755"/>
      <c r="L38" s="1674"/>
      <c r="M38" s="1674"/>
      <c r="N38" s="1674"/>
      <c r="O38" s="1674"/>
      <c r="P38" s="1674"/>
      <c r="Q38" s="1674"/>
      <c r="R38" s="1674"/>
      <c r="S38" s="1674"/>
      <c r="T38" s="1674"/>
      <c r="U38" s="1674"/>
    </row>
    <row r="39" spans="1:21">
      <c r="A39" s="3274"/>
      <c r="B39" s="3264"/>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1977</v>
      </c>
      <c r="B40" s="1670"/>
      <c r="C40" s="1670"/>
      <c r="D40" s="1670"/>
      <c r="E40" s="1670"/>
      <c r="F40" s="1670"/>
      <c r="G40" s="1670"/>
      <c r="H40" s="1670"/>
      <c r="I40" s="1687"/>
      <c r="J40" s="1674"/>
      <c r="K40" s="1710">
        <f>COUNTIF(B40:H40,"——")</f>
        <v>0</v>
      </c>
      <c r="L40" s="1679" t="s">
        <v>1978</v>
      </c>
      <c r="M40" s="1676" t="s">
        <v>1979</v>
      </c>
      <c r="N40" s="1676" t="s">
        <v>1980</v>
      </c>
      <c r="O40" s="1676" t="s">
        <v>1981</v>
      </c>
      <c r="P40" s="1676" t="s">
        <v>1982</v>
      </c>
      <c r="Q40" s="1676" t="s">
        <v>1983</v>
      </c>
      <c r="R40" s="1676" t="s">
        <v>1984</v>
      </c>
      <c r="S40" s="3245" t="s">
        <v>1985</v>
      </c>
      <c r="T40" s="1711" t="str">
        <f>NUMBERSTRING(7-K40,1)&amp;"通"</f>
        <v>七通</v>
      </c>
      <c r="U40" s="1674"/>
    </row>
    <row r="41" spans="1:21">
      <c r="A41" s="1643"/>
      <c r="B41" s="3278" t="s">
        <v>1721</v>
      </c>
      <c r="C41" s="3278"/>
      <c r="D41" s="3278"/>
      <c r="E41" s="3278"/>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45"/>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2006</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2007</v>
      </c>
      <c r="B48" s="1666" t="s">
        <v>2008</v>
      </c>
      <c r="C48" s="1666" t="s">
        <v>2009</v>
      </c>
      <c r="D48" s="1666" t="s">
        <v>2010</v>
      </c>
      <c r="E48" s="1666" t="s">
        <v>2011</v>
      </c>
      <c r="F48" s="1666" t="s">
        <v>2012</v>
      </c>
      <c r="G48" s="1666" t="s">
        <v>2013</v>
      </c>
      <c r="H48" s="1666" t="s">
        <v>2014</v>
      </c>
      <c r="I48" s="1666" t="s">
        <v>2015</v>
      </c>
      <c r="J48" s="1752" t="s">
        <v>2016</v>
      </c>
      <c r="K48" s="1746" t="s">
        <v>2017</v>
      </c>
      <c r="L48" s="1746" t="s">
        <v>2018</v>
      </c>
      <c r="M48" s="1746" t="s">
        <v>2019</v>
      </c>
      <c r="N48" s="1666" t="s">
        <v>2020</v>
      </c>
      <c r="O48" s="1666" t="s">
        <v>2021</v>
      </c>
      <c r="P48" s="1666" t="s">
        <v>2022</v>
      </c>
      <c r="Q48" s="1679" t="s">
        <v>2023</v>
      </c>
      <c r="R48" s="1679" t="s">
        <v>2024</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D35" sqref="D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2333</v>
      </c>
      <c r="BA2" s="2321"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45078.46</v>
      </c>
      <c r="B3" s="22">
        <f>IF(C3="否",G5-AT5,G5)</f>
        <v>126219.51999999999</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126219.51999999999</v>
      </c>
      <c r="H5" s="27">
        <f t="shared" ref="H5:AT5" si="0">SUM(H13:H641)</f>
        <v>126219.51999999999</v>
      </c>
      <c r="I5" s="27">
        <f t="shared" si="0"/>
        <v>107286.59</v>
      </c>
      <c r="J5" s="27">
        <f t="shared" si="0"/>
        <v>0</v>
      </c>
      <c r="K5" s="27">
        <f t="shared" si="0"/>
        <v>18932.93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126219.51999999999</v>
      </c>
      <c r="BA5" s="29">
        <f t="shared" si="1"/>
        <v>126219.51999999999</v>
      </c>
      <c r="BB5" s="29">
        <f t="shared" si="1"/>
        <v>107286.59</v>
      </c>
      <c r="BC5" s="29">
        <f t="shared" si="1"/>
        <v>18932.93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45078.460000000006</v>
      </c>
      <c r="F6" s="27" t="s">
        <v>1</v>
      </c>
      <c r="G6" s="27" t="s">
        <v>2</v>
      </c>
      <c r="H6" s="33">
        <f>SUMIF(I$12:AB$12,"总值",I6:AB6)</f>
        <v>45078.460000000006</v>
      </c>
      <c r="I6" s="27">
        <f t="shared" ref="I6:AB6" si="2">ROUND($A$3*I5/$B$3,2)</f>
        <v>38316.69</v>
      </c>
      <c r="J6" s="27">
        <f t="shared" si="2"/>
        <v>0</v>
      </c>
      <c r="K6" s="27">
        <f t="shared" si="2"/>
        <v>6761.77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45078.46</v>
      </c>
      <c r="AZ6" s="27" t="s">
        <v>3</v>
      </c>
      <c r="BA6" s="27">
        <f>ROUND($AY$6*BA5/$AZ$5,2)</f>
        <v>45078.46</v>
      </c>
      <c r="BB6" s="27">
        <f>ROUND($AY$6*BB5/$AZ$5,2)</f>
        <v>38316.69</v>
      </c>
      <c r="BC6" s="27">
        <f t="shared" ref="BC6:BH6" si="4">ROUND($AY$6*BC5/$AZ$5,2)</f>
        <v>6761.77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7" t="s">
        <v>3009</v>
      </c>
      <c r="J9" s="51"/>
      <c r="K9" s="2967" t="s">
        <v>3009</v>
      </c>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7" t="s">
        <v>923</v>
      </c>
      <c r="J10" s="51"/>
      <c r="K10" s="2969" t="s">
        <v>3006</v>
      </c>
      <c r="L10" s="51"/>
      <c r="M10" s="2969"/>
      <c r="N10" s="51"/>
      <c r="O10" s="66"/>
      <c r="P10" s="51"/>
      <c r="Q10" s="66"/>
      <c r="R10" s="51"/>
      <c r="S10" s="66"/>
      <c r="T10" s="51"/>
      <c r="U10" s="66"/>
      <c r="V10" s="51"/>
      <c r="W10" s="66"/>
      <c r="X10" s="51"/>
      <c r="Y10" s="66"/>
      <c r="Z10" s="51"/>
      <c r="AA10" s="66"/>
      <c r="AB10" s="51"/>
      <c r="AC10" s="55"/>
      <c r="AD10" s="2295" t="s">
        <v>2317</v>
      </c>
      <c r="AE10" s="2317"/>
      <c r="AF10" s="2295" t="s">
        <v>2317</v>
      </c>
      <c r="AG10" s="2317"/>
      <c r="AH10" s="2295" t="s">
        <v>2318</v>
      </c>
      <c r="AI10" s="2317"/>
      <c r="AJ10" s="26" t="s">
        <v>2331</v>
      </c>
      <c r="AK10" s="2314"/>
      <c r="AL10" s="2295" t="s">
        <v>2319</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8" t="s">
        <v>3010</v>
      </c>
      <c r="J11" s="71"/>
      <c r="K11" s="2968" t="s">
        <v>3011</v>
      </c>
      <c r="L11" s="71"/>
      <c r="M11" s="70"/>
      <c r="N11" s="71"/>
      <c r="O11" s="70"/>
      <c r="P11" s="71"/>
      <c r="Q11" s="70"/>
      <c r="R11" s="71"/>
      <c r="S11" s="70"/>
      <c r="T11" s="71"/>
      <c r="U11" s="70"/>
      <c r="V11" s="71"/>
      <c r="W11" s="70"/>
      <c r="X11" s="71"/>
      <c r="Y11" s="70"/>
      <c r="Z11" s="71"/>
      <c r="AA11" s="70"/>
      <c r="AB11" s="71"/>
      <c r="AC11" s="55"/>
      <c r="AD11" s="2315" t="s">
        <v>2330</v>
      </c>
      <c r="AE11" s="999"/>
      <c r="AF11" s="2315" t="s">
        <v>2330</v>
      </c>
      <c r="AG11" s="999"/>
      <c r="AH11" s="2315" t="s">
        <v>2329</v>
      </c>
      <c r="AI11" s="2316"/>
      <c r="AJ11" s="2315" t="s">
        <v>2329</v>
      </c>
      <c r="AK11" s="2314"/>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2"/>
      <c r="B13" s="2962"/>
      <c r="C13" s="2962" t="s">
        <v>3007</v>
      </c>
      <c r="D13" s="2963" t="s">
        <v>1678</v>
      </c>
      <c r="E13" s="27">
        <f t="shared" ref="E13:E20" si="6">IF($C$3="是",ROUND($A$3*G13/$B$3,2),ROUND($A$3*(G13-AT13)/$B$3,2))</f>
        <v>38316.69</v>
      </c>
      <c r="F13" s="81"/>
      <c r="G13" s="82">
        <f t="shared" ref="G13:G20" si="7">H13+AC13+AT13</f>
        <v>107286.59</v>
      </c>
      <c r="H13" s="33">
        <f t="shared" ref="H13:H20" si="8">SUMIF(I$12:AB$12,"总值",I13:AB13)</f>
        <v>107286.59</v>
      </c>
      <c r="I13" s="2966">
        <f>ROUND(126219.52*38316.69/45078.46,2)</f>
        <v>107286.59</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住宅</v>
      </c>
      <c r="AY13" s="993">
        <f t="shared" ref="AY13:AY20" si="11">ROUND($AY$6*AZ13/$AZ$5,2)</f>
        <v>38316.69</v>
      </c>
      <c r="AZ13" s="27">
        <f t="shared" ref="AZ13:AZ20" si="12">BA13+BL13</f>
        <v>107286.59</v>
      </c>
      <c r="BA13" s="27">
        <f t="shared" ref="BA13:BA20" si="13">SUM(BB13:BK13)</f>
        <v>107286.59</v>
      </c>
      <c r="BB13" s="27">
        <f t="shared" ref="BB13:BB20" si="14">IF($D13="是",I13-J13,0)</f>
        <v>107286.59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t="s">
        <v>3008</v>
      </c>
      <c r="D14" s="2963" t="s">
        <v>1678</v>
      </c>
      <c r="E14" s="27">
        <f t="shared" si="6"/>
        <v>6761.77</v>
      </c>
      <c r="F14" s="81"/>
      <c r="G14" s="82">
        <f t="shared" si="7"/>
        <v>18932.93</v>
      </c>
      <c r="H14" s="33">
        <f t="shared" si="8"/>
        <v>18932.93</v>
      </c>
      <c r="I14" s="2966"/>
      <c r="J14" s="2966"/>
      <c r="K14" s="2966">
        <f>ROUND(126219.52*6761.77/45078.46,2)</f>
        <v>18932.93</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3">
        <f t="shared" si="11"/>
        <v>6761.77</v>
      </c>
      <c r="AZ14" s="27">
        <f t="shared" si="12"/>
        <v>18932.93</v>
      </c>
      <c r="BA14" s="27">
        <f t="shared" si="13"/>
        <v>18932.93</v>
      </c>
      <c r="BB14" s="27">
        <f t="shared" si="14"/>
        <v>0</v>
      </c>
      <c r="BC14" s="27">
        <f t="shared" si="15"/>
        <v>18932.93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5" sqref="G25"/>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97" t="s">
        <v>203</v>
      </c>
      <c r="B2" s="3297"/>
      <c r="C2" s="3297"/>
      <c r="D2" s="1956" t="s">
        <v>204</v>
      </c>
      <c r="E2" s="106" t="s">
        <v>205</v>
      </c>
      <c r="F2" s="1965"/>
      <c r="G2" s="1191"/>
      <c r="H2" s="1192"/>
      <c r="I2" s="1193" t="s">
        <v>857</v>
      </c>
      <c r="J2" s="1965"/>
      <c r="K2" s="1965"/>
      <c r="L2" s="1965"/>
    </row>
    <row r="3" spans="1:16" ht="15.75" thickBot="1">
      <c r="A3" s="3298" t="s">
        <v>206</v>
      </c>
      <c r="B3" s="3298"/>
      <c r="C3" s="3298"/>
      <c r="D3" s="107">
        <f>'数据-基础表'!AY6</f>
        <v>45078.46</v>
      </c>
      <c r="E3" s="107">
        <f>'数据-基础表'!AZ5</f>
        <v>126219.51999999999</v>
      </c>
      <c r="F3" s="1965"/>
      <c r="G3" s="279" t="s">
        <v>858</v>
      </c>
      <c r="H3" s="274" t="s">
        <v>859</v>
      </c>
      <c r="I3" s="1957">
        <f>ROUND('数据-基础表'!B3/'数据-基础表'!A3,2)</f>
        <v>2.8</v>
      </c>
      <c r="J3" s="1965"/>
      <c r="K3" s="1965"/>
      <c r="L3" s="1965"/>
    </row>
    <row r="4" spans="1:16" ht="15">
      <c r="A4" s="3299"/>
      <c r="B4" s="3300"/>
      <c r="C4" s="3301"/>
      <c r="D4" s="108" t="s">
        <v>204</v>
      </c>
      <c r="E4" s="109" t="s">
        <v>205</v>
      </c>
      <c r="F4" s="1965"/>
      <c r="G4" s="1194"/>
      <c r="H4" s="274" t="s">
        <v>860</v>
      </c>
      <c r="I4" s="1957">
        <f>ROUND(SUMIF('数据-基础表'!I9:AS9,"地上",'数据-基础表'!I5:AS5)/'数据-基础表'!A3,2)</f>
        <v>2.8</v>
      </c>
      <c r="J4" s="1965"/>
      <c r="K4" s="1965"/>
      <c r="L4" s="1965"/>
    </row>
    <row r="5" spans="1:16">
      <c r="A5" s="110" t="s">
        <v>207</v>
      </c>
      <c r="B5" s="3302" t="s">
        <v>230</v>
      </c>
      <c r="C5" s="3302"/>
      <c r="D5" s="111">
        <f>ROUND($D$3*E5/$E$3,2)</f>
        <v>38316.69</v>
      </c>
      <c r="E5" s="112">
        <f>SUMIF('数据-基础表'!$11:$11,"住宅",'数据-基础表'!$5:$5)</f>
        <v>107286.59</v>
      </c>
      <c r="F5" s="1965"/>
      <c r="G5" s="279" t="s">
        <v>861</v>
      </c>
      <c r="H5" s="274" t="s">
        <v>859</v>
      </c>
      <c r="I5" s="1957">
        <f>ROUND(E31/D31,2)</f>
        <v>2.8</v>
      </c>
      <c r="J5" s="1965"/>
      <c r="K5" s="1965"/>
      <c r="L5" s="1965"/>
    </row>
    <row r="6" spans="1:16" ht="15" thickBot="1">
      <c r="A6" s="113"/>
      <c r="B6" s="3302" t="s">
        <v>208</v>
      </c>
      <c r="C6" s="3302"/>
      <c r="D6" s="111">
        <f>ROUND($D$3*E6/$E$3,2)</f>
        <v>6761.77</v>
      </c>
      <c r="E6" s="112">
        <f>E3-E5</f>
        <v>18932.929999999993</v>
      </c>
      <c r="F6" s="1965"/>
      <c r="G6" s="1194"/>
      <c r="H6" s="274" t="s">
        <v>860</v>
      </c>
      <c r="I6" s="1957">
        <f>ROUND(F31/D31,2)</f>
        <v>2.8</v>
      </c>
      <c r="J6" s="1965"/>
      <c r="K6" s="1965"/>
      <c r="L6" s="1965"/>
    </row>
    <row r="7" spans="1:16" ht="15">
      <c r="A7" s="3294"/>
      <c r="B7" s="3295"/>
      <c r="C7" s="3296"/>
      <c r="D7" s="108" t="s">
        <v>204</v>
      </c>
      <c r="E7" s="114" t="s">
        <v>231</v>
      </c>
      <c r="F7" s="1965"/>
      <c r="G7" s="1149" t="s">
        <v>1645</v>
      </c>
      <c r="H7" s="1150"/>
      <c r="I7" s="1827">
        <v>4</v>
      </c>
      <c r="J7" s="1965"/>
      <c r="K7" s="1965"/>
      <c r="L7" s="1965"/>
    </row>
    <row r="8" spans="1:16">
      <c r="A8" s="110" t="s">
        <v>209</v>
      </c>
      <c r="B8" s="115" t="s">
        <v>210</v>
      </c>
      <c r="C8" s="111" t="s">
        <v>211</v>
      </c>
      <c r="D8" s="111">
        <f t="shared" ref="D8:D15" si="0">ROUND($D$3*E8/$E$3,2)</f>
        <v>45078.46</v>
      </c>
      <c r="E8" s="116">
        <f>SUMIF('数据-基础表'!BB10:BK10,"地上",'数据-基础表'!BB5:BK5)</f>
        <v>126219.51999999999</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2327</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2334</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45078.46</v>
      </c>
      <c r="E16" s="120">
        <f>SUM(E8:E15)</f>
        <v>126219.51999999999</v>
      </c>
      <c r="F16" s="1965"/>
      <c r="G16" s="1967"/>
      <c r="H16" s="966" t="s">
        <v>219</v>
      </c>
      <c r="I16" s="967"/>
      <c r="J16" s="1965"/>
      <c r="K16" s="3288" t="s">
        <v>2566</v>
      </c>
      <c r="L16" s="3289"/>
      <c r="M16" s="3289"/>
      <c r="N16" s="3289"/>
      <c r="O16" s="3289"/>
      <c r="P16" s="3290"/>
    </row>
    <row r="17" spans="1:19" ht="15">
      <c r="A17" s="121" t="s">
        <v>216</v>
      </c>
      <c r="B17" s="122" t="s">
        <v>217</v>
      </c>
      <c r="C17" s="2279" t="s">
        <v>2313</v>
      </c>
      <c r="D17" s="108" t="s">
        <v>204</v>
      </c>
      <c r="E17" s="124" t="s">
        <v>205</v>
      </c>
      <c r="F17" s="125"/>
      <c r="G17" s="1359"/>
      <c r="H17" s="968" t="s">
        <v>218</v>
      </c>
      <c r="I17" s="969" t="s">
        <v>2312</v>
      </c>
      <c r="J17" s="1965"/>
      <c r="K17" s="3291" t="s">
        <v>2567</v>
      </c>
      <c r="L17" s="3292"/>
      <c r="M17" s="3293"/>
      <c r="N17" s="3291" t="s">
        <v>2568</v>
      </c>
      <c r="O17" s="3292"/>
      <c r="P17" s="3293"/>
      <c r="R17" s="2280" t="s">
        <v>2311</v>
      </c>
      <c r="S17" s="144"/>
    </row>
    <row r="18" spans="1:19" ht="15">
      <c r="A18" s="117"/>
      <c r="B18" s="128"/>
      <c r="C18" s="129"/>
      <c r="D18" s="2602"/>
      <c r="E18" s="130" t="s">
        <v>220</v>
      </c>
      <c r="F18" s="131" t="s">
        <v>221</v>
      </c>
      <c r="G18" s="1360" t="s">
        <v>222</v>
      </c>
      <c r="H18" s="970" t="s">
        <v>223</v>
      </c>
      <c r="I18" s="971" t="s">
        <v>224</v>
      </c>
      <c r="J18" s="1965"/>
      <c r="K18" s="2565" t="s">
        <v>2569</v>
      </c>
      <c r="L18" s="2566" t="s">
        <v>2570</v>
      </c>
      <c r="M18" s="2567" t="s">
        <v>2571</v>
      </c>
      <c r="N18" s="2565" t="s">
        <v>2569</v>
      </c>
      <c r="O18" s="2566" t="s">
        <v>2570</v>
      </c>
      <c r="P18" s="2567" t="s">
        <v>2571</v>
      </c>
      <c r="R18" s="2281" t="s">
        <v>2309</v>
      </c>
      <c r="S18" s="2281" t="s">
        <v>2310</v>
      </c>
    </row>
    <row r="19" spans="1:19">
      <c r="A19" s="133"/>
      <c r="B19" s="115" t="s">
        <v>225</v>
      </c>
      <c r="C19" s="2973" t="str">
        <f>'数据-基础表'!C13</f>
        <v>住宅</v>
      </c>
      <c r="D19" s="111">
        <f t="shared" ref="D19:D26" si="1">ROUND($D$3*E19/$E$3,2)</f>
        <v>38316.69</v>
      </c>
      <c r="E19" s="134">
        <f t="shared" ref="E19:E26" si="2">SUM(F19:G19)</f>
        <v>107286.59</v>
      </c>
      <c r="F19" s="135">
        <f>'数据-基础表'!I13</f>
        <v>107286.59</v>
      </c>
      <c r="G19" s="1361"/>
      <c r="H19" s="972">
        <f>ROUND($D$3*I19/$E$3,2)</f>
        <v>0</v>
      </c>
      <c r="I19" s="116">
        <f>IF($I$17="自定义",P19,M19)</f>
        <v>0</v>
      </c>
      <c r="J19" s="1965"/>
      <c r="K19" s="2568">
        <f t="shared" ref="K19:K26" si="3">ROUND(E$28*E19/E$27,2)</f>
        <v>0</v>
      </c>
      <c r="L19" s="274">
        <f t="shared" ref="L19:L26" si="4">ROUND(IF(COUNTIF(C19,"*住宅*")&gt;0,E$29*E19/E$32,0),2)</f>
        <v>0</v>
      </c>
      <c r="M19" s="2569">
        <f>K19+L19</f>
        <v>0</v>
      </c>
      <c r="N19" s="2570"/>
      <c r="O19" s="2571"/>
      <c r="P19" s="2572">
        <f>N19+O19</f>
        <v>0</v>
      </c>
      <c r="R19" s="274">
        <f t="shared" ref="R19:S26" si="5">D19+H19</f>
        <v>38316.69</v>
      </c>
      <c r="S19" s="2282">
        <f t="shared" si="5"/>
        <v>107286.59</v>
      </c>
    </row>
    <row r="20" spans="1:19">
      <c r="A20" s="138"/>
      <c r="B20" s="115" t="s">
        <v>226</v>
      </c>
      <c r="C20" s="2973" t="str">
        <f>'数据-基础表'!C14</f>
        <v>商业</v>
      </c>
      <c r="D20" s="111">
        <f t="shared" si="1"/>
        <v>6761.77</v>
      </c>
      <c r="E20" s="134">
        <f t="shared" si="2"/>
        <v>18932.93</v>
      </c>
      <c r="F20" s="135">
        <f>'数据-基础表'!K14</f>
        <v>18932.93</v>
      </c>
      <c r="G20" s="1361"/>
      <c r="H20" s="972">
        <f t="shared" ref="H20:H26" si="6">ROUND($D$3*I20/$E$3,2)</f>
        <v>0</v>
      </c>
      <c r="I20" s="116">
        <f t="shared" ref="I20:I26" si="7">IF($I$17="自定义",P20,M20)</f>
        <v>0</v>
      </c>
      <c r="J20" s="1965"/>
      <c r="K20" s="2568">
        <f t="shared" si="3"/>
        <v>0</v>
      </c>
      <c r="L20" s="274">
        <f t="shared" si="4"/>
        <v>0</v>
      </c>
      <c r="M20" s="2569">
        <f t="shared" ref="M20:M26" si="8">K20+L20</f>
        <v>0</v>
      </c>
      <c r="N20" s="2570"/>
      <c r="O20" s="2571"/>
      <c r="P20" s="2572">
        <f t="shared" ref="P20:P26" si="9">N20+O20</f>
        <v>0</v>
      </c>
      <c r="R20" s="274">
        <f t="shared" si="5"/>
        <v>6761.77</v>
      </c>
      <c r="S20" s="2282">
        <f t="shared" si="5"/>
        <v>18932.93</v>
      </c>
    </row>
    <row r="21" spans="1:19">
      <c r="A21" s="138"/>
      <c r="B21" s="115" t="s">
        <v>226</v>
      </c>
      <c r="C21" s="2973"/>
      <c r="D21" s="111">
        <f t="shared" si="1"/>
        <v>0</v>
      </c>
      <c r="E21" s="134">
        <f t="shared" si="2"/>
        <v>0</v>
      </c>
      <c r="F21" s="135"/>
      <c r="G21" s="1361"/>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c r="A22" s="138"/>
      <c r="B22" s="115" t="s">
        <v>226</v>
      </c>
      <c r="C22" s="1358"/>
      <c r="D22" s="111">
        <f t="shared" si="1"/>
        <v>0</v>
      </c>
      <c r="E22" s="134">
        <f t="shared" si="2"/>
        <v>0</v>
      </c>
      <c r="F22" s="140"/>
      <c r="G22" s="1362"/>
      <c r="H22" s="972">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c r="A23" s="138"/>
      <c r="B23" s="115" t="s">
        <v>226</v>
      </c>
      <c r="C23" s="139"/>
      <c r="D23" s="111">
        <f>ROUND($D$3*E23/$E$3,2)</f>
        <v>0</v>
      </c>
      <c r="E23" s="134">
        <f>SUM(F23:G23)</f>
        <v>0</v>
      </c>
      <c r="F23" s="140"/>
      <c r="G23" s="1362"/>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8"/>
      <c r="B24" s="115" t="s">
        <v>226</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15.75" thickBot="1">
      <c r="A27" s="138"/>
      <c r="B27" s="111"/>
      <c r="C27" s="127" t="s">
        <v>215</v>
      </c>
      <c r="D27" s="134">
        <f>SUM(D19:D26)</f>
        <v>45078.460000000006</v>
      </c>
      <c r="E27" s="143">
        <f>IF(SUM(E19:E26)='数据-基础表'!BA5,SUM(E19:E26),IF(F27="地上面积有误","面积有误","地下面积有误"))</f>
        <v>126219.51999999999</v>
      </c>
      <c r="F27" s="134">
        <f>IF(SUM(F19:F26)=E8,SUM(F19:F26),"地上面积有误")</f>
        <v>126219.51999999999</v>
      </c>
      <c r="G27" s="112">
        <f>SUM(G19:G26)</f>
        <v>0</v>
      </c>
      <c r="H27" s="973">
        <f>SUM(H19:H26)</f>
        <v>0</v>
      </c>
      <c r="I27" s="974">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45078.460000000006</v>
      </c>
      <c r="S27" s="274">
        <f>IF(SUM(S19:S26)=$E$3,SUM(S19:S26),SUM(S19:S26)&amp;"误差"&amp;ROUND(SUM(S19:S26)-E3,2))</f>
        <v>126219.51999999999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2320</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2322</v>
      </c>
      <c r="D31" s="1365">
        <f>D27+D30</f>
        <v>45078.460000000006</v>
      </c>
      <c r="E31" s="1365">
        <f>E27+E30</f>
        <v>126219.51999999999</v>
      </c>
      <c r="F31" s="1366">
        <f>F27+F30</f>
        <v>126219.51999999999</v>
      </c>
      <c r="G31" s="1367">
        <f>G27+G30</f>
        <v>0</v>
      </c>
      <c r="H31" s="1965"/>
      <c r="I31" s="1965"/>
      <c r="J31" s="1965"/>
      <c r="K31" s="1965"/>
      <c r="L31" s="1965"/>
    </row>
    <row r="32" spans="1:19">
      <c r="A32" s="1965"/>
      <c r="B32" s="2323" t="s">
        <v>2321</v>
      </c>
      <c r="C32" s="2607"/>
      <c r="D32" s="1194"/>
      <c r="E32" s="1194">
        <f>SUMIF(C19:C26,"*住宅*",E19:E26)</f>
        <v>107286.59</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39" activePane="bottomRight" state="frozen"/>
      <selection pane="topRight" activeCell="D1" sqref="D1"/>
      <selection pane="bottomLeft" activeCell="A4" sqref="A4"/>
      <selection pane="bottomRight" activeCell="R51" sqref="R5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43815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3195</v>
      </c>
      <c r="O5" s="163" t="s">
        <v>246</v>
      </c>
      <c r="P5" s="165" t="s">
        <v>247</v>
      </c>
      <c r="Q5" s="166" t="s">
        <v>248</v>
      </c>
      <c r="R5" s="167" t="s">
        <v>249</v>
      </c>
      <c r="S5" s="2581" t="s">
        <v>2572</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2323</v>
      </c>
      <c r="AI5" s="171" t="s">
        <v>2292</v>
      </c>
      <c r="AJ5" s="171" t="s">
        <v>258</v>
      </c>
      <c r="AK5" s="159" t="s">
        <v>259</v>
      </c>
      <c r="AL5" s="159" t="s">
        <v>260</v>
      </c>
      <c r="AM5" s="172" t="s">
        <v>261</v>
      </c>
      <c r="AN5" s="2351" t="s">
        <v>2373</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69215</v>
      </c>
      <c r="F6" s="174">
        <f>SUMIF(项目基本情况!D$15:I$15,C6,项目基本情况!D$19:I$19)</f>
        <v>69.58</v>
      </c>
      <c r="G6" s="175">
        <f>IF(ISERROR(ROUND(POWER(1+H6,D6-F6)*(POWER(1+H6,F6)-1)/(POWER(1+H6,D6)-1),3)),0,ROUND(POWER(1+H6,D6-F6)*(POWER(1+H6,F6)-1)/(POWER(1+H6,D6)-1),3))</f>
        <v>0.999</v>
      </c>
      <c r="H6" s="2974">
        <v>4.4999999999999998E-2</v>
      </c>
      <c r="I6" s="2974">
        <v>0.05</v>
      </c>
      <c r="J6" s="176">
        <v>0.08</v>
      </c>
      <c r="K6" s="179">
        <f>SUMIF('数据-汇总表'!C$19:C$33,'数据-取费表'!A6,'数据-汇总表'!E$19:E$33)</f>
        <v>107286.59</v>
      </c>
      <c r="L6" s="3198">
        <v>2700</v>
      </c>
      <c r="M6" s="177">
        <f t="shared" ref="M6:M14" si="0">ROUND(K6*L6/10000,0)</f>
        <v>28967</v>
      </c>
      <c r="N6" s="2976">
        <v>0</v>
      </c>
      <c r="O6" s="177">
        <f>IF($N$5="成新度","——",ROUND(M6*N6,0))</f>
        <v>0</v>
      </c>
      <c r="P6" s="178">
        <f>IF($N$5="成新度","——",M6-O6)</f>
        <v>28967</v>
      </c>
      <c r="Q6" s="3199">
        <v>0.15</v>
      </c>
      <c r="R6" s="179">
        <f>SUMIF('数据-汇总表'!C$19:C$33,A6,'数据-汇总表'!R$19:R$33)</f>
        <v>38316.69</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70">
        <f ca="1">IF(AN6="",0,SUMIF(INDIRECT("'"&amp;AN6&amp;"'"&amp;"!E:E"),$AE$5,INDIRECT("'"&amp;AN6&amp;"'"&amp;"!F:F")))</f>
        <v>0</v>
      </c>
      <c r="AF6" s="141"/>
      <c r="AG6" s="1206">
        <f>IF(AF6="",0,AE6-AF6)</f>
        <v>0</v>
      </c>
      <c r="AH6" s="141"/>
      <c r="AI6" s="187"/>
      <c r="AJ6" s="188"/>
      <c r="AK6" s="189">
        <v>1.4999999999999999E-2</v>
      </c>
      <c r="AL6" s="190">
        <v>1.5E-3</v>
      </c>
      <c r="AM6" s="2988">
        <v>0.02</v>
      </c>
      <c r="AN6" s="2352"/>
      <c r="AO6" s="1981"/>
      <c r="AP6" s="1197">
        <f>ROUND(1-1/(1+H6)^F6,3)</f>
        <v>0.95299999999999996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商业</v>
      </c>
      <c r="B7" s="2318" t="str">
        <f t="shared" ref="B7:B13" si="1">IF(A7=0,"","经营性")</f>
        <v>经营性</v>
      </c>
      <c r="C7" s="173" t="s">
        <v>3006</v>
      </c>
      <c r="D7" s="2289">
        <f>SUMIF(项目基本情况!D$15:I$15,C7,项目基本情况!D$18:I$18)</f>
        <v>40</v>
      </c>
      <c r="E7" s="2290">
        <f>IF(B7="","",SUMIF(项目基本情况!D$15:I$15,C7,项目基本情况!D$17:I$17))</f>
        <v>58257</v>
      </c>
      <c r="F7" s="174">
        <f>SUMIF(项目基本情况!D$15:I$15,C7,项目基本情况!D$19:I$19)</f>
        <v>39.56</v>
      </c>
      <c r="G7" s="175">
        <f t="shared" ref="G7:G11" si="2">IF(ISERROR(ROUND(POWER(1+H7,D7-F7)*(POWER(1+H7,F7)-1)/(POWER(1+H7,D7)-1),3)),0,ROUND(POWER(1+H7,D7-F7)*(POWER(1+H7,F7)-1)/(POWER(1+H7,D7)-1),3))</f>
        <v>0.997</v>
      </c>
      <c r="H7" s="2974">
        <v>5.5E-2</v>
      </c>
      <c r="I7" s="2974">
        <v>0.06</v>
      </c>
      <c r="J7" s="176">
        <v>0.08</v>
      </c>
      <c r="K7" s="179">
        <f>SUMIF('数据-汇总表'!C$19:C$33,'数据-取费表'!A7,'数据-汇总表'!E$19:E$33)</f>
        <v>18932.93</v>
      </c>
      <c r="L7" s="3198">
        <f>L6</f>
        <v>2700</v>
      </c>
      <c r="M7" s="177">
        <f t="shared" si="0"/>
        <v>5112</v>
      </c>
      <c r="N7" s="2976">
        <v>0</v>
      </c>
      <c r="O7" s="177">
        <f t="shared" ref="O7:O14" si="3">IF($N$5="成新度","——",ROUND(M7*N7,0))</f>
        <v>0</v>
      </c>
      <c r="P7" s="178">
        <f t="shared" ref="P7:P14" si="4">IF($N$5="成新度","——",M7-O7)</f>
        <v>5112</v>
      </c>
      <c r="Q7" s="3199">
        <v>0.25</v>
      </c>
      <c r="R7" s="179">
        <f>SUMIF('数据-汇总表'!C$19:C$33,A7,'数据-汇总表'!R$19:R$33)</f>
        <v>6761.77</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70">
        <f t="shared" ref="AE7:AE13" ca="1" si="6">IF(AN7="",0,SUMIF(INDIRECT("'"&amp;AN7&amp;"'"&amp;"!E:E"),$AE$5,INDIRECT("'"&amp;AN7&amp;"'"&amp;"!F:F")))</f>
        <v>0</v>
      </c>
      <c r="AF7" s="141"/>
      <c r="AG7" s="1206">
        <f t="shared" ref="AG7:AG13" si="7">IF(AF7="",0,AE7-AF7)</f>
        <v>0</v>
      </c>
      <c r="AH7" s="141"/>
      <c r="AI7" s="187"/>
      <c r="AJ7" s="188"/>
      <c r="AK7" s="189">
        <v>1.4999999999999999E-2</v>
      </c>
      <c r="AL7" s="190">
        <v>1.5E-3</v>
      </c>
      <c r="AM7" s="2350">
        <v>0.02</v>
      </c>
      <c r="AN7" s="2352"/>
      <c r="AO7" s="1981"/>
      <c r="AP7" s="1197">
        <f t="shared" ref="AP7:AP13" si="8">ROUND(1-1/(1+H7)^F7,3)</f>
        <v>0.88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70">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70">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70">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70">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70">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70">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2314</v>
      </c>
      <c r="B14" s="2287" t="s">
        <v>1679</v>
      </c>
      <c r="C14" s="2288" t="s">
        <v>2314</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2"/>
      <c r="V14" s="2301"/>
      <c r="W14" s="2301"/>
      <c r="X14" s="2302"/>
      <c r="Y14" s="2303"/>
      <c r="Z14" s="136"/>
      <c r="AA14" s="2304"/>
      <c r="AB14" s="2304"/>
      <c r="AC14" s="2305"/>
      <c r="AD14" s="2302"/>
      <c r="AE14" s="970"/>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2316</v>
      </c>
      <c r="B15" s="2287" t="s">
        <v>1679</v>
      </c>
      <c r="C15" s="2288" t="s">
        <v>2315</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0.999</v>
      </c>
      <c r="H16" s="203">
        <f>ROUND(SUMPRODUCT(H6:H13,K6:K13)/SUMPRODUCT((H6:H13&gt;0)*(K6:K13)),3)</f>
        <v>4.7E-2</v>
      </c>
      <c r="I16" s="204"/>
      <c r="J16" s="204"/>
      <c r="K16" s="205">
        <f>SUM(K6:K15)</f>
        <v>126219.51999999999</v>
      </c>
      <c r="L16" s="206">
        <f>ROUND(M16*10000/SUM(K6:K14),0)</f>
        <v>2700</v>
      </c>
      <c r="M16" s="206">
        <f>SUM(M6:M14)</f>
        <v>34079</v>
      </c>
      <c r="N16" s="207">
        <f>ROUND(SUMPRODUCT(M6:M14,N6:N14)/M16,3)</f>
        <v>0</v>
      </c>
      <c r="O16" s="206">
        <f>SUM(O6:O14)</f>
        <v>0</v>
      </c>
      <c r="P16" s="206">
        <f>SUM(P6:P14)</f>
        <v>34079</v>
      </c>
      <c r="Q16" s="208">
        <f>ROUND(SUMPRODUCT(Q6:Q13,K6:K13)/SUMPRODUCT((Q6:Q13&gt;0)*(K6:K13)),2)</f>
        <v>0.17</v>
      </c>
      <c r="R16" s="2292">
        <f>SUM(R6:R13)</f>
        <v>45078.460000000006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0.94199999999999995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3207">
        <v>0.2</v>
      </c>
      <c r="K18" s="1972">
        <f>K16*J18</f>
        <v>25243.903999999999</v>
      </c>
      <c r="L18" s="1972">
        <v>2200</v>
      </c>
      <c r="M18" s="1970">
        <f>L18*K18/10000</f>
        <v>5553.65888</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2336</v>
      </c>
      <c r="D19" s="1974"/>
      <c r="E19" s="1973"/>
      <c r="F19" s="1973"/>
      <c r="G19" s="1973"/>
      <c r="H19" s="1973"/>
      <c r="I19" s="1973"/>
      <c r="J19" s="1973"/>
      <c r="K19" s="3208">
        <f>K6</f>
        <v>107286.59</v>
      </c>
      <c r="L19" s="1972">
        <f>L18</f>
        <v>2200</v>
      </c>
      <c r="M19" s="1970">
        <f t="shared" ref="M19:M20" si="9">L19*K19/10000</f>
        <v>23603.049800000001</v>
      </c>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2335</v>
      </c>
      <c r="D20" s="1974"/>
      <c r="E20" s="1973"/>
      <c r="F20" s="1973"/>
      <c r="G20" s="1973"/>
      <c r="H20" s="1973"/>
      <c r="I20" s="1973"/>
      <c r="J20" s="1973"/>
      <c r="K20" s="3208">
        <f>K7</f>
        <v>18932.93</v>
      </c>
      <c r="L20" s="1972">
        <f>L18</f>
        <v>2200</v>
      </c>
      <c r="M20" s="1970">
        <f t="shared" si="9"/>
        <v>4165.2446</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f>M21*10000/K16</f>
        <v>2640.0000000000005</v>
      </c>
      <c r="M21" s="1970">
        <f>M18+M19+M20</f>
        <v>33321.953280000002</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2338</v>
      </c>
      <c r="B27" s="227">
        <v>40.270000000000003</v>
      </c>
      <c r="C27" s="2327" t="s">
        <v>2342</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2339</v>
      </c>
      <c r="B28" s="229">
        <v>140.27000000000001</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2337</v>
      </c>
      <c r="B29" s="232"/>
      <c r="C29" s="1535" t="s">
        <v>2340</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5" t="s">
        <v>273</v>
      </c>
      <c r="B30" s="3201">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6" t="s">
        <v>275</v>
      </c>
      <c r="B32" s="1371">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3203">
        <v>0.04</v>
      </c>
      <c r="C33" s="2325" t="s">
        <v>2893</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5" t="s">
        <v>2894</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3200">
        <v>200</v>
      </c>
      <c r="C35" s="2325" t="s">
        <v>2895</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2896</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3204">
        <v>0.02</v>
      </c>
      <c r="C37" s="2325" t="s">
        <v>2897</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202">
        <v>0.02</v>
      </c>
      <c r="C38" s="2325" t="s">
        <v>2897</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2456</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2457</v>
      </c>
      <c r="B40" s="2441">
        <f ca="1">存贷款利率!E2</f>
        <v>4.7500000000000001E-2</v>
      </c>
      <c r="C40" s="2325" t="s">
        <v>2341</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2898</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2899</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2900</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2" t="s">
        <v>2901</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0.04</v>
      </c>
      <c r="C48" s="3023" t="s">
        <v>2902</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2903</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0" t="s">
        <v>1155</v>
      </c>
      <c r="C53" s="3024" t="s">
        <v>2904</v>
      </c>
      <c r="D53" s="3025" t="s">
        <v>2905</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2906</v>
      </c>
      <c r="B54" s="186">
        <v>6</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2907</v>
      </c>
      <c r="B55" s="186">
        <v>5</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2908</v>
      </c>
      <c r="B56" s="186"/>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2909</v>
      </c>
      <c r="B57" s="186"/>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2910</v>
      </c>
      <c r="B58" s="186"/>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2911</v>
      </c>
      <c r="B59" s="186"/>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2912</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2913</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2914</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2915</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3" t="s">
        <v>1663</v>
      </c>
      <c r="B1" s="3304"/>
      <c r="C1" s="3304"/>
      <c r="D1" s="3304"/>
      <c r="E1" s="3304"/>
      <c r="F1" s="3304"/>
      <c r="G1" s="3304"/>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9" t="s">
        <v>2922</v>
      </c>
      <c r="D3" s="1990"/>
      <c r="E3" s="1222" t="s">
        <v>1666</v>
      </c>
      <c r="F3" s="1223" t="s">
        <v>1654</v>
      </c>
      <c r="G3" s="3033" t="s">
        <v>2921</v>
      </c>
      <c r="H3" s="1989"/>
      <c r="I3" s="1989"/>
      <c r="J3" s="1989"/>
      <c r="K3" s="1989"/>
      <c r="L3" s="1989"/>
      <c r="M3" s="1989"/>
      <c r="N3" s="1989"/>
      <c r="O3" s="1989"/>
      <c r="P3" s="1989"/>
      <c r="Q3" s="1989"/>
      <c r="R3" s="1989"/>
    </row>
    <row r="4" spans="1:18" ht="41.25">
      <c r="A4" s="1222"/>
      <c r="B4" s="1224" t="s">
        <v>1667</v>
      </c>
      <c r="C4" s="3030" t="s">
        <v>3211</v>
      </c>
      <c r="D4" s="1990"/>
      <c r="E4" s="1225"/>
      <c r="F4" s="1226" t="s">
        <v>1668</v>
      </c>
      <c r="G4" s="3031" t="s">
        <v>2918</v>
      </c>
      <c r="H4" s="1989"/>
      <c r="I4" s="1989"/>
      <c r="J4" s="1989"/>
      <c r="K4" s="1989"/>
      <c r="L4" s="1989"/>
      <c r="M4" s="1989"/>
      <c r="N4" s="1989"/>
      <c r="O4" s="1989"/>
      <c r="P4" s="1989"/>
      <c r="Q4" s="1989"/>
      <c r="R4" s="1989"/>
    </row>
    <row r="5" spans="1:18" ht="41.25">
      <c r="A5" s="1222"/>
      <c r="B5" s="1224" t="s">
        <v>1669</v>
      </c>
      <c r="C5" s="3030" t="s">
        <v>2923</v>
      </c>
      <c r="D5" s="1990"/>
      <c r="E5" s="1225"/>
      <c r="F5" s="1224" t="s">
        <v>2546</v>
      </c>
      <c r="G5" s="3031" t="s">
        <v>2919</v>
      </c>
      <c r="H5" s="1989"/>
      <c r="I5" s="1989"/>
      <c r="J5" s="1989"/>
      <c r="K5" s="1989"/>
      <c r="L5" s="1989"/>
      <c r="M5" s="1989"/>
      <c r="N5" s="1989"/>
      <c r="O5" s="1989"/>
      <c r="P5" s="1989"/>
      <c r="Q5" s="1989"/>
      <c r="R5" s="1989"/>
    </row>
    <row r="6" spans="1:18" ht="54">
      <c r="A6" s="1222"/>
      <c r="B6" s="1224" t="s">
        <v>1655</v>
      </c>
      <c r="C6" s="3031" t="s">
        <v>2918</v>
      </c>
      <c r="D6" s="1990"/>
      <c r="E6" s="1225"/>
      <c r="F6" s="1224" t="s">
        <v>2547</v>
      </c>
      <c r="G6" s="3031" t="s">
        <v>2916</v>
      </c>
      <c r="H6" s="1989"/>
      <c r="I6" s="1989"/>
      <c r="J6" s="1989"/>
      <c r="K6" s="1989"/>
      <c r="L6" s="1989"/>
      <c r="M6" s="1989"/>
      <c r="N6" s="1989"/>
      <c r="O6" s="1989"/>
      <c r="P6" s="1989"/>
      <c r="Q6" s="1989"/>
      <c r="R6" s="1989"/>
    </row>
    <row r="7" spans="1:18" ht="41.25" thickBot="1">
      <c r="A7" s="1222"/>
      <c r="B7" s="1224" t="s">
        <v>2546</v>
      </c>
      <c r="C7" s="3031" t="s">
        <v>2919</v>
      </c>
      <c r="D7" s="1991"/>
      <c r="E7" s="1227"/>
      <c r="F7" s="1228" t="s">
        <v>1670</v>
      </c>
      <c r="G7" s="3034" t="s">
        <v>2920</v>
      </c>
      <c r="H7" s="1989"/>
      <c r="I7" s="1989"/>
      <c r="J7" s="1989"/>
      <c r="K7" s="1989"/>
      <c r="L7" s="1989"/>
      <c r="M7" s="1989"/>
      <c r="N7" s="1989"/>
      <c r="O7" s="1989"/>
      <c r="P7" s="1989"/>
      <c r="Q7" s="1989"/>
      <c r="R7" s="1989"/>
    </row>
    <row r="8" spans="1:18" ht="27">
      <c r="A8" s="1222"/>
      <c r="B8" s="1224" t="s">
        <v>2547</v>
      </c>
      <c r="C8" s="3031" t="s">
        <v>2916</v>
      </c>
      <c r="D8" s="1991"/>
      <c r="E8" s="1991"/>
      <c r="F8" s="1536"/>
      <c r="G8" s="1536"/>
      <c r="H8" s="1989"/>
      <c r="I8" s="1989"/>
      <c r="J8" s="1989"/>
      <c r="K8" s="1989"/>
      <c r="L8" s="1989"/>
      <c r="M8" s="1989"/>
      <c r="N8" s="1989"/>
      <c r="O8" s="1989"/>
      <c r="P8" s="1989"/>
      <c r="Q8" s="1989"/>
      <c r="R8" s="1989"/>
    </row>
    <row r="9" spans="1:18" ht="40.5">
      <c r="A9" s="1222"/>
      <c r="B9" s="1224" t="s">
        <v>1656</v>
      </c>
      <c r="C9" s="3030" t="s">
        <v>2917</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2546</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2547</v>
      </c>
      <c r="G20" s="1002" t="str">
        <f>G6</f>
        <v>估价对象所在区域基础设施水平</v>
      </c>
    </row>
    <row r="21" spans="1:7" ht="27">
      <c r="A21" s="2549"/>
      <c r="B21" s="1224" t="s">
        <v>2546</v>
      </c>
      <c r="C21" s="1002" t="str">
        <f>C7</f>
        <v>估价对象所在区域公共配套设施齐备情况</v>
      </c>
      <c r="D21" s="1990"/>
      <c r="E21" s="2546"/>
      <c r="F21" s="1240" t="s">
        <v>1661</v>
      </c>
      <c r="G21" s="3035"/>
    </row>
    <row r="22" spans="1:7" ht="27">
      <c r="A22" s="2549"/>
      <c r="B22" s="1224" t="s">
        <v>2547</v>
      </c>
      <c r="C22" s="1002" t="str">
        <f>C8</f>
        <v>估价对象所在区域基础设施水平</v>
      </c>
      <c r="D22" s="1990"/>
      <c r="E22" s="2546"/>
      <c r="F22" s="1240" t="s">
        <v>1671</v>
      </c>
      <c r="G22" s="2746"/>
    </row>
    <row r="23" spans="1:7" ht="15" thickBot="1">
      <c r="A23" s="2549"/>
      <c r="B23" s="1240" t="s">
        <v>1661</v>
      </c>
      <c r="C23" s="3035"/>
      <c r="E23" s="2547"/>
      <c r="F23" s="1241" t="s">
        <v>1675</v>
      </c>
      <c r="G23" s="3036"/>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7"/>
  <sheetViews>
    <sheetView tabSelected="1" workbookViewId="0">
      <selection activeCell="C27" sqref="C27"/>
    </sheetView>
  </sheetViews>
  <sheetFormatPr defaultColWidth="14.625" defaultRowHeight="13.5"/>
  <cols>
    <col min="1" max="1" width="24.375" customWidth="1"/>
  </cols>
  <sheetData>
    <row r="1" spans="1:10" ht="16.5">
      <c r="A1" s="2993" t="s">
        <v>2843</v>
      </c>
      <c r="B1" s="2993">
        <f>SUM(B14:B23)</f>
        <v>238617.44999999998</v>
      </c>
      <c r="C1" s="2994"/>
      <c r="D1" s="2994"/>
      <c r="E1" s="2994"/>
      <c r="F1" s="2994"/>
    </row>
    <row r="2" spans="1:10" ht="16.5">
      <c r="A2" s="2993" t="s">
        <v>2844</v>
      </c>
      <c r="B2" s="2993">
        <f>SUM(C14:C23)</f>
        <v>85220.58</v>
      </c>
      <c r="C2" s="2994"/>
      <c r="D2" s="2994"/>
      <c r="E2" s="2994"/>
      <c r="F2" s="2994"/>
    </row>
    <row r="3" spans="1:10" ht="16.5">
      <c r="A3" s="2993" t="s">
        <v>2845</v>
      </c>
      <c r="B3" s="2995">
        <f>项目基本情况!D3</f>
        <v>43815</v>
      </c>
      <c r="C3" s="2994"/>
      <c r="D3" s="2994"/>
      <c r="E3" s="2994"/>
      <c r="F3" s="2994"/>
    </row>
    <row r="4" spans="1:10" ht="33">
      <c r="A4" s="2993" t="s">
        <v>2846</v>
      </c>
      <c r="B4" s="2993" t="s">
        <v>2847</v>
      </c>
      <c r="C4" s="2993" t="s">
        <v>2848</v>
      </c>
      <c r="D4" s="2993" t="s">
        <v>2849</v>
      </c>
      <c r="E4" s="2994"/>
      <c r="F4" s="2994"/>
    </row>
    <row r="5" spans="1:10" ht="16.5">
      <c r="A5" s="2993" t="s">
        <v>2850</v>
      </c>
      <c r="B5" s="2993">
        <f ca="1">SUM(D14:D23)</f>
        <v>42645</v>
      </c>
      <c r="C5" s="2993">
        <f ca="1">ROUND(B5*10000/$B$1,0)</f>
        <v>1787</v>
      </c>
      <c r="D5" s="2993">
        <f ca="1">ROUND(B5*10000/$B$2,0)</f>
        <v>5004</v>
      </c>
      <c r="E5" s="2994"/>
      <c r="F5" s="2994"/>
    </row>
    <row r="6" spans="1:10" ht="16.5">
      <c r="A6" s="2993" t="s">
        <v>2851</v>
      </c>
      <c r="B6" s="2993">
        <f>SUM(G14:G23)</f>
        <v>0</v>
      </c>
      <c r="C6" s="2993">
        <f t="shared" ref="C6:C8" si="0">ROUND(B6*10000/$B$1,0)</f>
        <v>0</v>
      </c>
      <c r="D6" s="2993">
        <f t="shared" ref="D6:D8" si="1">ROUND(B6*10000/$B$2,0)</f>
        <v>0</v>
      </c>
      <c r="E6" s="2994"/>
      <c r="F6" s="2994"/>
    </row>
    <row r="7" spans="1:10" ht="16.5">
      <c r="A7" s="2993" t="s">
        <v>2852</v>
      </c>
      <c r="B7" s="2993">
        <f>SUM(H14:H23)</f>
        <v>0</v>
      </c>
      <c r="C7" s="2993">
        <f t="shared" si="0"/>
        <v>0</v>
      </c>
      <c r="D7" s="2993">
        <f t="shared" si="1"/>
        <v>0</v>
      </c>
      <c r="E7" s="2994"/>
      <c r="F7" s="2994"/>
    </row>
    <row r="8" spans="1:10" ht="16.5">
      <c r="A8" s="2993" t="s">
        <v>2853</v>
      </c>
      <c r="B8" s="2993">
        <f>SUM(I14:I23)</f>
        <v>0</v>
      </c>
      <c r="C8" s="2993">
        <f t="shared" si="0"/>
        <v>0</v>
      </c>
      <c r="D8" s="2993">
        <f t="shared" si="1"/>
        <v>0</v>
      </c>
      <c r="E8" s="2994"/>
      <c r="F8" s="2994"/>
    </row>
    <row r="9" spans="1:10" ht="16.5">
      <c r="A9" s="2993" t="s">
        <v>2854</v>
      </c>
      <c r="B9" s="2996"/>
      <c r="C9" s="2994"/>
      <c r="D9" s="2994"/>
      <c r="E9" s="2994"/>
      <c r="F9" s="2994"/>
    </row>
    <row r="10" spans="1:10" ht="16.5">
      <c r="A10" s="2993" t="s">
        <v>2855</v>
      </c>
      <c r="B10" s="2996"/>
      <c r="C10" s="2994"/>
      <c r="D10" s="2994"/>
      <c r="E10" s="2994"/>
      <c r="F10" s="2994"/>
    </row>
    <row r="11" spans="1:10" ht="16.5">
      <c r="A11" s="2993" t="s">
        <v>2872</v>
      </c>
      <c r="B11" s="2996"/>
      <c r="C11" s="2994"/>
      <c r="D11" s="2994"/>
      <c r="E11" s="2994"/>
      <c r="F11" s="2994"/>
    </row>
    <row r="12" spans="1:10" ht="16.5">
      <c r="A12" s="2994"/>
      <c r="B12" s="2994"/>
      <c r="C12" s="2994"/>
      <c r="D12" s="2994"/>
      <c r="E12" s="2994"/>
      <c r="F12" s="2994"/>
    </row>
    <row r="13" spans="1:10" ht="33">
      <c r="A13" s="2999" t="s">
        <v>2871</v>
      </c>
      <c r="B13" s="2997" t="s">
        <v>2843</v>
      </c>
      <c r="C13" s="2997" t="s">
        <v>2844</v>
      </c>
      <c r="D13" s="2997" t="s">
        <v>2856</v>
      </c>
      <c r="E13" s="2993" t="s">
        <v>2870</v>
      </c>
      <c r="F13" s="2993" t="s">
        <v>2849</v>
      </c>
      <c r="G13" s="2997" t="s">
        <v>2857</v>
      </c>
      <c r="H13" s="2997" t="s">
        <v>2858</v>
      </c>
      <c r="I13" s="2997" t="s">
        <v>2859</v>
      </c>
      <c r="J13">
        <f ca="1">J14+J15+J16+J17</f>
        <v>21322.5</v>
      </c>
    </row>
    <row r="14" spans="1:10" ht="16.5">
      <c r="A14" s="3000" t="s">
        <v>2869</v>
      </c>
      <c r="B14" s="2997">
        <f>结果表!L38</f>
        <v>126219.51999999999</v>
      </c>
      <c r="C14" s="2997">
        <f>结果表!K38</f>
        <v>45078.46</v>
      </c>
      <c r="D14" s="2997">
        <f ca="1">结果表!C42</f>
        <v>22623</v>
      </c>
      <c r="E14" s="2997">
        <f ca="1">ROUND(D14*10000/B14,0)</f>
        <v>1792</v>
      </c>
      <c r="F14" s="2997">
        <f ca="1">ROUND(D14*10000/C14,0)</f>
        <v>5019</v>
      </c>
      <c r="G14" s="2997" t="str">
        <f>结果表!C44</f>
        <v>——</v>
      </c>
      <c r="H14" s="2997" t="str">
        <f>结果表!C45</f>
        <v>——</v>
      </c>
      <c r="I14" s="2997" t="str">
        <f>结果表!C46</f>
        <v>——</v>
      </c>
      <c r="J14">
        <f ca="1">D14*0.5</f>
        <v>11311.5</v>
      </c>
    </row>
    <row r="15" spans="1:10" ht="16.5">
      <c r="A15" s="3000" t="s">
        <v>2860</v>
      </c>
      <c r="B15" s="3001">
        <f>'典型户型修正 (2)'!B25</f>
        <v>112397.93</v>
      </c>
      <c r="C15" s="3001">
        <f>Sheet4!C5</f>
        <v>40142.120000000003</v>
      </c>
      <c r="D15" s="3001">
        <f ca="1">'典型户型修正 (2)'!T25</f>
        <v>20022</v>
      </c>
      <c r="E15" s="2997">
        <f t="shared" ref="E15:E23" ca="1" si="2">ROUND(D15*10000/B15,0)</f>
        <v>1781</v>
      </c>
      <c r="F15" s="2997">
        <f t="shared" ref="F15:F23" ca="1" si="3">ROUND(D15*10000/C15,0)</f>
        <v>4988</v>
      </c>
      <c r="G15" s="2998"/>
      <c r="H15" s="2998"/>
      <c r="I15" s="3001"/>
      <c r="J15">
        <f t="shared" ref="J15:J16" ca="1" si="4">D15*0.5</f>
        <v>10011</v>
      </c>
    </row>
    <row r="16" spans="1:10" ht="16.5">
      <c r="A16" s="3000" t="s">
        <v>2861</v>
      </c>
      <c r="B16" s="3001"/>
      <c r="C16" s="3001"/>
      <c r="D16" s="3001"/>
      <c r="E16" s="2997" t="e">
        <f t="shared" si="2"/>
        <v>#DIV/0!</v>
      </c>
      <c r="F16" s="2997" t="e">
        <f t="shared" si="3"/>
        <v>#DIV/0!</v>
      </c>
      <c r="G16" s="2998"/>
      <c r="H16" s="2998"/>
      <c r="I16" s="3001"/>
      <c r="J16">
        <f t="shared" si="4"/>
        <v>0</v>
      </c>
    </row>
    <row r="17" spans="1:10" ht="16.5">
      <c r="A17" s="3000" t="s">
        <v>2862</v>
      </c>
      <c r="B17" s="3001"/>
      <c r="C17" s="3001"/>
      <c r="D17" s="3001"/>
      <c r="E17" s="2997" t="e">
        <f>ROUND(D17*10000/B17,0)</f>
        <v>#DIV/0!</v>
      </c>
      <c r="F17" s="2997" t="e">
        <f>ROUND(D17*10000/C17,0)</f>
        <v>#DIV/0!</v>
      </c>
      <c r="G17" s="2998"/>
      <c r="H17" s="2998"/>
      <c r="I17" s="3001"/>
      <c r="J17">
        <f>D17*0.4</f>
        <v>0</v>
      </c>
    </row>
    <row r="18" spans="1:10" ht="16.5">
      <c r="A18" s="3000" t="s">
        <v>2863</v>
      </c>
      <c r="B18" s="3001"/>
      <c r="C18" s="3001"/>
      <c r="D18" s="3206"/>
      <c r="E18" s="2997" t="e">
        <f>ROUND(D17*10000/B18,0)</f>
        <v>#DIV/0!</v>
      </c>
      <c r="F18" s="2997" t="e">
        <f>ROUND(D17*10000/C18,0)</f>
        <v>#DIV/0!</v>
      </c>
      <c r="G18" s="3001"/>
      <c r="H18" s="3001"/>
      <c r="I18" s="3001"/>
    </row>
    <row r="19" spans="1:10" ht="16.5">
      <c r="A19" s="3000" t="s">
        <v>2864</v>
      </c>
      <c r="B19" s="3001"/>
      <c r="C19" s="3001"/>
      <c r="D19" s="3001"/>
      <c r="E19" s="2997" t="e">
        <f t="shared" si="2"/>
        <v>#DIV/0!</v>
      </c>
      <c r="F19" s="2997" t="e">
        <f t="shared" si="3"/>
        <v>#DIV/0!</v>
      </c>
      <c r="G19" s="3001"/>
      <c r="H19" s="3001"/>
      <c r="I19" s="3001"/>
    </row>
    <row r="20" spans="1:10" ht="16.5">
      <c r="A20" s="3000" t="s">
        <v>2865</v>
      </c>
      <c r="B20" s="3001"/>
      <c r="C20" s="3001"/>
      <c r="D20" s="3001"/>
      <c r="E20" s="2997" t="e">
        <f t="shared" si="2"/>
        <v>#DIV/0!</v>
      </c>
      <c r="F20" s="2997" t="e">
        <f t="shared" si="3"/>
        <v>#DIV/0!</v>
      </c>
      <c r="G20" s="3001"/>
      <c r="H20" s="3001"/>
      <c r="I20" s="3001"/>
    </row>
    <row r="21" spans="1:10" ht="16.5">
      <c r="A21" s="3000" t="s">
        <v>2866</v>
      </c>
      <c r="B21" s="3001"/>
      <c r="C21" s="3001"/>
      <c r="D21" s="3001"/>
      <c r="E21" s="2997" t="e">
        <f t="shared" si="2"/>
        <v>#DIV/0!</v>
      </c>
      <c r="F21" s="2997" t="e">
        <f t="shared" si="3"/>
        <v>#DIV/0!</v>
      </c>
      <c r="G21" s="3001"/>
      <c r="H21" s="3001"/>
      <c r="I21" s="3001"/>
    </row>
    <row r="22" spans="1:10" ht="16.5">
      <c r="A22" s="3000" t="s">
        <v>2867</v>
      </c>
      <c r="B22" s="3001"/>
      <c r="C22" s="3001"/>
      <c r="D22" s="3001"/>
      <c r="E22" s="2997" t="e">
        <f t="shared" si="2"/>
        <v>#DIV/0!</v>
      </c>
      <c r="F22" s="2997" t="e">
        <f t="shared" si="3"/>
        <v>#DIV/0!</v>
      </c>
      <c r="G22" s="3001"/>
      <c r="H22" s="3001"/>
      <c r="I22" s="3001"/>
    </row>
    <row r="23" spans="1:10" ht="16.5">
      <c r="A23" s="3000" t="s">
        <v>2868</v>
      </c>
      <c r="B23" s="3001"/>
      <c r="C23" s="3001"/>
      <c r="D23" s="3001"/>
      <c r="E23" s="2993" t="e">
        <f t="shared" si="2"/>
        <v>#DIV/0!</v>
      </c>
      <c r="F23" s="2993" t="e">
        <f t="shared" si="3"/>
        <v>#DIV/0!</v>
      </c>
      <c r="G23" s="3001"/>
      <c r="H23" s="3001"/>
      <c r="I23" s="3001"/>
    </row>
    <row r="27" spans="1:10">
      <c r="G27" s="1775"/>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33" sqref="C33"/>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7" t="s">
        <v>2055</v>
      </c>
      <c r="B1" s="1758"/>
      <c r="C1" s="1786" t="s">
        <v>2056</v>
      </c>
      <c r="D1" s="1787"/>
      <c r="E1" s="1786" t="s">
        <v>2057</v>
      </c>
      <c r="F1" s="1788" t="s">
        <v>3058</v>
      </c>
      <c r="G1" s="310"/>
      <c r="H1" s="310"/>
      <c r="I1" s="310"/>
      <c r="J1" s="2010"/>
      <c r="K1" s="2010"/>
      <c r="L1" s="2010"/>
      <c r="M1" s="2010"/>
      <c r="N1" s="2010"/>
      <c r="O1" s="2010"/>
      <c r="P1" s="2010"/>
      <c r="Q1" s="2010"/>
      <c r="R1" s="2010"/>
      <c r="S1" s="2010"/>
      <c r="T1" s="2010"/>
      <c r="U1" s="2010"/>
      <c r="V1" s="2010"/>
    </row>
    <row r="2" spans="1:22" ht="21.75" customHeight="1" thickBot="1">
      <c r="A2" s="3350" t="str">
        <f>项目基本情况!K2</f>
        <v>出让国有建设用地使用权</v>
      </c>
      <c r="B2" s="3351"/>
      <c r="C2" s="3352"/>
      <c r="D2" s="3352"/>
      <c r="E2" s="3352"/>
      <c r="F2" s="3352"/>
      <c r="G2" s="3351"/>
      <c r="H2" s="3351"/>
      <c r="I2" s="3353"/>
      <c r="J2" s="2011"/>
      <c r="K2" s="2010"/>
      <c r="L2" s="2010"/>
      <c r="M2" s="2010"/>
      <c r="N2" s="2010"/>
      <c r="O2" s="2010"/>
      <c r="P2" s="2010"/>
      <c r="Q2" s="2010"/>
      <c r="R2" s="2010"/>
      <c r="S2" s="2010"/>
      <c r="T2" s="2010"/>
      <c r="U2" s="2010"/>
      <c r="V2" s="2010"/>
    </row>
    <row r="3" spans="1:22" ht="14.25">
      <c r="A3" s="3361" t="s">
        <v>298</v>
      </c>
      <c r="B3" s="3362"/>
      <c r="C3" s="3362"/>
      <c r="D3" s="3362"/>
      <c r="E3" s="3362"/>
      <c r="F3" s="3362"/>
      <c r="G3" s="3362"/>
      <c r="H3" s="3362"/>
      <c r="I3" s="3362"/>
      <c r="J3" s="2011"/>
      <c r="K3" s="2010"/>
      <c r="L3" s="2010"/>
      <c r="M3" s="2010"/>
      <c r="N3" s="2010"/>
      <c r="O3" s="2010"/>
      <c r="P3" s="2010"/>
      <c r="Q3" s="2010"/>
      <c r="R3" s="2010"/>
      <c r="S3" s="2010"/>
      <c r="T3" s="2010"/>
      <c r="U3" s="2010"/>
      <c r="V3" s="2010"/>
    </row>
    <row r="4" spans="1:22" ht="14.25">
      <c r="A4" s="257" t="s">
        <v>299</v>
      </c>
      <c r="B4" s="258" t="s">
        <v>300</v>
      </c>
      <c r="C4" s="259" t="s">
        <v>3059</v>
      </c>
      <c r="D4" s="259" t="s">
        <v>3060</v>
      </c>
      <c r="E4" s="3325" t="s">
        <v>301</v>
      </c>
      <c r="F4" s="3367"/>
      <c r="G4" s="3367"/>
      <c r="H4" s="3367"/>
      <c r="I4" s="3326"/>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54" t="s">
        <v>302</v>
      </c>
      <c r="B5" s="3355">
        <v>25</v>
      </c>
      <c r="C5" s="3363"/>
      <c r="D5" s="3366"/>
      <c r="E5" s="260" t="s">
        <v>303</v>
      </c>
      <c r="F5" s="261"/>
      <c r="G5" s="261"/>
      <c r="H5" s="261"/>
      <c r="I5" s="262"/>
      <c r="J5" s="2011"/>
      <c r="K5" s="2010"/>
      <c r="L5" s="2010"/>
      <c r="M5" s="2010"/>
      <c r="N5" s="2010"/>
      <c r="O5" s="2010"/>
      <c r="P5" s="2010"/>
      <c r="Q5" s="2010"/>
      <c r="R5" s="2010"/>
      <c r="S5" s="2010"/>
      <c r="T5" s="2010"/>
      <c r="U5" s="2010"/>
      <c r="V5" s="2010"/>
    </row>
    <row r="6" spans="1:22" ht="14.25">
      <c r="A6" s="3354"/>
      <c r="B6" s="3355"/>
      <c r="C6" s="3364"/>
      <c r="D6" s="3366"/>
      <c r="E6" s="260" t="s">
        <v>304</v>
      </c>
      <c r="F6" s="261"/>
      <c r="G6" s="261"/>
      <c r="H6" s="261"/>
      <c r="I6" s="262"/>
      <c r="J6" s="2011"/>
      <c r="K6" s="2010"/>
      <c r="L6" s="2010"/>
      <c r="M6" s="2010"/>
      <c r="N6" s="2010"/>
      <c r="O6" s="2010"/>
      <c r="P6" s="2010"/>
      <c r="Q6" s="2010"/>
      <c r="R6" s="2010"/>
      <c r="S6" s="2010"/>
      <c r="T6" s="2010"/>
      <c r="U6" s="2010"/>
      <c r="V6" s="2010"/>
    </row>
    <row r="7" spans="1:22" ht="14.25">
      <c r="A7" s="3354"/>
      <c r="B7" s="3355"/>
      <c r="C7" s="3365"/>
      <c r="D7" s="3366"/>
      <c r="E7" s="260" t="s">
        <v>305</v>
      </c>
      <c r="F7" s="261"/>
      <c r="G7" s="261"/>
      <c r="H7" s="261"/>
      <c r="I7" s="262"/>
      <c r="J7" s="2011"/>
      <c r="K7" s="2010"/>
      <c r="L7" s="2010"/>
      <c r="M7" s="2010"/>
      <c r="N7" s="2010"/>
      <c r="O7" s="2010"/>
      <c r="P7" s="2010"/>
      <c r="Q7" s="2010"/>
      <c r="R7" s="2010"/>
      <c r="S7" s="2010"/>
      <c r="T7" s="2010"/>
      <c r="U7" s="2010"/>
      <c r="V7" s="2010"/>
    </row>
    <row r="8" spans="1:22" ht="14.25">
      <c r="A8" s="3354" t="s">
        <v>306</v>
      </c>
      <c r="B8" s="3355">
        <v>15</v>
      </c>
      <c r="C8" s="3363"/>
      <c r="D8" s="3366"/>
      <c r="E8" s="260" t="s">
        <v>307</v>
      </c>
      <c r="F8" s="261"/>
      <c r="G8" s="261"/>
      <c r="H8" s="261"/>
      <c r="I8" s="262"/>
      <c r="J8" s="2011"/>
      <c r="K8" s="2010"/>
      <c r="L8" s="2010"/>
      <c r="M8" s="2010"/>
      <c r="N8" s="2010"/>
      <c r="O8" s="2010"/>
      <c r="P8" s="2010"/>
      <c r="Q8" s="2010"/>
      <c r="R8" s="2010"/>
      <c r="S8" s="2010"/>
      <c r="T8" s="2010"/>
      <c r="U8" s="2010"/>
      <c r="V8" s="2010"/>
    </row>
    <row r="9" spans="1:22" ht="14.25">
      <c r="A9" s="3354"/>
      <c r="B9" s="3355"/>
      <c r="C9" s="3365"/>
      <c r="D9" s="3366"/>
      <c r="E9" s="260" t="s">
        <v>308</v>
      </c>
      <c r="F9" s="261"/>
      <c r="G9" s="261"/>
      <c r="H9" s="261"/>
      <c r="I9" s="262"/>
      <c r="J9" s="2011"/>
      <c r="K9" s="2010"/>
      <c r="L9" s="2010"/>
      <c r="M9" s="2010"/>
      <c r="N9" s="2010"/>
      <c r="O9" s="2010"/>
      <c r="P9" s="2010"/>
      <c r="Q9" s="2010"/>
      <c r="R9" s="2010"/>
      <c r="S9" s="2010"/>
      <c r="T9" s="2010"/>
      <c r="U9" s="2010"/>
      <c r="V9" s="2010"/>
    </row>
    <row r="10" spans="1:22" ht="14.25">
      <c r="A10" s="3354" t="s">
        <v>309</v>
      </c>
      <c r="B10" s="3355">
        <v>15</v>
      </c>
      <c r="C10" s="3363"/>
      <c r="D10" s="3366"/>
      <c r="E10" s="260" t="s">
        <v>310</v>
      </c>
      <c r="F10" s="261"/>
      <c r="G10" s="261"/>
      <c r="H10" s="261"/>
      <c r="I10" s="262"/>
      <c r="J10" s="2011"/>
      <c r="K10" s="2010"/>
      <c r="L10" s="2010"/>
      <c r="M10" s="2010"/>
      <c r="N10" s="2010"/>
      <c r="O10" s="2010"/>
      <c r="P10" s="2010"/>
      <c r="Q10" s="2010"/>
      <c r="R10" s="2010"/>
      <c r="S10" s="2010"/>
      <c r="T10" s="2010"/>
      <c r="U10" s="2010"/>
      <c r="V10" s="2010"/>
    </row>
    <row r="11" spans="1:22" ht="14.25">
      <c r="A11" s="3354"/>
      <c r="B11" s="3355"/>
      <c r="C11" s="3365"/>
      <c r="D11" s="3366"/>
      <c r="E11" s="260" t="s">
        <v>311</v>
      </c>
      <c r="F11" s="261"/>
      <c r="G11" s="261"/>
      <c r="H11" s="261"/>
      <c r="I11" s="262"/>
      <c r="J11" s="2011"/>
      <c r="K11" s="2010"/>
      <c r="L11" s="2010"/>
      <c r="M11" s="2010"/>
      <c r="N11" s="2010"/>
      <c r="O11" s="2010"/>
      <c r="P11" s="2010"/>
      <c r="Q11" s="2010"/>
      <c r="R11" s="2010"/>
      <c r="S11" s="2010"/>
      <c r="T11" s="2010"/>
      <c r="U11" s="2010"/>
      <c r="V11" s="2010"/>
    </row>
    <row r="12" spans="1:22" ht="14.25">
      <c r="A12" s="3354" t="s">
        <v>312</v>
      </c>
      <c r="B12" s="3355">
        <v>15</v>
      </c>
      <c r="C12" s="3363"/>
      <c r="D12" s="3366"/>
      <c r="E12" s="260" t="s">
        <v>313</v>
      </c>
      <c r="F12" s="261"/>
      <c r="G12" s="261"/>
      <c r="H12" s="261"/>
      <c r="I12" s="262"/>
      <c r="J12" s="2011"/>
      <c r="K12" s="2010"/>
      <c r="L12" s="2010"/>
      <c r="M12" s="2010"/>
      <c r="N12" s="2010"/>
      <c r="O12" s="2010"/>
      <c r="P12" s="2010"/>
      <c r="Q12" s="2010"/>
      <c r="R12" s="2010"/>
      <c r="S12" s="2010"/>
      <c r="T12" s="2010"/>
      <c r="U12" s="2010"/>
      <c r="V12" s="2010"/>
    </row>
    <row r="13" spans="1:22" ht="14.25">
      <c r="A13" s="3354"/>
      <c r="B13" s="3355"/>
      <c r="C13" s="3365"/>
      <c r="D13" s="3366"/>
      <c r="E13" s="260" t="s">
        <v>314</v>
      </c>
      <c r="F13" s="261"/>
      <c r="G13" s="261"/>
      <c r="H13" s="261"/>
      <c r="I13" s="262"/>
      <c r="J13" s="2011"/>
      <c r="K13" s="2010"/>
      <c r="L13" s="2010"/>
      <c r="M13" s="2010"/>
      <c r="N13" s="2010"/>
      <c r="O13" s="2010"/>
      <c r="P13" s="2010"/>
      <c r="Q13" s="2010"/>
      <c r="R13" s="2010"/>
      <c r="S13" s="2010"/>
      <c r="T13" s="2010"/>
      <c r="U13" s="2010"/>
      <c r="V13" s="2010"/>
    </row>
    <row r="14" spans="1:22" ht="14.25">
      <c r="A14" s="3354" t="s">
        <v>315</v>
      </c>
      <c r="B14" s="3355">
        <v>30</v>
      </c>
      <c r="C14" s="3363">
        <v>5</v>
      </c>
      <c r="D14" s="3366">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54"/>
      <c r="B15" s="3355"/>
      <c r="C15" s="3364"/>
      <c r="D15" s="3366"/>
      <c r="E15" s="260" t="s">
        <v>317</v>
      </c>
      <c r="F15" s="261"/>
      <c r="G15" s="261"/>
      <c r="H15" s="261"/>
      <c r="I15" s="262"/>
      <c r="J15" s="2011"/>
      <c r="K15" s="2010"/>
      <c r="L15" s="2010"/>
      <c r="M15" s="2010"/>
      <c r="N15" s="2010"/>
      <c r="O15" s="2010"/>
      <c r="P15" s="2010"/>
      <c r="Q15" s="2010"/>
      <c r="R15" s="2010"/>
      <c r="S15" s="2010"/>
      <c r="T15" s="2010"/>
      <c r="U15" s="2010"/>
      <c r="V15" s="2010"/>
    </row>
    <row r="16" spans="1:22" ht="14.25">
      <c r="A16" s="3354"/>
      <c r="B16" s="3355"/>
      <c r="C16" s="3365"/>
      <c r="D16" s="3366"/>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20473</v>
      </c>
      <c r="D19" s="270">
        <f ca="1">SUMIF(INDIRECT("'"&amp;D4&amp;"'"&amp;"!A:A"),结果表!B19,INDIRECT("'"&amp;D4&amp;"'"&amp;"!B:B"))</f>
        <v>24773</v>
      </c>
      <c r="E19" s="267" t="s">
        <v>323</v>
      </c>
      <c r="F19" s="268" t="s">
        <v>322</v>
      </c>
      <c r="G19" s="271">
        <f ca="1">ROUND(C19*$C$18+D19*$D$18,0)</f>
        <v>22623</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1622</v>
      </c>
      <c r="D20" s="276">
        <f ca="1">SUMIF(INDIRECT("'"&amp;D4&amp;"'"&amp;"!A:A"),结果表!B20,INDIRECT("'"&amp;D4&amp;"'"&amp;"!B:B"))</f>
        <v>1963</v>
      </c>
      <c r="E20" s="273"/>
      <c r="F20" s="274" t="s">
        <v>325</v>
      </c>
      <c r="G20" s="277">
        <f ca="1">ROUND(C20*$C$18+D20*$D$18,0)</f>
        <v>1793</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4542</v>
      </c>
      <c r="D21" s="151">
        <f ca="1">SUMIF(INDIRECT("'"&amp;D4&amp;"'"&amp;"!A:A"),结果表!B21,INDIRECT("'"&amp;D4&amp;"'"&amp;"!B:B"))</f>
        <v>5496</v>
      </c>
      <c r="E21" s="273"/>
      <c r="F21" s="279" t="s">
        <v>327</v>
      </c>
      <c r="G21" s="281">
        <f ca="1">ROUND(C21*$C$18+D21*$D$18,0)</f>
        <v>5019</v>
      </c>
      <c r="H21" s="1244" t="s">
        <v>326</v>
      </c>
      <c r="I21" s="310"/>
      <c r="J21" s="2010"/>
      <c r="K21" s="2010"/>
      <c r="L21" s="2010"/>
      <c r="M21" s="2010"/>
      <c r="N21" s="2010"/>
      <c r="O21" s="2010"/>
      <c r="P21" s="2010"/>
      <c r="Q21" s="2010"/>
      <c r="R21" s="2010"/>
      <c r="S21" s="2010"/>
      <c r="T21" s="2010"/>
      <c r="U21" s="2010"/>
      <c r="V21" s="2010"/>
    </row>
    <row r="22" spans="1:26" ht="15.75" thickBot="1">
      <c r="A22" s="126" t="s">
        <v>328</v>
      </c>
      <c r="B22" s="1245"/>
      <c r="C22" s="1246"/>
      <c r="D22" s="282">
        <f ca="1">IF(C19&lt;D19,D19/C19-1,C19/D19-1)</f>
        <v>0.21003272602940459</v>
      </c>
      <c r="E22" s="283"/>
      <c r="F22" s="284"/>
      <c r="G22" s="285">
        <f ca="1">ROUND(G19/('数据-汇总表'!D3/666.67),0)</f>
        <v>335</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27"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69"/>
      <c r="B25" s="1314" t="s">
        <v>331</v>
      </c>
      <c r="C25" s="289">
        <f>IF(B30=0,0,C30)</f>
        <v>0</v>
      </c>
      <c r="D25" s="290"/>
      <c r="E25" s="310"/>
      <c r="F25" s="310"/>
      <c r="G25" s="310"/>
      <c r="H25" s="310"/>
      <c r="I25" s="310"/>
      <c r="J25" s="2010"/>
      <c r="K25" s="1248" t="str">
        <f ca="1">项目基本情况!B16&amp;"国有建设用地使用权价格："&amp;O38&amp;"万元"</f>
        <v>出让国有建设用地使用权价格：22623万元</v>
      </c>
      <c r="L25" s="1249"/>
      <c r="M25" s="1249"/>
      <c r="N25" s="1249"/>
      <c r="O25" s="1250"/>
      <c r="P25" s="2010"/>
      <c r="Q25" s="2010"/>
      <c r="R25" s="2010"/>
      <c r="S25" s="2010"/>
      <c r="T25" s="2010"/>
      <c r="U25" s="2010"/>
      <c r="V25" s="2010"/>
    </row>
    <row r="26" spans="1:26" s="1247" customFormat="1" ht="18">
      <c r="A26" s="292" t="s">
        <v>332</v>
      </c>
      <c r="B26" s="293" t="s">
        <v>333</v>
      </c>
      <c r="C26" s="293" t="s">
        <v>334</v>
      </c>
      <c r="D26" s="294" t="s">
        <v>335</v>
      </c>
      <c r="E26" s="310"/>
      <c r="F26" s="310"/>
      <c r="G26" s="310"/>
      <c r="H26" s="310"/>
      <c r="I26" s="310"/>
      <c r="J26" s="2010"/>
      <c r="K26" s="1251" t="str">
        <f ca="1">"大写金额：人民币"&amp;NUMBERSTRING(INT(O38*10000),2)&amp;"元整"</f>
        <v>大写金额：人民币贰亿贰仟陆佰贰拾叁万元整</v>
      </c>
      <c r="L26" s="1245"/>
      <c r="M26" s="1245"/>
      <c r="N26" s="1245"/>
      <c r="O26" s="1244"/>
      <c r="P26" s="2010"/>
      <c r="Q26" s="2010"/>
      <c r="R26" s="2010"/>
      <c r="S26" s="2010"/>
      <c r="T26" s="2010"/>
      <c r="U26" s="2010"/>
      <c r="V26" s="2010"/>
      <c r="W26" s="291"/>
      <c r="X26" s="291"/>
      <c r="Y26" s="291"/>
      <c r="Z26" s="291"/>
    </row>
    <row r="27" spans="1:26" ht="18">
      <c r="A27" s="292"/>
      <c r="B27" s="293"/>
      <c r="C27" s="293"/>
      <c r="D27" s="294"/>
      <c r="E27" s="310"/>
      <c r="F27" s="310"/>
      <c r="G27" s="310"/>
      <c r="H27" s="310"/>
      <c r="I27" s="310"/>
      <c r="J27" s="2010"/>
      <c r="K27" s="1251" t="str">
        <f ca="1">"单位面积地价："&amp;M38&amp;"元/平方米"</f>
        <v>单位面积地价：5019元/平方米</v>
      </c>
      <c r="L27" s="1245"/>
      <c r="M27" s="1245"/>
      <c r="N27" s="1245"/>
      <c r="O27" s="1244"/>
      <c r="P27" s="2010"/>
      <c r="Q27" s="2010"/>
      <c r="R27" s="2010"/>
      <c r="S27" s="2010"/>
      <c r="T27" s="2010"/>
      <c r="U27" s="2010"/>
      <c r="V27" s="2010"/>
    </row>
    <row r="28" spans="1:26" ht="18.75" customHeight="1">
      <c r="A28" s="292"/>
      <c r="B28" s="293"/>
      <c r="C28" s="293"/>
      <c r="D28" s="294"/>
      <c r="E28" s="310"/>
      <c r="F28" s="310"/>
      <c r="G28" s="310"/>
      <c r="H28" s="310"/>
      <c r="I28" s="310"/>
      <c r="J28" s="2010"/>
      <c r="K28" s="1251" t="str">
        <f ca="1">"楼面地价："&amp;N38&amp;"元/平方米"</f>
        <v>楼面地价：1792元/平方米</v>
      </c>
      <c r="L28" s="1245"/>
      <c r="M28" s="1245"/>
      <c r="N28" s="1245"/>
      <c r="O28" s="1244"/>
      <c r="P28" s="2010"/>
      <c r="V28" s="2010"/>
    </row>
    <row r="29" spans="1:26" ht="18">
      <c r="A29" s="292"/>
      <c r="B29" s="293"/>
      <c r="C29" s="293"/>
      <c r="D29" s="294"/>
      <c r="E29" s="310"/>
      <c r="F29" s="310"/>
      <c r="G29" s="310"/>
      <c r="H29" s="310"/>
      <c r="I29" s="310"/>
      <c r="J29" s="2010"/>
      <c r="K29" s="1251" t="str">
        <f>IF(OR(项目基本情况!E8="抵押价格",项目基本情况!E8="已注销及未注销"),"抵押价格："&amp;O39&amp;"万元","——")</f>
        <v>——</v>
      </c>
      <c r="L29" s="1245"/>
      <c r="M29" s="1245"/>
      <c r="N29" s="1245"/>
      <c r="O29" s="1244"/>
      <c r="P29" s="2010"/>
      <c r="V29" s="2010"/>
    </row>
    <row r="30" spans="1:26" ht="18.75" thickBot="1">
      <c r="A30" s="3078" t="s">
        <v>336</v>
      </c>
      <c r="B30" s="308"/>
      <c r="C30" s="308"/>
      <c r="D30" s="309"/>
      <c r="E30" s="3079" t="s">
        <v>2967</v>
      </c>
      <c r="F30" s="310"/>
      <c r="G30" s="310"/>
      <c r="H30" s="310"/>
      <c r="I30" s="310"/>
      <c r="J30" s="2010"/>
      <c r="K30" s="1251" t="str">
        <f>IF(K29="——","——","大写金额：人民币"&amp;NUMBERSTRING(INT(O39*10000),2)&amp;"元整")</f>
        <v>——</v>
      </c>
      <c r="L30" s="1245"/>
      <c r="M30" s="1245"/>
      <c r="N30" s="1245"/>
      <c r="O30" s="1244"/>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抵押担保权已注销时的抵押价格：——万元</v>
      </c>
      <c r="L31" s="2425"/>
      <c r="M31" s="2425"/>
      <c r="N31" s="2425"/>
      <c r="O31" s="2426"/>
      <c r="P31" s="2010"/>
      <c r="V31" s="2010"/>
    </row>
    <row r="32" spans="1:26" ht="18.75" thickBot="1">
      <c r="A32" s="267" t="s">
        <v>337</v>
      </c>
      <c r="B32" s="1374" t="s">
        <v>1688</v>
      </c>
      <c r="C32" s="1375">
        <f ca="1">G19-C24</f>
        <v>22623</v>
      </c>
      <c r="D32" s="1376" t="s">
        <v>1689</v>
      </c>
      <c r="E32" s="310"/>
      <c r="F32" s="310"/>
      <c r="G32" s="310"/>
      <c r="H32" s="310"/>
      <c r="I32" s="310"/>
      <c r="J32" s="2010"/>
      <c r="K32" s="2424" t="e">
        <f>IF(K31="——","——","大写金额：人民币"&amp;NUMBERSTRING(INT(O40*10000),2)&amp;"元整")</f>
        <v>#VALUE!</v>
      </c>
      <c r="L32" s="2427"/>
      <c r="M32" s="2427"/>
      <c r="N32" s="2427"/>
      <c r="O32" s="2428"/>
      <c r="P32" s="2010"/>
      <c r="V32" s="2010"/>
    </row>
    <row r="33" spans="1:26" ht="18.75" thickBot="1">
      <c r="A33" s="297" t="s">
        <v>340</v>
      </c>
      <c r="B33" s="1377" t="s">
        <v>1690</v>
      </c>
      <c r="C33" s="263">
        <f ca="1">ROUND(C32*10000/'数据-汇总表'!E3,0)</f>
        <v>1792</v>
      </c>
      <c r="D33" s="1378" t="s">
        <v>1691</v>
      </c>
      <c r="E33" s="3327" t="s">
        <v>338</v>
      </c>
      <c r="F33" s="295" t="s">
        <v>339</v>
      </c>
      <c r="G33" s="296"/>
      <c r="H33" s="977"/>
      <c r="I33" s="1252"/>
      <c r="J33" s="2010"/>
      <c r="K33" s="1251" t="str">
        <f>IF(项目基本情况!E9="——","——","抵押净值："&amp;C46&amp;"万元")</f>
        <v>——</v>
      </c>
      <c r="L33" s="1245"/>
      <c r="M33" s="1245"/>
      <c r="N33" s="1245"/>
      <c r="O33" s="1244"/>
      <c r="P33" s="2010"/>
      <c r="V33" s="2010"/>
    </row>
    <row r="34" spans="1:26" s="1247" customFormat="1" ht="18.75" thickBot="1">
      <c r="A34" s="299"/>
      <c r="B34" s="1379" t="s">
        <v>1692</v>
      </c>
      <c r="C34" s="263">
        <f ca="1">ROUND(C32*10000/'数据-汇总表'!D3,0)</f>
        <v>5019</v>
      </c>
      <c r="D34" s="1380" t="s">
        <v>1691</v>
      </c>
      <c r="E34" s="3328"/>
      <c r="F34" s="127" t="s">
        <v>341</v>
      </c>
      <c r="G34" s="298"/>
      <c r="H34" s="105"/>
      <c r="I34" s="310"/>
      <c r="J34" s="2010"/>
      <c r="K34" s="1254" t="str">
        <f>IF(K33="——","——","大写金额：人民币"&amp;NUMBERSTRING(INT(O41*10000),2)&amp;"元整")</f>
        <v>——</v>
      </c>
      <c r="L34" s="1255"/>
      <c r="M34" s="1255"/>
      <c r="N34" s="1255"/>
      <c r="O34" s="1256"/>
      <c r="P34" s="2010"/>
      <c r="Q34" s="291"/>
      <c r="R34" s="291"/>
      <c r="S34" s="291"/>
      <c r="T34" s="291"/>
      <c r="U34" s="291"/>
      <c r="V34" s="2010"/>
      <c r="W34" s="291"/>
      <c r="X34" s="291"/>
      <c r="Y34" s="291"/>
      <c r="Z34" s="291"/>
    </row>
    <row r="35" spans="1:26" ht="15.75" thickBot="1">
      <c r="A35" s="283"/>
      <c r="B35" s="1381"/>
      <c r="C35" s="1382">
        <f ca="1">ROUND(C32/('数据-汇总表'!D3/666.67),0)</f>
        <v>335</v>
      </c>
      <c r="D35" s="1383" t="s">
        <v>1693</v>
      </c>
      <c r="E35" s="3329"/>
      <c r="F35" s="300" t="s">
        <v>342</v>
      </c>
      <c r="G35" s="979"/>
      <c r="H35" s="978" t="s">
        <v>343</v>
      </c>
      <c r="I35" s="310"/>
      <c r="J35" s="2010"/>
      <c r="K35" s="3333" t="s">
        <v>350</v>
      </c>
      <c r="L35" s="3333" t="s">
        <v>351</v>
      </c>
      <c r="M35" s="1257" t="s">
        <v>352</v>
      </c>
      <c r="N35" s="3333" t="s">
        <v>353</v>
      </c>
      <c r="O35" s="3333" t="s">
        <v>354</v>
      </c>
      <c r="P35" s="2010"/>
      <c r="V35" s="2010"/>
    </row>
    <row r="36" spans="1:26" ht="16.5" customHeight="1">
      <c r="A36" s="302" t="s">
        <v>344</v>
      </c>
      <c r="B36" s="303" t="s">
        <v>333</v>
      </c>
      <c r="C36" s="304" t="s">
        <v>345</v>
      </c>
      <c r="D36" s="304" t="s">
        <v>346</v>
      </c>
      <c r="E36" s="305" t="s">
        <v>347</v>
      </c>
      <c r="F36" s="310"/>
      <c r="G36" s="310"/>
      <c r="H36" s="310"/>
      <c r="I36" s="310"/>
      <c r="J36" s="2012"/>
      <c r="K36" s="3334"/>
      <c r="L36" s="3334"/>
      <c r="M36" s="1259" t="s">
        <v>355</v>
      </c>
      <c r="N36" s="3334"/>
      <c r="O36" s="3334"/>
      <c r="P36" s="2010"/>
      <c r="V36" s="2010"/>
    </row>
    <row r="37" spans="1:26" ht="16.5" customHeight="1" thickBot="1">
      <c r="A37" s="1253" t="s">
        <v>348</v>
      </c>
      <c r="B37" s="306"/>
      <c r="C37" s="293"/>
      <c r="D37" s="293"/>
      <c r="E37" s="294"/>
      <c r="F37" s="310"/>
      <c r="G37" s="310"/>
      <c r="H37" s="310"/>
      <c r="I37" s="310"/>
      <c r="J37" s="2012"/>
      <c r="K37" s="3335"/>
      <c r="L37" s="3335"/>
      <c r="M37" s="1260"/>
      <c r="N37" s="3335"/>
      <c r="O37" s="3335"/>
      <c r="P37" s="2010"/>
      <c r="V37" s="2010"/>
    </row>
    <row r="38" spans="1:26" ht="16.5" customHeight="1" thickBot="1">
      <c r="A38" s="1253" t="s">
        <v>349</v>
      </c>
      <c r="B38" s="306"/>
      <c r="C38" s="293"/>
      <c r="D38" s="293"/>
      <c r="E38" s="294"/>
      <c r="F38" s="310"/>
      <c r="G38" s="310"/>
      <c r="H38" s="310"/>
      <c r="I38" s="310"/>
      <c r="J38" s="2012"/>
      <c r="K38" s="1261">
        <f>'数据-汇总表'!D3</f>
        <v>45078.46</v>
      </c>
      <c r="L38" s="1262">
        <f>'数据-汇总表'!E3</f>
        <v>126219.51999999999</v>
      </c>
      <c r="M38" s="1262">
        <f ca="1">C34</f>
        <v>5019</v>
      </c>
      <c r="N38" s="1262">
        <f ca="1">C33</f>
        <v>1792</v>
      </c>
      <c r="O38" s="1263">
        <f ca="1">C32</f>
        <v>22623</v>
      </c>
      <c r="P38" s="2010"/>
      <c r="V38" s="2010"/>
    </row>
    <row r="39" spans="1:26" ht="16.5" customHeight="1" thickBot="1">
      <c r="A39" s="1258"/>
      <c r="B39" s="307"/>
      <c r="C39" s="308"/>
      <c r="D39" s="308"/>
      <c r="E39" s="309"/>
      <c r="F39" s="310"/>
      <c r="G39" s="310"/>
      <c r="H39" s="310"/>
      <c r="I39" s="310"/>
      <c r="J39" s="2012"/>
      <c r="K39" s="3310" t="str">
        <f>MID(A44,3,LEN(A44)-2)</f>
        <v/>
      </c>
      <c r="L39" s="3311"/>
      <c r="M39" s="3311"/>
      <c r="N39" s="3312"/>
      <c r="O39" s="1385" t="str">
        <f>C44</f>
        <v>——</v>
      </c>
      <c r="P39" s="2010"/>
      <c r="V39" s="2010"/>
    </row>
    <row r="40" spans="1:26" ht="19.5" thickBot="1">
      <c r="A40" s="104" t="s">
        <v>873</v>
      </c>
      <c r="B40" s="310"/>
      <c r="C40" s="310"/>
      <c r="D40" s="310"/>
      <c r="E40" s="310"/>
      <c r="F40" s="310"/>
      <c r="G40" s="310"/>
      <c r="H40" s="310"/>
      <c r="I40" s="310"/>
      <c r="J40" s="2012"/>
      <c r="K40" s="3310" t="str">
        <f t="shared" ref="K40:K41" si="0">MID(A45,3,LEN(A45)-2)</f>
        <v/>
      </c>
      <c r="L40" s="3311"/>
      <c r="M40" s="3311"/>
      <c r="N40" s="3312"/>
      <c r="O40" s="1385" t="str">
        <f>C45</f>
        <v>——</v>
      </c>
      <c r="P40" s="2010"/>
      <c r="V40" s="2010"/>
    </row>
    <row r="41" spans="1:26" ht="16.5" thickBot="1">
      <c r="A41" s="311" t="s">
        <v>356</v>
      </c>
      <c r="B41" s="312"/>
      <c r="C41" s="313" t="s">
        <v>357</v>
      </c>
      <c r="D41" s="314" t="s">
        <v>358</v>
      </c>
      <c r="E41" s="314" t="s">
        <v>359</v>
      </c>
      <c r="F41" s="315" t="s">
        <v>360</v>
      </c>
      <c r="G41" s="310"/>
      <c r="H41" s="310"/>
      <c r="I41" s="310"/>
      <c r="J41" s="2012"/>
      <c r="K41" s="3310" t="str">
        <f t="shared" si="0"/>
        <v/>
      </c>
      <c r="L41" s="3311"/>
      <c r="M41" s="3311"/>
      <c r="N41" s="3312"/>
      <c r="O41" s="1385" t="str">
        <f>C46</f>
        <v>——</v>
      </c>
      <c r="P41" s="2010"/>
      <c r="V41" s="2010"/>
    </row>
    <row r="42" spans="1:26" ht="29.25">
      <c r="A42" s="3370" t="s">
        <v>2067</v>
      </c>
      <c r="B42" s="3371"/>
      <c r="C42" s="263">
        <f ca="1">C32</f>
        <v>22623</v>
      </c>
      <c r="D42" s="316">
        <f ca="1">C33</f>
        <v>1792</v>
      </c>
      <c r="E42" s="316">
        <f ca="1">C34</f>
        <v>5019</v>
      </c>
      <c r="F42" s="317">
        <f ca="1">C35</f>
        <v>335</v>
      </c>
      <c r="G42" s="310"/>
      <c r="H42" s="310"/>
      <c r="I42" s="318"/>
      <c r="J42" s="2012"/>
      <c r="K42" s="1264" t="s">
        <v>361</v>
      </c>
      <c r="L42" s="2029" t="s">
        <v>362</v>
      </c>
      <c r="M42" s="1265" t="s">
        <v>363</v>
      </c>
      <c r="N42" s="2030" t="s">
        <v>364</v>
      </c>
      <c r="O42" s="2031" t="s">
        <v>365</v>
      </c>
      <c r="P42" s="2010"/>
      <c r="V42" s="2010"/>
    </row>
    <row r="43" spans="1:26" ht="30">
      <c r="A43" s="3380" t="s">
        <v>2730</v>
      </c>
      <c r="B43" s="3381"/>
      <c r="C43" s="263">
        <f>IF(H33="正常操作",G33+G34+G35,G34+G35)</f>
        <v>0</v>
      </c>
      <c r="D43" s="316" t="s">
        <v>43</v>
      </c>
      <c r="E43" s="316" t="s">
        <v>44</v>
      </c>
      <c r="F43" s="317" t="s">
        <v>44</v>
      </c>
      <c r="G43" s="2818" t="s">
        <v>952</v>
      </c>
      <c r="H43" s="310"/>
      <c r="I43" s="318"/>
      <c r="J43" s="2012"/>
      <c r="K43" s="1266" t="str">
        <f>C4</f>
        <v>比较法-住宅、综合</v>
      </c>
      <c r="L43" s="1267">
        <f ca="1">IF(L42="估价结果/万元",C19,C20)</f>
        <v>20473</v>
      </c>
      <c r="M43" s="1268">
        <f>C18</f>
        <v>0.5</v>
      </c>
      <c r="N43" s="1269">
        <f ca="1">IF(N42="测算结果/万元",G19,G20)</f>
        <v>22623</v>
      </c>
      <c r="O43" s="1270">
        <f ca="1">IF(O42="最终结果/万元",C32,C33)</f>
        <v>22623</v>
      </c>
      <c r="P43" s="2010"/>
      <c r="V43" s="2010"/>
    </row>
    <row r="44" spans="1:26" ht="30.75" thickBot="1">
      <c r="A44" s="3370" t="str">
        <f>IF(OR(项目基本情况!E8="抵押价格",项目基本情况!E8="已注销及未注销"),"3.抵押价格","——")</f>
        <v>——</v>
      </c>
      <c r="B44" s="3371"/>
      <c r="C44" s="263" t="str">
        <f>IF(A44="——","——",C42-C43)</f>
        <v>——</v>
      </c>
      <c r="D44" s="316" t="e">
        <f>ROUND(C44*10000/'数据-汇总表'!E3,0)</f>
        <v>#VALUE!</v>
      </c>
      <c r="E44" s="316" t="e">
        <f>ROUND(C44*10000/'数据-汇总表'!D3,0)</f>
        <v>#VALUE!</v>
      </c>
      <c r="F44" s="317" t="e">
        <f>ROUND(C44/('数据-汇总表'!D3/666.67),0)</f>
        <v>#VALUE!</v>
      </c>
      <c r="G44" s="310"/>
      <c r="H44" s="310"/>
      <c r="I44" s="318"/>
      <c r="J44" s="2012"/>
      <c r="K44" s="1271" t="str">
        <f>D4</f>
        <v>剩余法-待开发</v>
      </c>
      <c r="L44" s="1272">
        <f ca="1">IF(L42="估价结果/万元",D19,D20)</f>
        <v>24773</v>
      </c>
      <c r="M44" s="1273">
        <f>D18</f>
        <v>0.5</v>
      </c>
      <c r="N44" s="1274"/>
      <c r="O44" s="1275"/>
      <c r="P44" s="2010"/>
      <c r="V44" s="2010"/>
    </row>
    <row r="45" spans="1:26" ht="15">
      <c r="A45" s="3375" t="str">
        <f>IF(项目基本情况!E8="已注销及未注销","4.抵押担保权已注销时的抵押价格",IF(项目基本情况!E8="已注销","3.抵押担保权已注销时的抵押价格","——"))</f>
        <v>——</v>
      </c>
      <c r="B45" s="3376"/>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72" t="str">
        <f>IF(项目基本情况!E9="抵押净值",IF(A45="——","4.抵押净值","5.抵押净值"),"——")</f>
        <v>——</v>
      </c>
      <c r="B46" s="3373"/>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6"/>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38" t="s">
        <v>374</v>
      </c>
      <c r="B63" s="3339"/>
      <c r="C63" s="3340"/>
      <c r="D63" s="340">
        <f ca="1">ROUND(C42*F63,0)</f>
        <v>13574</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77" t="s">
        <v>378</v>
      </c>
      <c r="B64" s="3378"/>
      <c r="C64" s="3378"/>
      <c r="D64" s="3378"/>
      <c r="E64" s="3378"/>
      <c r="F64" s="3378"/>
      <c r="G64" s="3379"/>
      <c r="H64" s="1281"/>
      <c r="I64" s="946"/>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1"/>
      <c r="I65" s="946"/>
      <c r="J65" s="1972"/>
      <c r="K65" s="1282"/>
      <c r="L65" s="1283"/>
      <c r="M65" s="1283"/>
      <c r="N65" s="1315" t="s">
        <v>379</v>
      </c>
      <c r="O65" s="1316"/>
      <c r="P65" s="1317"/>
      <c r="Q65" s="2010"/>
      <c r="R65" s="2010"/>
      <c r="S65" s="2010"/>
      <c r="T65" s="2010"/>
      <c r="U65" s="2010"/>
      <c r="V65" s="2010"/>
    </row>
    <row r="66" spans="1:22" ht="25.5">
      <c r="A66" s="3374" t="s">
        <v>386</v>
      </c>
      <c r="B66" s="3345"/>
      <c r="C66" s="3345"/>
      <c r="D66" s="260">
        <f ca="1">IF(H66="情况1",0,IF(H66="情况2",D70,IF(H66="情况3",D71,IF(H66="情况4",D72))))</f>
        <v>724</v>
      </c>
      <c r="E66" s="990" t="str">
        <f>IF(H66="情况4","(销售额-原购置价)×税（费）率","销售额×税（费）率")</f>
        <v>销售额×税（费）率</v>
      </c>
      <c r="F66" s="349">
        <f>IF(H66="情况1","免征",'数据-取费表'!B41)</f>
        <v>5.6000000000000001E-2</v>
      </c>
      <c r="G66" s="350" t="s">
        <v>387</v>
      </c>
      <c r="H66" s="191" t="s">
        <v>388</v>
      </c>
      <c r="I66" s="1281"/>
      <c r="J66" s="2016"/>
      <c r="K66" s="1284">
        <v>1</v>
      </c>
      <c r="L66" s="3314" t="s">
        <v>385</v>
      </c>
      <c r="M66" s="3315"/>
      <c r="N66" s="2419"/>
      <c r="O66" s="2420"/>
      <c r="P66" s="2421"/>
      <c r="Q66" s="2010"/>
      <c r="R66" s="2010"/>
      <c r="S66" s="2010"/>
      <c r="T66" s="2010"/>
      <c r="U66" s="2010"/>
      <c r="V66" s="2010"/>
    </row>
    <row r="67" spans="1:22" ht="25.5" customHeight="1">
      <c r="A67" s="351" t="s">
        <v>390</v>
      </c>
      <c r="B67" s="3357" t="s">
        <v>391</v>
      </c>
      <c r="C67" s="3357"/>
      <c r="D67" s="352">
        <v>0</v>
      </c>
      <c r="E67" s="41" t="s">
        <v>392</v>
      </c>
      <c r="F67" s="62" t="s">
        <v>21</v>
      </c>
      <c r="G67" s="3341"/>
      <c r="H67" s="310"/>
      <c r="I67" s="1285"/>
      <c r="J67" s="2017"/>
      <c r="K67" s="1958">
        <v>2</v>
      </c>
      <c r="L67" s="3313" t="s">
        <v>389</v>
      </c>
      <c r="M67" s="3313"/>
      <c r="N67" s="1318">
        <f>'数据-取费表'!B2</f>
        <v>43815</v>
      </c>
      <c r="O67" s="1318"/>
      <c r="P67" s="1318"/>
      <c r="Q67" s="2010"/>
      <c r="R67" s="2010"/>
      <c r="S67" s="2010"/>
      <c r="T67" s="2010"/>
      <c r="U67" s="2010"/>
      <c r="V67" s="2010"/>
    </row>
    <row r="68" spans="1:22" ht="25.5" customHeight="1">
      <c r="A68" s="353"/>
      <c r="B68" s="3357" t="s">
        <v>394</v>
      </c>
      <c r="C68" s="3357"/>
      <c r="D68" s="354"/>
      <c r="E68" s="77"/>
      <c r="F68" s="355"/>
      <c r="G68" s="3342"/>
      <c r="H68" s="310"/>
      <c r="I68" s="1285"/>
      <c r="J68" s="2017"/>
      <c r="K68" s="1958">
        <v>3</v>
      </c>
      <c r="L68" s="3313" t="s">
        <v>393</v>
      </c>
      <c r="M68" s="3313"/>
      <c r="N68" s="1286">
        <f ca="1">C42</f>
        <v>22623</v>
      </c>
      <c r="O68" s="1286"/>
      <c r="P68" s="1286"/>
      <c r="Q68" s="2010"/>
      <c r="R68" s="2010"/>
      <c r="S68" s="2010"/>
      <c r="T68" s="2010"/>
      <c r="U68" s="2010"/>
      <c r="V68" s="2010"/>
    </row>
    <row r="69" spans="1:22" ht="12" customHeight="1">
      <c r="A69" s="356"/>
      <c r="B69" s="3357" t="s">
        <v>395</v>
      </c>
      <c r="C69" s="3357"/>
      <c r="D69" s="357"/>
      <c r="E69" s="73"/>
      <c r="F69" s="355"/>
      <c r="G69" s="3343"/>
      <c r="H69" s="310"/>
      <c r="I69" s="1285"/>
      <c r="J69" s="2017"/>
      <c r="K69" s="1287">
        <v>4</v>
      </c>
      <c r="L69" s="3319" t="s">
        <v>2882</v>
      </c>
      <c r="M69" s="3320"/>
      <c r="N69" s="1288" t="str">
        <f>C44</f>
        <v>——</v>
      </c>
      <c r="O69" s="1288"/>
      <c r="P69" s="1288"/>
      <c r="Q69" s="2010"/>
      <c r="R69" s="2010"/>
      <c r="S69" s="2010"/>
      <c r="T69" s="2010"/>
      <c r="U69" s="2010"/>
      <c r="V69" s="2010"/>
    </row>
    <row r="70" spans="1:22" ht="24" customHeight="1">
      <c r="A70" s="358" t="s">
        <v>396</v>
      </c>
      <c r="B70" s="3357" t="s">
        <v>397</v>
      </c>
      <c r="C70" s="3357"/>
      <c r="D70" s="357">
        <f ca="1">ROUND(D63*'数据-取费表'!B41/(1+'数据-取费表'!C42),0)</f>
        <v>724</v>
      </c>
      <c r="E70" s="17" t="s">
        <v>398</v>
      </c>
      <c r="F70" s="359">
        <f>'数据-取费表'!B41</f>
        <v>5.6000000000000001E-2</v>
      </c>
      <c r="G70" s="360"/>
      <c r="H70" s="310"/>
      <c r="I70" s="1285"/>
      <c r="J70" s="2017"/>
      <c r="K70" s="3010"/>
      <c r="L70" s="3011"/>
      <c r="M70" s="3011"/>
      <c r="N70" s="3012" t="s">
        <v>2887</v>
      </c>
      <c r="O70" s="3011"/>
      <c r="P70" s="3013"/>
      <c r="Q70" s="2010"/>
      <c r="R70" s="2010"/>
      <c r="S70" s="2010"/>
      <c r="T70" s="2010"/>
      <c r="U70" s="2010"/>
      <c r="V70" s="2010"/>
    </row>
    <row r="71" spans="1:22" ht="12" customHeight="1">
      <c r="A71" s="358" t="s">
        <v>404</v>
      </c>
      <c r="B71" s="3356" t="s">
        <v>405</v>
      </c>
      <c r="C71" s="3368"/>
      <c r="D71" s="357">
        <f ca="1">ROUND(D63*'数据-取费表'!B41/(1+'数据-取费表'!C42),0)</f>
        <v>724</v>
      </c>
      <c r="E71" s="17" t="s">
        <v>398</v>
      </c>
      <c r="F71" s="359">
        <f>'数据-取费表'!B41</f>
        <v>5.6000000000000001E-2</v>
      </c>
      <c r="G71" s="360"/>
      <c r="H71" s="310"/>
      <c r="I71" s="1285"/>
      <c r="J71" s="2017"/>
      <c r="K71" s="3009" t="s">
        <v>399</v>
      </c>
      <c r="L71" s="3321" t="s">
        <v>400</v>
      </c>
      <c r="M71" s="3321"/>
      <c r="N71" s="3009" t="s">
        <v>401</v>
      </c>
      <c r="O71" s="3009" t="s">
        <v>402</v>
      </c>
      <c r="P71" s="3009" t="s">
        <v>403</v>
      </c>
      <c r="Q71" s="2010"/>
      <c r="R71" s="2010"/>
      <c r="S71" s="2010"/>
      <c r="T71" s="2010"/>
      <c r="U71" s="2010"/>
      <c r="V71" s="2010"/>
    </row>
    <row r="72" spans="1:22" ht="12" customHeight="1">
      <c r="A72" s="358" t="s">
        <v>407</v>
      </c>
      <c r="B72" s="3356" t="s">
        <v>408</v>
      </c>
      <c r="C72" s="3368"/>
      <c r="D72" s="357">
        <f ca="1">C86</f>
        <v>612</v>
      </c>
      <c r="E72" s="73" t="s">
        <v>409</v>
      </c>
      <c r="F72" s="359">
        <f>'数据-取费表'!B41</f>
        <v>5.6000000000000001E-2</v>
      </c>
      <c r="G72" s="360"/>
      <c r="H72" s="1291"/>
      <c r="I72" s="1285"/>
      <c r="J72" s="2017"/>
      <c r="K72" s="1958">
        <v>1</v>
      </c>
      <c r="L72" s="3318" t="s">
        <v>406</v>
      </c>
      <c r="M72" s="3318"/>
      <c r="N72" s="1289">
        <f ca="1">D66</f>
        <v>724</v>
      </c>
      <c r="O72" s="1841" t="str">
        <f>E66</f>
        <v>销售额×税（费）率</v>
      </c>
      <c r="P72" s="1290">
        <f>F66</f>
        <v>5.6000000000000001E-2</v>
      </c>
      <c r="Q72" s="2010"/>
      <c r="R72" s="2010"/>
      <c r="S72" s="2010"/>
      <c r="T72" s="2010"/>
      <c r="U72" s="2010"/>
      <c r="V72" s="2010"/>
    </row>
    <row r="73" spans="1:22" ht="24" customHeight="1">
      <c r="A73" s="3344" t="s">
        <v>411</v>
      </c>
      <c r="B73" s="3345"/>
      <c r="C73" s="3345"/>
      <c r="D73" s="361">
        <f>IF(H73="个人住宅",0,ROUND(D63*I73,0))</f>
        <v>0</v>
      </c>
      <c r="E73" s="17" t="s">
        <v>412</v>
      </c>
      <c r="F73" s="359" t="str">
        <f>IF(H73="正常",I73,"免征")</f>
        <v>免征</v>
      </c>
      <c r="G73" s="360"/>
      <c r="H73" s="191" t="s">
        <v>2455</v>
      </c>
      <c r="I73" s="359">
        <f>'数据-取费表'!B49</f>
        <v>5.0000000000000001E-4</v>
      </c>
      <c r="J73" s="2017"/>
      <c r="K73" s="1958">
        <v>2</v>
      </c>
      <c r="L73" s="3318" t="s">
        <v>410</v>
      </c>
      <c r="M73" s="3318"/>
      <c r="N73" s="1289">
        <f t="shared" ref="N73:P74" si="1">D73</f>
        <v>0</v>
      </c>
      <c r="O73" s="1841" t="str">
        <f t="shared" si="1"/>
        <v>销售额×税（费）率</v>
      </c>
      <c r="P73" s="1290" t="str">
        <f t="shared" si="1"/>
        <v>免征</v>
      </c>
      <c r="Q73" s="2010"/>
      <c r="R73" s="2010"/>
      <c r="S73" s="2010"/>
      <c r="T73" s="2010"/>
      <c r="U73" s="2010"/>
      <c r="V73" s="2010"/>
    </row>
    <row r="74" spans="1:22" ht="24.75">
      <c r="A74" s="3344" t="s">
        <v>415</v>
      </c>
      <c r="B74" s="3345"/>
      <c r="C74" s="3345"/>
      <c r="D74" s="361">
        <f ca="1">IF(H74="个人住宅",D75,D76)</f>
        <v>7022</v>
      </c>
      <c r="E74" s="17" t="s">
        <v>416</v>
      </c>
      <c r="F74" s="359" t="str">
        <f>IF(H74="正常",F76,"免征")</f>
        <v>——</v>
      </c>
      <c r="G74" s="980" t="s">
        <v>417</v>
      </c>
      <c r="H74" s="362" t="s">
        <v>413</v>
      </c>
      <c r="I74" s="42"/>
      <c r="J74" s="2017"/>
      <c r="K74" s="1958">
        <v>3</v>
      </c>
      <c r="L74" s="3318" t="s">
        <v>414</v>
      </c>
      <c r="M74" s="3318"/>
      <c r="N74" s="1289">
        <f t="shared" ca="1" si="1"/>
        <v>7022</v>
      </c>
      <c r="O74" s="1841" t="str">
        <f t="shared" si="1"/>
        <v>增值额×税（费）率</v>
      </c>
      <c r="P74" s="1292" t="str">
        <f t="shared" si="1"/>
        <v>——</v>
      </c>
      <c r="Q74" s="2010"/>
      <c r="R74" s="2010"/>
      <c r="S74" s="2010"/>
      <c r="T74" s="2010"/>
      <c r="U74" s="2010"/>
      <c r="V74" s="2010"/>
    </row>
    <row r="75" spans="1:22" ht="24">
      <c r="A75" s="358" t="s">
        <v>418</v>
      </c>
      <c r="B75" s="3325" t="s">
        <v>419</v>
      </c>
      <c r="C75" s="3326"/>
      <c r="D75" s="363">
        <v>0</v>
      </c>
      <c r="E75" s="41" t="s">
        <v>420</v>
      </c>
      <c r="F75" s="364"/>
      <c r="G75" s="360"/>
      <c r="H75" s="42"/>
      <c r="I75" s="42"/>
      <c r="J75" s="2017"/>
      <c r="K75" s="3002">
        <f>IF(H77="非个人房产","",4)</f>
        <v>4</v>
      </c>
      <c r="L75" s="3318" t="str">
        <f>IF(H77="非个人房产","——","个人所得税")</f>
        <v>个人所得税</v>
      </c>
      <c r="M75" s="3318"/>
      <c r="N75" s="1293">
        <f ca="1">D77</f>
        <v>136</v>
      </c>
      <c r="O75" s="1854" t="str">
        <f>E77</f>
        <v>销售额×税（费）率</v>
      </c>
      <c r="P75" s="1294">
        <f>F77</f>
        <v>0.01</v>
      </c>
      <c r="Q75" s="2010"/>
      <c r="R75" s="2010"/>
      <c r="S75" s="2010"/>
      <c r="T75" s="2010"/>
      <c r="U75" s="2010"/>
      <c r="V75" s="2010"/>
    </row>
    <row r="76" spans="1:22" ht="24.75">
      <c r="A76" s="358" t="s">
        <v>396</v>
      </c>
      <c r="B76" s="3325" t="s">
        <v>422</v>
      </c>
      <c r="C76" s="3367"/>
      <c r="D76" s="361">
        <f ca="1">IF(H76="转让取得",C99,C115)</f>
        <v>7022</v>
      </c>
      <c r="E76" s="17" t="s">
        <v>423</v>
      </c>
      <c r="F76" s="53" t="s">
        <v>21</v>
      </c>
      <c r="G76" s="360"/>
      <c r="H76" s="362" t="s">
        <v>424</v>
      </c>
      <c r="I76" s="42"/>
      <c r="J76" s="2017"/>
      <c r="K76" s="3002" t="str">
        <f>IF(项目基本情况!K6="上海银行",IF(K75="",4,K75+1),"")</f>
        <v/>
      </c>
      <c r="L76" s="3306" t="str">
        <f>IF(项目基本情况!K6="上海银行","其他处置费用","")</f>
        <v/>
      </c>
      <c r="M76" s="3307"/>
      <c r="N76" s="1289" t="str">
        <f>IF(项目基本情况!K6="上海银行",N89,"")</f>
        <v/>
      </c>
      <c r="O76" s="3308" t="str">
        <f>IF(项目基本情况!K6="上海银行","包含处置中涉及的律师、诉讼、拍卖、评估等费用","")</f>
        <v/>
      </c>
      <c r="P76" s="3309"/>
      <c r="Q76" s="2010"/>
      <c r="R76" s="2010"/>
      <c r="S76" s="2010"/>
      <c r="T76" s="2010"/>
      <c r="U76" s="2010"/>
      <c r="V76" s="2010"/>
    </row>
    <row r="77" spans="1:22" ht="26.25" thickBot="1">
      <c r="A77" s="3336" t="s">
        <v>426</v>
      </c>
      <c r="B77" s="3337"/>
      <c r="C77" s="3337"/>
      <c r="D77" s="365">
        <f ca="1">IF(H77="非个人房产","——",IF(H77="个人住宅",0,ROUND(D63*I77,0)))</f>
        <v>136</v>
      </c>
      <c r="E77" s="366" t="str">
        <f>IF(H77="非个人房产","——","销售额×税（费）率")</f>
        <v>销售额×税（费）率</v>
      </c>
      <c r="F77" s="367">
        <f>IF(H77="非个人房产","——",IF(H77="个人住宅","免征",I77))</f>
        <v>0.01</v>
      </c>
      <c r="G77" s="981" t="s">
        <v>417</v>
      </c>
      <c r="H77" s="362" t="s">
        <v>2883</v>
      </c>
      <c r="I77" s="368">
        <v>0.01</v>
      </c>
      <c r="J77" s="2017"/>
      <c r="K77" s="3332">
        <f>IF(AND(K75="",K76=""),4,IF(项目基本情况!K6="上海银行",K76+1,K75+1))</f>
        <v>5</v>
      </c>
      <c r="L77" s="3318" t="s">
        <v>2884</v>
      </c>
      <c r="M77" s="3008" t="s">
        <v>421</v>
      </c>
      <c r="N77" s="1295"/>
      <c r="O77" s="1296">
        <f ca="1">SUMIF(N72:N76,"&lt;9e307")</f>
        <v>7882</v>
      </c>
      <c r="P77" s="1297"/>
      <c r="Q77" s="3006" t="e">
        <f ca="1">O77/N69</f>
        <v>#VALUE!</v>
      </c>
      <c r="R77" s="2010"/>
      <c r="S77" s="2010"/>
      <c r="T77" s="2010"/>
      <c r="U77" s="2010"/>
      <c r="V77" s="2010"/>
    </row>
    <row r="78" spans="1:22" ht="12" customHeight="1">
      <c r="A78" s="1298"/>
      <c r="B78" s="310"/>
      <c r="C78" s="310"/>
      <c r="D78" s="310"/>
      <c r="E78" s="42"/>
      <c r="F78" s="42"/>
      <c r="G78" s="42"/>
      <c r="H78" s="1000"/>
      <c r="I78" s="310"/>
      <c r="J78" s="2017"/>
      <c r="K78" s="3332"/>
      <c r="L78" s="3318"/>
      <c r="M78" s="3008" t="s">
        <v>425</v>
      </c>
      <c r="N78" s="1295"/>
      <c r="O78" s="1296" t="str">
        <f ca="1">NUMBERSTRING(INT(O77*10000),2)&amp;"元整"</f>
        <v>柒仟捌佰捌拾贰万元整</v>
      </c>
      <c r="P78" s="1297"/>
      <c r="Q78" s="2010"/>
      <c r="R78" s="2010"/>
      <c r="S78" s="2010"/>
      <c r="T78" s="2010"/>
      <c r="U78" s="2010"/>
      <c r="V78" s="2010"/>
    </row>
    <row r="79" spans="1:22" ht="13.5" thickBot="1">
      <c r="A79" s="3322" t="s">
        <v>427</v>
      </c>
      <c r="B79" s="3322"/>
      <c r="C79" s="3322"/>
      <c r="D79" s="3322"/>
      <c r="E79" s="3322"/>
      <c r="F79" s="42"/>
      <c r="G79" s="42"/>
      <c r="H79" s="1000"/>
      <c r="I79" s="310"/>
      <c r="J79" s="2017"/>
      <c r="K79" s="3316">
        <f>K77+1</f>
        <v>6</v>
      </c>
      <c r="L79" s="3318" t="s">
        <v>2885</v>
      </c>
      <c r="M79" s="3008" t="s">
        <v>421</v>
      </c>
      <c r="N79" s="1295"/>
      <c r="O79" s="1296" t="e">
        <f ca="1">N69-O77</f>
        <v>#VALUE!</v>
      </c>
      <c r="P79" s="1297"/>
      <c r="Q79" s="2010"/>
      <c r="R79" s="2010"/>
      <c r="S79" s="2010"/>
      <c r="T79" s="2010"/>
      <c r="U79" s="2010"/>
      <c r="V79" s="2010"/>
    </row>
    <row r="80" spans="1:22" ht="12.75">
      <c r="A80" s="3323" t="s">
        <v>428</v>
      </c>
      <c r="B80" s="3324"/>
      <c r="C80" s="991"/>
      <c r="D80" s="991" t="s">
        <v>429</v>
      </c>
      <c r="E80" s="369" t="s">
        <v>430</v>
      </c>
      <c r="F80" s="42"/>
      <c r="G80" s="42"/>
      <c r="H80" s="1000"/>
      <c r="I80" s="310"/>
      <c r="J80" s="2010"/>
      <c r="K80" s="3317"/>
      <c r="L80" s="3318"/>
      <c r="M80" s="3008" t="s">
        <v>425</v>
      </c>
      <c r="N80" s="1295"/>
      <c r="O80" s="1296" t="e">
        <f ca="1">NUMBERSTRING(INT(O79*10000),2)&amp;"元整"</f>
        <v>#VALUE!</v>
      </c>
      <c r="P80" s="1297"/>
      <c r="Q80" s="2010"/>
      <c r="R80" s="2010"/>
      <c r="S80" s="2010"/>
      <c r="T80" s="2010"/>
      <c r="U80" s="2010"/>
      <c r="V80" s="2010"/>
    </row>
    <row r="81" spans="1:26" ht="13.5" thickBot="1">
      <c r="A81" s="380" t="s">
        <v>1823</v>
      </c>
      <c r="B81" s="370" t="s">
        <v>431</v>
      </c>
      <c r="C81" s="371">
        <f ca="1">ROUND((C82+C83)/(1+'数据-取费表'!C42),0)</f>
        <v>12928</v>
      </c>
      <c r="D81" s="372"/>
      <c r="E81" s="373"/>
      <c r="F81" s="42"/>
      <c r="G81" s="42"/>
      <c r="H81" s="1000"/>
      <c r="I81" s="310"/>
      <c r="J81" s="2010"/>
      <c r="K81" s="3002">
        <f>K79+1</f>
        <v>7</v>
      </c>
      <c r="L81" s="3330" t="s">
        <v>2886</v>
      </c>
      <c r="M81" s="3331"/>
      <c r="N81" s="1299"/>
      <c r="O81" s="1300" t="e">
        <f ca="1">ROUND(O79*10000/'数据-汇总表'!E3,0)</f>
        <v>#VALUE!</v>
      </c>
      <c r="P81" s="1301"/>
      <c r="Q81" s="2010"/>
      <c r="R81" s="2010"/>
      <c r="S81" s="2010"/>
      <c r="T81" s="2010"/>
      <c r="U81" s="2010"/>
      <c r="V81" s="2010"/>
    </row>
    <row r="82" spans="1:26" ht="13.5" thickTop="1">
      <c r="A82" s="374" t="s">
        <v>1824</v>
      </c>
      <c r="B82" s="375" t="s">
        <v>432</v>
      </c>
      <c r="C82" s="376">
        <f ca="1">D63</f>
        <v>13574</v>
      </c>
      <c r="D82" s="377" t="s">
        <v>19</v>
      </c>
      <c r="E82" s="378"/>
      <c r="F82" s="42"/>
      <c r="G82" s="42"/>
      <c r="H82" s="1000"/>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2"/>
      <c r="G83" s="42"/>
      <c r="H83" s="1000"/>
      <c r="I83" s="310"/>
      <c r="J83" s="2010"/>
      <c r="K83" s="3305" t="s">
        <v>2873</v>
      </c>
      <c r="L83" s="3014" t="s">
        <v>2874</v>
      </c>
      <c r="M83" s="3004" t="e">
        <f>IF(N69&gt;10000,N69*0.5%,IF(AND(N69&gt;1000,N69&lt;=10000),N69*1%,IF(AND(N69&gt;100,N69&lt;=1000),N69*3%,IF(AND(N69&gt;10,N69&lt;=100),N69*5%,N69*8%))))</f>
        <v>#VALUE!</v>
      </c>
      <c r="N83" s="53" t="e">
        <f>ROUND(M83,1)</f>
        <v>#VALUE!</v>
      </c>
      <c r="O83" s="3007"/>
      <c r="P83" s="2010"/>
      <c r="Q83" s="2010"/>
      <c r="R83" s="2010"/>
      <c r="S83" s="2010"/>
      <c r="T83" s="2010"/>
      <c r="U83" s="2010"/>
      <c r="V83" s="2010"/>
    </row>
    <row r="84" spans="1:26" ht="12.75">
      <c r="A84" s="380" t="s">
        <v>1826</v>
      </c>
      <c r="B84" s="381" t="s">
        <v>434</v>
      </c>
      <c r="C84" s="382">
        <v>2000</v>
      </c>
      <c r="D84" s="383" t="s">
        <v>19</v>
      </c>
      <c r="E84" s="3049" t="s">
        <v>2940</v>
      </c>
      <c r="F84" s="42"/>
      <c r="G84" s="42"/>
      <c r="H84" s="1000"/>
      <c r="I84" s="310"/>
      <c r="J84" s="2010"/>
      <c r="K84" s="3305"/>
      <c r="L84" s="3014" t="s">
        <v>2875</v>
      </c>
      <c r="M84" s="300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0" t="s">
        <v>2876</v>
      </c>
      <c r="P84" s="2010"/>
      <c r="Q84" s="2010"/>
      <c r="R84" s="2010"/>
      <c r="S84" s="2010"/>
      <c r="T84" s="2010"/>
      <c r="U84" s="2010"/>
      <c r="V84" s="2010"/>
    </row>
    <row r="85" spans="1:26" ht="12.75">
      <c r="A85" s="380" t="s">
        <v>1827</v>
      </c>
      <c r="B85" s="381" t="s">
        <v>435</v>
      </c>
      <c r="C85" s="384">
        <f ca="1">C81-C84</f>
        <v>10928</v>
      </c>
      <c r="D85" s="377" t="s">
        <v>19</v>
      </c>
      <c r="E85" s="378"/>
      <c r="F85" s="42"/>
      <c r="G85" s="42"/>
      <c r="H85" s="1000"/>
      <c r="I85" s="310"/>
      <c r="J85" s="2010"/>
      <c r="K85" s="3305"/>
      <c r="L85" s="3014" t="s">
        <v>2877</v>
      </c>
      <c r="M85" s="3004" t="e">
        <f>IF(N69&gt;1000,N69*0.1%,IF(AND(N69&gt;500,N69&lt;=1000),N69*0.5%,IF(AND(N69&gt;50,N69&lt;=500),N69*1%,IF(AND(N69&gt;1,N69&lt;=50),N69*1.5%))))</f>
        <v>#VALUE!</v>
      </c>
      <c r="N85" s="53" t="e">
        <f t="shared" si="2"/>
        <v>#VALUE!</v>
      </c>
      <c r="O85" s="2010" t="s">
        <v>2876</v>
      </c>
      <c r="P85" s="2010"/>
      <c r="Q85" s="2010"/>
      <c r="R85" s="2010"/>
      <c r="S85" s="2010"/>
      <c r="T85" s="2010"/>
      <c r="U85" s="2010"/>
      <c r="V85" s="2010"/>
    </row>
    <row r="86" spans="1:26" ht="13.5" thickBot="1">
      <c r="A86" s="385" t="s">
        <v>1828</v>
      </c>
      <c r="B86" s="386" t="s">
        <v>436</v>
      </c>
      <c r="C86" s="387">
        <f ca="1">IF(C85&lt;=0,0,ROUND(C85*D86,0))</f>
        <v>612</v>
      </c>
      <c r="D86" s="388">
        <f>'数据-取费表'!B41</f>
        <v>5.6000000000000001E-2</v>
      </c>
      <c r="E86" s="389"/>
      <c r="F86" s="42"/>
      <c r="G86" s="42"/>
      <c r="H86" s="1000"/>
      <c r="I86" s="310"/>
      <c r="J86" s="2010"/>
      <c r="K86" s="3305"/>
      <c r="L86" s="3014" t="s">
        <v>2878</v>
      </c>
      <c r="M86" s="3004" t="e">
        <f>N69*0.5%</f>
        <v>#VALUE!</v>
      </c>
      <c r="N86" s="53" t="e">
        <f>IF(M86&gt;0.5,0.5,ROUND(M86,0))</f>
        <v>#VALUE!</v>
      </c>
      <c r="O86" s="2010" t="s">
        <v>2879</v>
      </c>
      <c r="P86" s="2010"/>
      <c r="Q86" s="2010"/>
      <c r="R86" s="2010"/>
      <c r="S86" s="2010"/>
      <c r="T86" s="2010"/>
      <c r="U86" s="2010"/>
      <c r="V86" s="2010"/>
    </row>
    <row r="87" spans="1:26" s="1247" customFormat="1" ht="14.25" customHeight="1">
      <c r="A87" s="1302"/>
      <c r="B87" s="1303"/>
      <c r="C87" s="1304"/>
      <c r="D87" s="1305"/>
      <c r="E87" s="1306"/>
      <c r="F87" s="42"/>
      <c r="G87" s="42"/>
      <c r="H87" s="1000"/>
      <c r="I87" s="310"/>
      <c r="J87" s="2010"/>
      <c r="K87" s="3305"/>
      <c r="L87" s="3014" t="s">
        <v>2880</v>
      </c>
      <c r="M87" s="300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7"/>
      <c r="P87" s="310"/>
      <c r="Q87" s="2010"/>
      <c r="R87" s="2010"/>
      <c r="S87" s="2010"/>
      <c r="T87" s="2010"/>
      <c r="U87" s="2010"/>
      <c r="V87" s="2010"/>
      <c r="W87" s="291"/>
      <c r="X87" s="291"/>
      <c r="Y87" s="291"/>
      <c r="Z87" s="291"/>
    </row>
    <row r="88" spans="1:26" s="1307" customFormat="1" ht="15" thickBot="1">
      <c r="A88" s="3359" t="s">
        <v>437</v>
      </c>
      <c r="B88" s="3360"/>
      <c r="C88" s="3360"/>
      <c r="D88" s="3360"/>
      <c r="E88" s="3360"/>
      <c r="F88" s="3360"/>
      <c r="G88" s="3360"/>
      <c r="H88" s="3360"/>
      <c r="I88" s="1308"/>
      <c r="J88" s="2018"/>
      <c r="K88" s="3305"/>
      <c r="L88" s="3014" t="s">
        <v>2881</v>
      </c>
      <c r="M88" s="3004" t="e">
        <f>IF(N69&gt;10000,N69*0.5%,IF(AND(N69&gt;5000,N69&lt;=10000),N69*1%,IF(AND(N69&gt;1000,N69&lt;=5000),N69*2%,IF(AND(N69&gt;200,N69&lt;=1000),N69*3%,N69*5%))))</f>
        <v>#VALUE!</v>
      </c>
      <c r="N88" s="53" t="e">
        <f>ROUND(M88,1)</f>
        <v>#VALUE!</v>
      </c>
      <c r="O88" s="3007"/>
      <c r="P88" s="11"/>
      <c r="Q88" s="2015"/>
      <c r="R88" s="2015"/>
      <c r="S88" s="2015"/>
      <c r="T88" s="2015"/>
      <c r="U88" s="2015"/>
      <c r="V88" s="2015"/>
      <c r="W88" s="2019"/>
      <c r="X88" s="2019"/>
      <c r="Y88" s="2019"/>
      <c r="Z88" s="2019"/>
    </row>
    <row r="89" spans="1:26" s="1307" customFormat="1" ht="14.25">
      <c r="A89" s="3323" t="s">
        <v>428</v>
      </c>
      <c r="B89" s="3324"/>
      <c r="C89" s="991"/>
      <c r="D89" s="991" t="s">
        <v>429</v>
      </c>
      <c r="E89" s="390" t="s">
        <v>438</v>
      </c>
      <c r="F89" s="391"/>
      <c r="G89" s="391"/>
      <c r="H89" s="392"/>
      <c r="I89" s="1309"/>
      <c r="J89" s="2020"/>
      <c r="K89" s="3305"/>
      <c r="L89" s="3014" t="s">
        <v>27</v>
      </c>
      <c r="M89" s="3005"/>
      <c r="N89" s="53" t="e">
        <f>ROUND(SUM(N83:N88),0)</f>
        <v>#VALUE!</v>
      </c>
      <c r="O89" s="3015" t="e">
        <f>N89/N69</f>
        <v>#VALUE!</v>
      </c>
      <c r="P89" s="2015"/>
      <c r="Q89" s="2015"/>
      <c r="R89" s="2015"/>
      <c r="S89" s="2015"/>
      <c r="T89" s="2015"/>
      <c r="U89" s="2015"/>
      <c r="V89" s="2015"/>
      <c r="W89" s="2019"/>
      <c r="X89" s="2019"/>
      <c r="Y89" s="2019"/>
      <c r="Z89" s="2019"/>
    </row>
    <row r="90" spans="1:26" s="1307" customFormat="1" ht="14.25">
      <c r="A90" s="380" t="s">
        <v>1823</v>
      </c>
      <c r="B90" s="381" t="s">
        <v>439</v>
      </c>
      <c r="C90" s="384">
        <f ca="1">ROUND(D63/(1+'数据-取费表'!C42),0)</f>
        <v>12928</v>
      </c>
      <c r="D90" s="377" t="s">
        <v>19</v>
      </c>
      <c r="E90" s="988"/>
      <c r="F90" s="987"/>
      <c r="G90" s="987"/>
      <c r="H90" s="393"/>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80" t="s">
        <v>1829</v>
      </c>
      <c r="B91" s="347" t="s">
        <v>440</v>
      </c>
      <c r="C91" s="384">
        <f ca="1">C92+C96</f>
        <v>2659</v>
      </c>
      <c r="D91" s="377" t="s">
        <v>19</v>
      </c>
      <c r="E91" s="988"/>
      <c r="F91" s="987"/>
      <c r="G91" s="987"/>
      <c r="H91" s="393"/>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4" t="s">
        <v>1830</v>
      </c>
      <c r="B92" s="375" t="s">
        <v>441</v>
      </c>
      <c r="C92" s="377">
        <f>ROUND(IF(G95="2016年5月1日后购买",C93/(1+'数据-取费表'!C30)+C94+C95,C93+C94+C95),0)</f>
        <v>2581</v>
      </c>
      <c r="D92" s="377" t="s">
        <v>19</v>
      </c>
      <c r="E92" s="988"/>
      <c r="F92" s="987"/>
      <c r="G92" s="987"/>
      <c r="H92" s="393"/>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4" t="s">
        <v>1832</v>
      </c>
      <c r="B94" s="399" t="s">
        <v>446</v>
      </c>
      <c r="C94" s="377">
        <f>IF(F93="购房发票",ROUND(C93*H93*5%,0),0)</f>
        <v>500</v>
      </c>
      <c r="D94" s="400">
        <v>0.05</v>
      </c>
      <c r="E94" s="3356" t="s">
        <v>447</v>
      </c>
      <c r="F94" s="3357"/>
      <c r="G94" s="3357"/>
      <c r="H94" s="3358"/>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2429</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4" t="s">
        <v>1834</v>
      </c>
      <c r="B96" s="375" t="s">
        <v>450</v>
      </c>
      <c r="C96" s="404">
        <f ca="1">ROUND(D63*D96/(1+'数据-取费表'!C42),0)</f>
        <v>78</v>
      </c>
      <c r="D96" s="405">
        <f>'数据-取费表'!B43</f>
        <v>6.000000000000001E-3</v>
      </c>
      <c r="E96" s="3346" t="s">
        <v>2428</v>
      </c>
      <c r="F96" s="3347"/>
      <c r="G96" s="3347"/>
      <c r="H96" s="3348"/>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1835</v>
      </c>
      <c r="B97" s="381" t="s">
        <v>451</v>
      </c>
      <c r="C97" s="384">
        <f ca="1">C90-C91</f>
        <v>10269</v>
      </c>
      <c r="D97" s="377" t="s">
        <v>19</v>
      </c>
      <c r="E97" s="988"/>
      <c r="F97" s="987"/>
      <c r="G97" s="987"/>
      <c r="H97" s="393"/>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1836</v>
      </c>
      <c r="B98" s="381" t="s">
        <v>452</v>
      </c>
      <c r="C98" s="406">
        <f ca="1">IF(C97&lt;=0,0,C97/C91)</f>
        <v>3.8619781872884542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1837</v>
      </c>
      <c r="B99" s="386" t="s">
        <v>453</v>
      </c>
      <c r="C99" s="407">
        <f ca="1">ROUND(IF(C97&lt;=0,0,IF(C98&gt;=200%,C97*60%-C91*35%,IF(C98&gt;=100%,C97*50%-C91*15%,IF(C98&gt;=50%,C97*40%-C91*5%,IF(C98&lt;50%,C97*30%,0))))),0)</f>
        <v>5231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59" t="s">
        <v>454</v>
      </c>
      <c r="B101" s="3360"/>
      <c r="C101" s="3360"/>
      <c r="D101" s="3360"/>
      <c r="E101" s="3360"/>
      <c r="F101" s="3360"/>
      <c r="G101" s="3360"/>
      <c r="H101" s="3360"/>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23" t="s">
        <v>428</v>
      </c>
      <c r="B102" s="3324"/>
      <c r="C102" s="991"/>
      <c r="D102" s="991"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80" t="s">
        <v>1823</v>
      </c>
      <c r="B103" s="381" t="s">
        <v>439</v>
      </c>
      <c r="C103" s="384">
        <f ca="1">ROUND(D63/(1+'数据-取费表'!C42),0)</f>
        <v>12928</v>
      </c>
      <c r="D103" s="377" t="s">
        <v>19</v>
      </c>
      <c r="E103" s="988"/>
      <c r="F103" s="987"/>
      <c r="G103" s="987"/>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80" t="s">
        <v>1829</v>
      </c>
      <c r="B104" s="347" t="s">
        <v>440</v>
      </c>
      <c r="C104" s="384">
        <f ca="1">IF(H106="仅含出让金",C105+C108+C109+C110+C111+C112,C105+C109+C110+C111+C112)</f>
        <v>773</v>
      </c>
      <c r="D104" s="414"/>
      <c r="E104" s="988"/>
      <c r="F104" s="987"/>
      <c r="G104" s="987"/>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4" t="s">
        <v>1830</v>
      </c>
      <c r="B105" s="375" t="s">
        <v>455</v>
      </c>
      <c r="C105" s="404">
        <f>C106+C107</f>
        <v>577</v>
      </c>
      <c r="D105" s="405"/>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4" t="s">
        <v>1831</v>
      </c>
      <c r="B106" s="375" t="s">
        <v>456</v>
      </c>
      <c r="C106" s="415">
        <v>555</v>
      </c>
      <c r="D106" s="405"/>
      <c r="E106" s="416" t="s">
        <v>457</v>
      </c>
      <c r="F106" s="983"/>
      <c r="G106" s="417" t="s">
        <v>458</v>
      </c>
      <c r="H106" s="418" t="s">
        <v>2439</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4" t="s">
        <v>1832</v>
      </c>
      <c r="B107" s="375" t="s">
        <v>448</v>
      </c>
      <c r="C107" s="404">
        <f>ROUND(C106*D107,0)</f>
        <v>22</v>
      </c>
      <c r="D107" s="405">
        <f>'数据-取费表'!B48+'数据-取费表'!B49</f>
        <v>4.0500000000000001E-2</v>
      </c>
      <c r="E107" s="416"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4" t="s">
        <v>1834</v>
      </c>
      <c r="B108" s="375" t="s">
        <v>460</v>
      </c>
      <c r="C108" s="415"/>
      <c r="D108" s="405"/>
      <c r="E108" s="416"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1838</v>
      </c>
      <c r="B109" s="375" t="s">
        <v>461</v>
      </c>
      <c r="C109" s="404">
        <f>IF(H109="——",IF(F1="现房",'剩余法-现房'!C18,'剩余法-待开发'!C18),I109)</f>
        <v>55</v>
      </c>
      <c r="D109" s="405"/>
      <c r="E109" s="3349" t="s">
        <v>462</v>
      </c>
      <c r="F109" s="3347"/>
      <c r="G109" s="3347"/>
      <c r="H109" s="1923" t="s">
        <v>2279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1839</v>
      </c>
      <c r="B110" s="375" t="s">
        <v>463</v>
      </c>
      <c r="C110" s="404">
        <f>ROUND((C105+C108+C109)*D110,0)</f>
        <v>63</v>
      </c>
      <c r="D110" s="405">
        <v>0.1</v>
      </c>
      <c r="E110" s="3349" t="s">
        <v>464</v>
      </c>
      <c r="F110" s="3347"/>
      <c r="G110" s="3347"/>
      <c r="H110" s="3348"/>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1840</v>
      </c>
      <c r="B111" s="375" t="s">
        <v>450</v>
      </c>
      <c r="C111" s="404">
        <f ca="1">ROUND(D63*D111/(1+'数据-取费表'!C42),0)</f>
        <v>78</v>
      </c>
      <c r="D111" s="405">
        <f>'数据-取费表'!B43</f>
        <v>6.000000000000001E-3</v>
      </c>
      <c r="E111" s="3346" t="s">
        <v>2428</v>
      </c>
      <c r="F111" s="3347"/>
      <c r="G111" s="3347"/>
      <c r="H111" s="3348"/>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1841</v>
      </c>
      <c r="B112" s="375" t="s">
        <v>465</v>
      </c>
      <c r="C112" s="404">
        <f>ROUND(C108*D112,0)</f>
        <v>0</v>
      </c>
      <c r="D112" s="405">
        <v>0.2</v>
      </c>
      <c r="E112" s="3349" t="s">
        <v>2453</v>
      </c>
      <c r="F112" s="3347"/>
      <c r="G112" s="3347"/>
      <c r="H112" s="3348"/>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1835</v>
      </c>
      <c r="B113" s="381" t="s">
        <v>451</v>
      </c>
      <c r="C113" s="384">
        <f ca="1">ROUND(C103-C104,0)</f>
        <v>12155</v>
      </c>
      <c r="D113" s="377" t="s">
        <v>19</v>
      </c>
      <c r="E113" s="988"/>
      <c r="F113" s="987"/>
      <c r="G113" s="987"/>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1836</v>
      </c>
      <c r="B114" s="381" t="s">
        <v>452</v>
      </c>
      <c r="C114" s="406">
        <f ca="1">IF(C113&lt;=0,0,C113/C104)</f>
        <v>15.72445019404916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1837</v>
      </c>
      <c r="B115" s="386" t="s">
        <v>453</v>
      </c>
      <c r="C115" s="407">
        <f ca="1">ROUND(IF(C113&lt;=0,0,IF(C114&gt;=200%,C113*60%-C104*35%,IF(C114&gt;=100%,C113*50%-C104*15%,IF(C114&gt;=50%,C113*40%-C104*5%,IF(C114&lt;50%,C113*30%,0))))),0)</f>
        <v>7022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C40" sqref="C40"/>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2" t="s">
        <v>467</v>
      </c>
      <c r="B2" s="507">
        <f>F68</f>
        <v>20473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1684</v>
      </c>
      <c r="B3" s="509">
        <f>ROUND(B2*10000/'数据-汇总表'!E3,0)</f>
        <v>1622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29" customFormat="1" ht="28.5" customHeight="1">
      <c r="A4" s="510" t="s">
        <v>520</v>
      </c>
      <c r="B4" s="426">
        <f>IF(B48="单位面积地价",C50,ROUND(B2*10000/'数据-汇总表'!D3,0))</f>
        <v>4542</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29" customFormat="1" ht="28.5" customHeight="1" thickBot="1">
      <c r="A5" s="428"/>
      <c r="B5" s="429">
        <f>ROUND(B2/('数据-汇总表'!D3/666.67),0)</f>
        <v>303</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0.25">
      <c r="A6" s="511" t="s">
        <v>521</v>
      </c>
      <c r="B6" s="512"/>
      <c r="C6" s="3404" t="s">
        <v>522</v>
      </c>
      <c r="D6" s="3405"/>
      <c r="E6" s="3404" t="s">
        <v>523</v>
      </c>
      <c r="F6" s="3405"/>
      <c r="G6" s="3404" t="s">
        <v>524</v>
      </c>
      <c r="H6" s="3405"/>
      <c r="I6" s="3404" t="s">
        <v>525</v>
      </c>
      <c r="J6" s="3405"/>
      <c r="K6" s="513" t="s">
        <v>526</v>
      </c>
      <c r="L6" s="2115"/>
      <c r="M6" s="2114"/>
      <c r="N6" s="2114"/>
      <c r="O6" s="2116"/>
      <c r="P6" s="3406" t="s">
        <v>527</v>
      </c>
      <c r="Q6" s="3407"/>
      <c r="R6" s="3392" t="s">
        <v>523</v>
      </c>
      <c r="S6" s="3393"/>
      <c r="T6" s="3392" t="s">
        <v>524</v>
      </c>
      <c r="U6" s="3393"/>
      <c r="V6" s="3412" t="s">
        <v>525</v>
      </c>
      <c r="W6" s="3412"/>
      <c r="X6" s="1550"/>
      <c r="Y6" s="3392" t="s">
        <v>527</v>
      </c>
      <c r="Z6" s="3393"/>
      <c r="AA6" s="3387" t="s">
        <v>523</v>
      </c>
      <c r="AB6" s="3388" t="s">
        <v>524</v>
      </c>
      <c r="AC6" s="3387" t="s">
        <v>525</v>
      </c>
    </row>
    <row r="7" spans="1:30" ht="20.25">
      <c r="A7" s="514"/>
      <c r="B7" s="515"/>
      <c r="C7" s="3415" t="s">
        <v>2929</v>
      </c>
      <c r="D7" s="3416"/>
      <c r="E7" s="3415" t="str">
        <f>土地案例!A26</f>
        <v>浏阳市新屋岭片区,禧和路西侧(XWL-05-08-01地块)</v>
      </c>
      <c r="F7" s="3416"/>
      <c r="G7" s="3415" t="str">
        <f>土地案例!$A$9</f>
        <v>浏阳市杉松、金桥片区,禧和路西侧(SJ-0415-1地块)</v>
      </c>
      <c r="H7" s="3416"/>
      <c r="I7" s="3415" t="str">
        <f>土地案例!A22</f>
        <v>长兴片区,水佳路东侧,白沙路北侧(CJ07-24地块)</v>
      </c>
      <c r="J7" s="3416"/>
      <c r="K7" s="513"/>
      <c r="L7" s="2115"/>
      <c r="M7" s="2114"/>
      <c r="N7" s="2114"/>
      <c r="O7" s="2116"/>
      <c r="P7" s="3408"/>
      <c r="Q7" s="3409"/>
      <c r="R7" s="3394"/>
      <c r="S7" s="3395"/>
      <c r="T7" s="3394"/>
      <c r="U7" s="3395"/>
      <c r="V7" s="3412"/>
      <c r="W7" s="3412"/>
      <c r="X7" s="1550"/>
      <c r="Y7" s="3394"/>
      <c r="Z7" s="3395"/>
      <c r="AA7" s="3388"/>
      <c r="AB7" s="3388"/>
      <c r="AC7" s="3388"/>
    </row>
    <row r="8" spans="1:30" ht="21" thickBot="1">
      <c r="A8" s="514"/>
      <c r="B8" s="515"/>
      <c r="C8" s="3417" t="s">
        <v>2933</v>
      </c>
      <c r="D8" s="3418"/>
      <c r="E8" s="3417" t="s">
        <v>2933</v>
      </c>
      <c r="F8" s="3418"/>
      <c r="G8" s="3413" t="s">
        <v>2933</v>
      </c>
      <c r="H8" s="3414"/>
      <c r="I8" s="3413" t="s">
        <v>2933</v>
      </c>
      <c r="J8" s="3414"/>
      <c r="K8" s="513" t="s">
        <v>528</v>
      </c>
      <c r="L8" s="2115"/>
      <c r="M8" s="2114"/>
      <c r="N8" s="2114"/>
      <c r="O8" s="2116"/>
      <c r="P8" s="3410"/>
      <c r="Q8" s="3411"/>
      <c r="R8" s="3394"/>
      <c r="S8" s="3395"/>
      <c r="T8" s="3396"/>
      <c r="U8" s="3397"/>
      <c r="V8" s="3412"/>
      <c r="W8" s="3412"/>
      <c r="X8" s="1550"/>
      <c r="Y8" s="3396"/>
      <c r="Z8" s="3397"/>
      <c r="AA8" s="3389"/>
      <c r="AB8" s="3389"/>
      <c r="AC8" s="3389"/>
    </row>
    <row r="9" spans="1:30" s="1213" customFormat="1" ht="21" thickBot="1">
      <c r="A9" s="2864"/>
      <c r="B9" s="2871" t="s">
        <v>529</v>
      </c>
      <c r="C9" s="2863">
        <f>'数据-取费表'!B2</f>
        <v>43815</v>
      </c>
      <c r="D9" s="519">
        <v>100</v>
      </c>
      <c r="E9" s="520" t="str">
        <f>土地案例!H26</f>
        <v>2019-06-27</v>
      </c>
      <c r="F9" s="521">
        <f>SUMIF(72:72,YEAR(E9)&amp;"-"&amp;INT((MONTH(E9)+2)/3),73:73)</f>
        <v>98</v>
      </c>
      <c r="G9" s="522" t="str">
        <f>土地案例!$H$9</f>
        <v>2019-06-27</v>
      </c>
      <c r="H9" s="519">
        <f>SUMIF(72:72,YEAR(G9)&amp;"-"&amp;INT((MONTH(G9)+2)/3),73:73)</f>
        <v>98</v>
      </c>
      <c r="I9" s="522" t="str">
        <f>土地案例!H22</f>
        <v>2019-06-27</v>
      </c>
      <c r="J9" s="519">
        <f>SUMIF(72:72,YEAR(I9)&amp;"-"&amp;INT((MONTH(I9)+2)/3),73:73)</f>
        <v>98</v>
      </c>
      <c r="K9" s="523"/>
      <c r="L9" s="2117"/>
      <c r="M9" s="2114"/>
      <c r="N9" s="2114"/>
      <c r="O9" s="2118"/>
      <c r="P9" s="3390" t="s">
        <v>530</v>
      </c>
      <c r="Q9" s="3399"/>
      <c r="R9" s="1551" t="s">
        <v>8</v>
      </c>
      <c r="S9" s="1552">
        <f t="shared" ref="S9:S17" si="0">F9</f>
        <v>98</v>
      </c>
      <c r="T9" s="1551" t="s">
        <v>8</v>
      </c>
      <c r="U9" s="1552">
        <f t="shared" ref="U9:U17" si="1">H9</f>
        <v>98</v>
      </c>
      <c r="V9" s="1551" t="s">
        <v>8</v>
      </c>
      <c r="W9" s="1552">
        <f t="shared" ref="W9:W17" si="2">J9</f>
        <v>98</v>
      </c>
      <c r="X9" s="1553"/>
      <c r="Y9" s="3390" t="s">
        <v>530</v>
      </c>
      <c r="Z9" s="3391"/>
      <c r="AA9" s="1554">
        <f>D9/F9</f>
        <v>1.0204081632653061</v>
      </c>
      <c r="AB9" s="1554">
        <f>D9/H9</f>
        <v>1.0204081632653061</v>
      </c>
      <c r="AC9" s="1554">
        <f>D9/J9</f>
        <v>1.0204081632653061</v>
      </c>
    </row>
    <row r="10" spans="1:30" s="1213" customFormat="1" ht="21" thickBot="1">
      <c r="A10" s="2865"/>
      <c r="B10" s="2872" t="s">
        <v>531</v>
      </c>
      <c r="C10" s="855" t="s">
        <v>532</v>
      </c>
      <c r="D10" s="519">
        <v>100</v>
      </c>
      <c r="E10" s="524" t="s">
        <v>3002</v>
      </c>
      <c r="F10" s="521">
        <f>SUMIF(75:75,E10,76:76)-SUMIF(75:75,C10,76:76)+100</f>
        <v>100</v>
      </c>
      <c r="G10" s="524" t="s">
        <v>3002</v>
      </c>
      <c r="H10" s="519">
        <f>SUMIF(75:75,G10,76:76)-SUMIF(75:75,C10,76:76)+100</f>
        <v>100</v>
      </c>
      <c r="I10" s="524" t="s">
        <v>3002</v>
      </c>
      <c r="J10" s="519">
        <f>SUMIF(75:75,I10,76:76)-SUMIF(75:75,C10,76:76)+100</f>
        <v>100</v>
      </c>
      <c r="K10" s="523"/>
      <c r="L10" s="2117"/>
      <c r="M10" s="2114"/>
      <c r="N10" s="2114"/>
      <c r="O10" s="2118"/>
      <c r="P10" s="3390" t="s">
        <v>533</v>
      </c>
      <c r="Q10" s="3391"/>
      <c r="R10" s="1551" t="s">
        <v>8</v>
      </c>
      <c r="S10" s="1552">
        <f t="shared" si="0"/>
        <v>100</v>
      </c>
      <c r="T10" s="1551" t="s">
        <v>8</v>
      </c>
      <c r="U10" s="1552">
        <f t="shared" si="1"/>
        <v>100</v>
      </c>
      <c r="V10" s="1551" t="s">
        <v>8</v>
      </c>
      <c r="W10" s="1552">
        <f t="shared" si="2"/>
        <v>100</v>
      </c>
      <c r="X10" s="1553"/>
      <c r="Y10" s="3390" t="s">
        <v>533</v>
      </c>
      <c r="Z10" s="3391"/>
      <c r="AA10" s="1554">
        <f t="shared" ref="AA10:AA47" si="3">D10/F10</f>
        <v>1</v>
      </c>
      <c r="AB10" s="1554">
        <f t="shared" ref="AB10:AB47" si="4">D10/H10</f>
        <v>1</v>
      </c>
      <c r="AC10" s="1554">
        <f t="shared" ref="AC10:AC47" si="5">D10/J10</f>
        <v>1</v>
      </c>
    </row>
    <row r="11" spans="1:30" s="1213" customFormat="1" ht="20.25">
      <c r="A11" s="2866"/>
      <c r="B11" s="2873" t="s">
        <v>2756</v>
      </c>
      <c r="C11" s="2860" t="s">
        <v>3062</v>
      </c>
      <c r="D11" s="253">
        <v>100</v>
      </c>
      <c r="E11" s="525" t="s">
        <v>3062</v>
      </c>
      <c r="F11" s="253">
        <f>SUMIF(77:77,E11,78:78)-SUMIF(77:77,C11,78:78)+100</f>
        <v>100</v>
      </c>
      <c r="G11" s="525" t="s">
        <v>3062</v>
      </c>
      <c r="H11" s="253">
        <f>SUMIF(77:77,G11,78:78)-SUMIF(77:77,C11,78:78)+100</f>
        <v>100</v>
      </c>
      <c r="I11" s="525" t="s">
        <v>923</v>
      </c>
      <c r="J11" s="253">
        <f>SUMIF(77:77,I11,78:78)-SUMIF(77:77,C11,78:78)+100</f>
        <v>98</v>
      </c>
      <c r="K11" s="523"/>
      <c r="L11" s="2117"/>
      <c r="M11" s="2114"/>
      <c r="N11" s="2114"/>
      <c r="O11" s="2119"/>
      <c r="P11" s="3398" t="s">
        <v>535</v>
      </c>
      <c r="Q11" s="1144" t="str">
        <f t="shared" ref="Q11:Q17" si="6">B11</f>
        <v>用途</v>
      </c>
      <c r="R11" s="1551" t="s">
        <v>8</v>
      </c>
      <c r="S11" s="1552">
        <f t="shared" si="0"/>
        <v>100</v>
      </c>
      <c r="T11" s="1551" t="s">
        <v>8</v>
      </c>
      <c r="U11" s="1552">
        <f t="shared" si="1"/>
        <v>100</v>
      </c>
      <c r="V11" s="1551" t="s">
        <v>8</v>
      </c>
      <c r="W11" s="1552">
        <f t="shared" si="2"/>
        <v>98</v>
      </c>
      <c r="X11" s="1553"/>
      <c r="Y11" s="3355" t="s">
        <v>536</v>
      </c>
      <c r="Z11" s="1143" t="str">
        <f t="shared" ref="Z11:Z17" si="7">Q11</f>
        <v>用途</v>
      </c>
      <c r="AA11" s="1554">
        <f t="shared" si="3"/>
        <v>1</v>
      </c>
      <c r="AB11" s="1554">
        <f t="shared" si="4"/>
        <v>1</v>
      </c>
      <c r="AC11" s="1554">
        <f t="shared" si="5"/>
        <v>1.0204081632653061</v>
      </c>
    </row>
    <row r="12" spans="1:30" s="1331" customFormat="1" ht="27">
      <c r="A12" s="2867"/>
      <c r="B12" s="2872" t="s">
        <v>2757</v>
      </c>
      <c r="C12" s="908">
        <f>项目基本情况!D19</f>
        <v>69.58</v>
      </c>
      <c r="D12" s="254">
        <v>100</v>
      </c>
      <c r="E12" s="528" t="s">
        <v>3064</v>
      </c>
      <c r="F12" s="254">
        <f>ROUND(100/'数据-取费表'!G16,0)</f>
        <v>100</v>
      </c>
      <c r="G12" s="529" t="s">
        <v>3064</v>
      </c>
      <c r="H12" s="254">
        <f>ROUND(100/'数据-取费表'!G16,0)</f>
        <v>100</v>
      </c>
      <c r="I12" s="529" t="s">
        <v>3064</v>
      </c>
      <c r="J12" s="254">
        <f>ROUND(100/'数据-取费表'!G16,0)</f>
        <v>100</v>
      </c>
      <c r="K12" s="530"/>
      <c r="L12" s="2120"/>
      <c r="M12" s="2114"/>
      <c r="N12" s="2114"/>
      <c r="O12" s="2121"/>
      <c r="P12" s="3398"/>
      <c r="Q12" s="1144" t="str">
        <f t="shared" si="6"/>
        <v>土地使用年限（年）</v>
      </c>
      <c r="R12" s="1551" t="s">
        <v>8</v>
      </c>
      <c r="S12" s="1552">
        <f t="shared" si="0"/>
        <v>100</v>
      </c>
      <c r="T12" s="1551" t="s">
        <v>8</v>
      </c>
      <c r="U12" s="1552">
        <f t="shared" si="1"/>
        <v>100</v>
      </c>
      <c r="V12" s="1551" t="s">
        <v>8</v>
      </c>
      <c r="W12" s="1552">
        <f t="shared" si="2"/>
        <v>100</v>
      </c>
      <c r="X12" s="1553"/>
      <c r="Y12" s="3355"/>
      <c r="Z12" s="1143" t="str">
        <f t="shared" si="7"/>
        <v>土地使用年限（年）</v>
      </c>
      <c r="AA12" s="1554">
        <f t="shared" si="3"/>
        <v>1</v>
      </c>
      <c r="AB12" s="1554">
        <f t="shared" si="4"/>
        <v>1</v>
      </c>
      <c r="AC12" s="1554">
        <f t="shared" si="5"/>
        <v>1</v>
      </c>
    </row>
    <row r="13" spans="1:30" ht="20.25">
      <c r="A13" s="2868"/>
      <c r="B13" s="2872" t="s">
        <v>2758</v>
      </c>
      <c r="C13" s="533">
        <v>2.8</v>
      </c>
      <c r="D13" s="254">
        <v>100</v>
      </c>
      <c r="E13" s="532">
        <v>2.5</v>
      </c>
      <c r="F13" s="254">
        <f>LOOKUP(E13,82:82,83:83)-LOOKUP(C13,82:82,83:83)+100</f>
        <v>100</v>
      </c>
      <c r="G13" s="533">
        <v>2.8</v>
      </c>
      <c r="H13" s="254">
        <f>LOOKUP(G13,82:82,83:83)-LOOKUP(C13,82:82,83:83)+100</f>
        <v>100</v>
      </c>
      <c r="I13" s="532">
        <v>2</v>
      </c>
      <c r="J13" s="254">
        <f>LOOKUP(I13,82:82,83:83)-LOOKUP(C13,82:82,83:83)+100</f>
        <v>102</v>
      </c>
      <c r="K13" s="534">
        <v>2</v>
      </c>
      <c r="L13" s="2122"/>
      <c r="M13" s="2114"/>
      <c r="N13" s="2114"/>
      <c r="O13" s="2123"/>
      <c r="P13" s="3398"/>
      <c r="Q13" s="1144" t="str">
        <f t="shared" si="6"/>
        <v>容积率</v>
      </c>
      <c r="R13" s="1551" t="s">
        <v>8</v>
      </c>
      <c r="S13" s="1552">
        <f t="shared" si="0"/>
        <v>100</v>
      </c>
      <c r="T13" s="1551" t="s">
        <v>8</v>
      </c>
      <c r="U13" s="1552">
        <f t="shared" si="1"/>
        <v>100</v>
      </c>
      <c r="V13" s="1551" t="s">
        <v>8</v>
      </c>
      <c r="W13" s="1552">
        <f t="shared" si="2"/>
        <v>102</v>
      </c>
      <c r="X13" s="1553"/>
      <c r="Y13" s="3355"/>
      <c r="Z13" s="1143" t="str">
        <f t="shared" si="7"/>
        <v>容积率</v>
      </c>
      <c r="AA13" s="1554">
        <f t="shared" si="3"/>
        <v>1</v>
      </c>
      <c r="AB13" s="1554">
        <f t="shared" si="4"/>
        <v>1</v>
      </c>
      <c r="AC13" s="1554">
        <f t="shared" si="5"/>
        <v>0.98039215686274506</v>
      </c>
    </row>
    <row r="14" spans="1:30" s="1213" customFormat="1" ht="20.25">
      <c r="A14" s="2865"/>
      <c r="B14" s="2874" t="s">
        <v>2759</v>
      </c>
      <c r="C14" s="2861"/>
      <c r="D14" s="537">
        <v>100</v>
      </c>
      <c r="E14" s="1368"/>
      <c r="F14" s="254">
        <f>SUMIF(84:84,E14,85:85)-SUMIF(84:84,C14,85:85)+100</f>
        <v>100</v>
      </c>
      <c r="G14" s="529"/>
      <c r="H14" s="254">
        <f>SUMIF(84:84,G14,85:85)-SUMIF(84:84,C14,85:85)+100</f>
        <v>100</v>
      </c>
      <c r="I14" s="528"/>
      <c r="J14" s="254">
        <f>SUMIF(84:84,I14,85:85)-SUMIF(84:84,C14,85:85)+100</f>
        <v>100</v>
      </c>
      <c r="K14" s="530"/>
      <c r="L14" s="2117"/>
      <c r="M14" s="2114"/>
      <c r="N14" s="2114"/>
      <c r="O14" s="2119"/>
      <c r="P14" s="3398"/>
      <c r="Q14" s="1144" t="str">
        <f t="shared" si="6"/>
        <v>配建</v>
      </c>
      <c r="R14" s="1551" t="s">
        <v>8</v>
      </c>
      <c r="S14" s="1552">
        <f t="shared" si="0"/>
        <v>100</v>
      </c>
      <c r="T14" s="1551" t="s">
        <v>8</v>
      </c>
      <c r="U14" s="1552">
        <f t="shared" si="1"/>
        <v>100</v>
      </c>
      <c r="V14" s="1551" t="s">
        <v>8</v>
      </c>
      <c r="W14" s="1552">
        <f t="shared" si="2"/>
        <v>100</v>
      </c>
      <c r="X14" s="1553"/>
      <c r="Y14" s="3355"/>
      <c r="Z14" s="1143" t="str">
        <f t="shared" si="7"/>
        <v>配建</v>
      </c>
      <c r="AA14" s="1554">
        <f>D14/F14</f>
        <v>1</v>
      </c>
      <c r="AB14" s="1554">
        <f>D14/H14</f>
        <v>1</v>
      </c>
      <c r="AC14" s="1554">
        <f>D14/J14</f>
        <v>1</v>
      </c>
    </row>
    <row r="15" spans="1:30" ht="20.25">
      <c r="A15" s="2869"/>
      <c r="B15" s="2875">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398"/>
      <c r="Q15" s="1144">
        <f t="shared" si="6"/>
        <v>111</v>
      </c>
      <c r="R15" s="1551" t="s">
        <v>8</v>
      </c>
      <c r="S15" s="1552">
        <f t="shared" si="0"/>
        <v>100</v>
      </c>
      <c r="T15" s="1551" t="s">
        <v>8</v>
      </c>
      <c r="U15" s="1552">
        <f t="shared" si="1"/>
        <v>100</v>
      </c>
      <c r="V15" s="1551" t="s">
        <v>8</v>
      </c>
      <c r="W15" s="1552">
        <f t="shared" si="2"/>
        <v>100</v>
      </c>
      <c r="X15" s="1553"/>
      <c r="Y15" s="3355"/>
      <c r="Z15" s="1143">
        <f t="shared" si="7"/>
        <v>111</v>
      </c>
      <c r="AA15" s="1554">
        <f>D15/F15</f>
        <v>1</v>
      </c>
      <c r="AB15" s="1554">
        <f>D15/H15</f>
        <v>1</v>
      </c>
      <c r="AC15" s="1554">
        <f>D15/J15</f>
        <v>1</v>
      </c>
    </row>
    <row r="16" spans="1:30" ht="21"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98"/>
      <c r="Q16" s="1144">
        <f t="shared" si="6"/>
        <v>111</v>
      </c>
      <c r="R16" s="1551" t="s">
        <v>8</v>
      </c>
      <c r="S16" s="1552">
        <f t="shared" si="0"/>
        <v>100</v>
      </c>
      <c r="T16" s="1551" t="s">
        <v>8</v>
      </c>
      <c r="U16" s="1552">
        <f t="shared" si="1"/>
        <v>100</v>
      </c>
      <c r="V16" s="1551" t="s">
        <v>8</v>
      </c>
      <c r="W16" s="1552">
        <f t="shared" si="2"/>
        <v>100</v>
      </c>
      <c r="X16" s="1553"/>
      <c r="Y16" s="3355"/>
      <c r="Z16" s="1143">
        <f t="shared" si="7"/>
        <v>111</v>
      </c>
      <c r="AA16" s="1554">
        <f>D16/F16</f>
        <v>1</v>
      </c>
      <c r="AB16" s="1554">
        <f>D16/H16</f>
        <v>1</v>
      </c>
      <c r="AC16" s="1554">
        <f>D16/J16</f>
        <v>1</v>
      </c>
    </row>
    <row r="17" spans="1:29" ht="99.75">
      <c r="A17" s="2862"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100</v>
      </c>
      <c r="I17" s="551"/>
      <c r="J17" s="548">
        <f>SUMIF(90:90,I18,91:91)-SUMIF(90:90,C18,91:91)+100</f>
        <v>103</v>
      </c>
      <c r="K17" s="3205">
        <v>3</v>
      </c>
      <c r="L17" s="2124"/>
      <c r="M17" s="2114"/>
      <c r="N17" s="2114"/>
      <c r="O17" s="2123"/>
      <c r="P17" s="3400" t="s">
        <v>540</v>
      </c>
      <c r="Q17" s="1555" t="str">
        <f t="shared" si="6"/>
        <v>居住社区成熟度</v>
      </c>
      <c r="R17" s="1556" t="s">
        <v>8</v>
      </c>
      <c r="S17" s="1557">
        <f t="shared" si="0"/>
        <v>103</v>
      </c>
      <c r="T17" s="1556" t="s">
        <v>8</v>
      </c>
      <c r="U17" s="1557">
        <f t="shared" si="1"/>
        <v>100</v>
      </c>
      <c r="V17" s="1556" t="s">
        <v>8</v>
      </c>
      <c r="W17" s="1557">
        <f t="shared" si="2"/>
        <v>103</v>
      </c>
      <c r="X17" s="1550"/>
      <c r="Y17" s="3400" t="s">
        <v>540</v>
      </c>
      <c r="Z17" s="1558" t="str">
        <f t="shared" si="7"/>
        <v>居住社区成熟度</v>
      </c>
      <c r="AA17" s="1559">
        <f t="shared" si="3"/>
        <v>0.970873786407767</v>
      </c>
      <c r="AB17" s="1559">
        <f t="shared" si="4"/>
        <v>1</v>
      </c>
      <c r="AC17" s="1559">
        <f t="shared" si="5"/>
        <v>0.970873786407767</v>
      </c>
    </row>
    <row r="18" spans="1:29" ht="20.25">
      <c r="A18" s="531"/>
      <c r="B18" s="552"/>
      <c r="C18" s="553" t="s">
        <v>3013</v>
      </c>
      <c r="D18" s="556"/>
      <c r="E18" s="557" t="s">
        <v>3025</v>
      </c>
      <c r="F18" s="554"/>
      <c r="G18" s="555" t="s">
        <v>3013</v>
      </c>
      <c r="H18" s="558"/>
      <c r="I18" s="557" t="s">
        <v>3025</v>
      </c>
      <c r="J18" s="554"/>
      <c r="K18" s="530"/>
      <c r="L18" s="2124"/>
      <c r="M18" s="2114"/>
      <c r="N18" s="2114"/>
      <c r="O18" s="2123"/>
      <c r="P18" s="3401"/>
      <c r="Q18" s="1555"/>
      <c r="R18" s="1556"/>
      <c r="S18" s="1557"/>
      <c r="T18" s="1556"/>
      <c r="U18" s="1557"/>
      <c r="V18" s="1556"/>
      <c r="W18" s="1557"/>
      <c r="X18" s="1550"/>
      <c r="Y18" s="3401"/>
      <c r="Z18" s="1558"/>
      <c r="AA18" s="1559">
        <v>1</v>
      </c>
      <c r="AB18" s="1559">
        <v>1</v>
      </c>
      <c r="AC18" s="1559">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103</v>
      </c>
      <c r="K19" s="3205">
        <v>3</v>
      </c>
      <c r="L19" s="2124"/>
      <c r="M19" s="2114"/>
      <c r="N19" s="2114"/>
      <c r="O19" s="2123"/>
      <c r="P19" s="3401"/>
      <c r="Q19" s="1555" t="str">
        <f>B19</f>
        <v>商业繁华度</v>
      </c>
      <c r="R19" s="1556" t="s">
        <v>8</v>
      </c>
      <c r="S19" s="1557">
        <f>F19</f>
        <v>100</v>
      </c>
      <c r="T19" s="1556" t="s">
        <v>8</v>
      </c>
      <c r="U19" s="1557">
        <f>H19</f>
        <v>100</v>
      </c>
      <c r="V19" s="1556" t="s">
        <v>8</v>
      </c>
      <c r="W19" s="1557">
        <f>J19</f>
        <v>103</v>
      </c>
      <c r="X19" s="1550"/>
      <c r="Y19" s="3401"/>
      <c r="Z19" s="1558" t="str">
        <f>Q19</f>
        <v>商业繁华度</v>
      </c>
      <c r="AA19" s="1559">
        <f t="shared" si="3"/>
        <v>1</v>
      </c>
      <c r="AB19" s="1559">
        <f t="shared" si="4"/>
        <v>1</v>
      </c>
      <c r="AC19" s="1559">
        <f t="shared" si="5"/>
        <v>0.970873786407767</v>
      </c>
    </row>
    <row r="20" spans="1:29" ht="20.25">
      <c r="A20" s="531"/>
      <c r="B20" s="565"/>
      <c r="C20" s="566" t="s">
        <v>3013</v>
      </c>
      <c r="D20" s="562"/>
      <c r="E20" s="568" t="s">
        <v>3013</v>
      </c>
      <c r="F20" s="558"/>
      <c r="G20" s="567" t="s">
        <v>3013</v>
      </c>
      <c r="H20" s="554"/>
      <c r="I20" s="568" t="s">
        <v>3025</v>
      </c>
      <c r="J20" s="554"/>
      <c r="K20" s="530"/>
      <c r="L20" s="2124"/>
      <c r="M20" s="2114"/>
      <c r="N20" s="2114"/>
      <c r="O20" s="2123"/>
      <c r="P20" s="3401"/>
      <c r="Q20" s="1555"/>
      <c r="R20" s="1556"/>
      <c r="S20" s="1557"/>
      <c r="T20" s="1556"/>
      <c r="U20" s="1557"/>
      <c r="V20" s="1556"/>
      <c r="W20" s="1557"/>
      <c r="X20" s="1550"/>
      <c r="Y20" s="3401"/>
      <c r="Z20" s="1558"/>
      <c r="AA20" s="1559">
        <v>1</v>
      </c>
      <c r="AB20" s="1559">
        <v>1</v>
      </c>
      <c r="AC20" s="1559">
        <v>1</v>
      </c>
    </row>
    <row r="21" spans="1:29" ht="71.25" hidden="1" customHeight="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01"/>
      <c r="Q21" s="1555" t="str">
        <f>B21</f>
        <v>办公集聚程度</v>
      </c>
      <c r="R21" s="1556" t="s">
        <v>8</v>
      </c>
      <c r="S21" s="1557">
        <f>F21</f>
        <v>100</v>
      </c>
      <c r="T21" s="1556" t="s">
        <v>8</v>
      </c>
      <c r="U21" s="1557">
        <f>H21</f>
        <v>100</v>
      </c>
      <c r="V21" s="1556" t="s">
        <v>8</v>
      </c>
      <c r="W21" s="1557">
        <f>J21</f>
        <v>100</v>
      </c>
      <c r="X21" s="1550"/>
      <c r="Y21" s="3401"/>
      <c r="Z21" s="1558" t="str">
        <f>Q21</f>
        <v>办公集聚程度</v>
      </c>
      <c r="AA21" s="1559">
        <f t="shared" si="3"/>
        <v>1</v>
      </c>
      <c r="AB21" s="1559">
        <f t="shared" si="4"/>
        <v>1</v>
      </c>
      <c r="AC21" s="1559">
        <f t="shared" si="5"/>
        <v>1</v>
      </c>
    </row>
    <row r="22" spans="1:29" ht="20.25" hidden="1" customHeight="1">
      <c r="A22" s="531"/>
      <c r="B22" s="565"/>
      <c r="C22" s="553"/>
      <c r="D22" s="556"/>
      <c r="E22" s="557"/>
      <c r="F22" s="554"/>
      <c r="G22" s="555"/>
      <c r="H22" s="554"/>
      <c r="I22" s="557"/>
      <c r="J22" s="554"/>
      <c r="K22" s="530"/>
      <c r="L22" s="2124"/>
      <c r="M22" s="2114"/>
      <c r="N22" s="2114"/>
      <c r="O22" s="2123"/>
      <c r="P22" s="3401"/>
      <c r="Q22" s="1555"/>
      <c r="R22" s="1556"/>
      <c r="S22" s="1557"/>
      <c r="T22" s="1556"/>
      <c r="U22" s="1557"/>
      <c r="V22" s="1556"/>
      <c r="W22" s="1557"/>
      <c r="X22" s="1550"/>
      <c r="Y22" s="3401"/>
      <c r="Z22" s="1558"/>
      <c r="AA22" s="1559">
        <v>1</v>
      </c>
      <c r="AB22" s="1559">
        <v>1</v>
      </c>
      <c r="AC22" s="1559">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4"/>
      <c r="M23" s="2114"/>
      <c r="N23" s="2114"/>
      <c r="O23" s="2123"/>
      <c r="P23" s="3401"/>
      <c r="Q23" s="1555" t="str">
        <f>B23</f>
        <v>交通便捷度</v>
      </c>
      <c r="R23" s="1556" t="s">
        <v>8</v>
      </c>
      <c r="S23" s="1557">
        <f>F23</f>
        <v>100</v>
      </c>
      <c r="T23" s="1556" t="s">
        <v>8</v>
      </c>
      <c r="U23" s="1557">
        <f>H23</f>
        <v>100</v>
      </c>
      <c r="V23" s="1556" t="s">
        <v>8</v>
      </c>
      <c r="W23" s="1557">
        <f>J23</f>
        <v>100</v>
      </c>
      <c r="X23" s="1550"/>
      <c r="Y23" s="3401"/>
      <c r="Z23" s="1558" t="str">
        <f>Q23</f>
        <v>交通便捷度</v>
      </c>
      <c r="AA23" s="1559">
        <f t="shared" si="3"/>
        <v>1</v>
      </c>
      <c r="AB23" s="1559">
        <f t="shared" si="4"/>
        <v>1</v>
      </c>
      <c r="AC23" s="1559">
        <f t="shared" si="5"/>
        <v>1</v>
      </c>
    </row>
    <row r="24" spans="1:29" ht="20.25">
      <c r="A24" s="531"/>
      <c r="B24" s="577"/>
      <c r="C24" s="553" t="s">
        <v>3025</v>
      </c>
      <c r="D24" s="556"/>
      <c r="E24" s="557" t="s">
        <v>3025</v>
      </c>
      <c r="F24" s="554"/>
      <c r="G24" s="555" t="s">
        <v>3025</v>
      </c>
      <c r="H24" s="554"/>
      <c r="I24" s="557" t="s">
        <v>3025</v>
      </c>
      <c r="J24" s="554"/>
      <c r="K24" s="530"/>
      <c r="L24" s="2124"/>
      <c r="M24" s="2114"/>
      <c r="N24" s="2114"/>
      <c r="O24" s="2123"/>
      <c r="P24" s="3401"/>
      <c r="Q24" s="1555"/>
      <c r="R24" s="1556"/>
      <c r="S24" s="1557"/>
      <c r="T24" s="1556"/>
      <c r="U24" s="1557"/>
      <c r="V24" s="1556"/>
      <c r="W24" s="1557"/>
      <c r="X24" s="1550"/>
      <c r="Y24" s="3401"/>
      <c r="Z24" s="1558"/>
      <c r="AA24" s="1559">
        <v>1</v>
      </c>
      <c r="AB24" s="1559">
        <v>1</v>
      </c>
      <c r="AC24" s="1559">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01"/>
      <c r="Q25" s="1555" t="str">
        <f t="shared" ref="Q25:Q39" si="8">B25</f>
        <v>区域土地利用方向</v>
      </c>
      <c r="R25" s="1556" t="s">
        <v>8</v>
      </c>
      <c r="S25" s="1557">
        <f>F25</f>
        <v>100</v>
      </c>
      <c r="T25" s="1556" t="s">
        <v>8</v>
      </c>
      <c r="U25" s="1557">
        <f>H25</f>
        <v>100</v>
      </c>
      <c r="V25" s="1556" t="s">
        <v>8</v>
      </c>
      <c r="W25" s="1557">
        <f>J25</f>
        <v>100</v>
      </c>
      <c r="X25" s="1550"/>
      <c r="Y25" s="3401"/>
      <c r="Z25" s="1558" t="str">
        <f>Q25</f>
        <v>区域土地利用方向</v>
      </c>
      <c r="AA25" s="1559">
        <f t="shared" si="3"/>
        <v>1</v>
      </c>
      <c r="AB25" s="1559">
        <f t="shared" si="4"/>
        <v>1</v>
      </c>
      <c r="AC25" s="1559">
        <f t="shared" si="5"/>
        <v>1</v>
      </c>
    </row>
    <row r="26" spans="1:29" ht="20.25">
      <c r="A26" s="514"/>
      <c r="B26" s="1004"/>
      <c r="C26" s="553" t="s">
        <v>3025</v>
      </c>
      <c r="D26" s="556"/>
      <c r="E26" s="557" t="s">
        <v>3025</v>
      </c>
      <c r="F26" s="554"/>
      <c r="G26" s="555" t="s">
        <v>3025</v>
      </c>
      <c r="H26" s="554"/>
      <c r="I26" s="557" t="s">
        <v>3025</v>
      </c>
      <c r="J26" s="554"/>
      <c r="K26" s="530"/>
      <c r="L26" s="2124"/>
      <c r="M26" s="2114"/>
      <c r="N26" s="2114"/>
      <c r="O26" s="2123"/>
      <c r="P26" s="3401"/>
      <c r="Q26" s="1555"/>
      <c r="R26" s="1556"/>
      <c r="S26" s="1557"/>
      <c r="T26" s="1556"/>
      <c r="U26" s="1557"/>
      <c r="V26" s="1556"/>
      <c r="W26" s="1557"/>
      <c r="X26" s="1550"/>
      <c r="Y26" s="3401"/>
      <c r="Z26" s="1558"/>
      <c r="AA26" s="1559"/>
      <c r="AB26" s="1559"/>
      <c r="AC26" s="1559"/>
    </row>
    <row r="27" spans="1:29" ht="57">
      <c r="A27" s="514"/>
      <c r="B27" s="577" t="s">
        <v>545</v>
      </c>
      <c r="C27" s="560" t="str">
        <f>估价对象房地状况!C20</f>
        <v>区域自然环境：；人文环境；综合评价环境状况一般</v>
      </c>
      <c r="D27" s="562">
        <v>100</v>
      </c>
      <c r="E27" s="563"/>
      <c r="F27" s="558">
        <f>SUMIF(100:100,E28,101:101)-SUMIF(100:100,C28,101:101)+100</f>
        <v>98</v>
      </c>
      <c r="G27" s="561"/>
      <c r="H27" s="558">
        <f>SUMIF(100:100,G28,101:101)-SUMIF(100:100,C28,101:101)+100</f>
        <v>98</v>
      </c>
      <c r="I27" s="563"/>
      <c r="J27" s="558">
        <f>SUMIF(100:100,I28,101:101)-SUMIF(100:100,C28,101:101)+100</f>
        <v>98</v>
      </c>
      <c r="K27" s="534">
        <v>2</v>
      </c>
      <c r="L27" s="2124"/>
      <c r="M27" s="2114"/>
      <c r="N27" s="2114"/>
      <c r="O27" s="2123"/>
      <c r="P27" s="3401"/>
      <c r="Q27" s="1555" t="str">
        <f t="shared" si="8"/>
        <v>自然及人文环境状况</v>
      </c>
      <c r="R27" s="1556" t="s">
        <v>8</v>
      </c>
      <c r="S27" s="1557">
        <f>F27</f>
        <v>98</v>
      </c>
      <c r="T27" s="1556" t="s">
        <v>8</v>
      </c>
      <c r="U27" s="1557">
        <f>H27</f>
        <v>98</v>
      </c>
      <c r="V27" s="1556" t="s">
        <v>8</v>
      </c>
      <c r="W27" s="1557">
        <f>J27</f>
        <v>98</v>
      </c>
      <c r="X27" s="1550"/>
      <c r="Y27" s="3401"/>
      <c r="Z27" s="1558" t="str">
        <f>Q27</f>
        <v>自然及人文环境状况</v>
      </c>
      <c r="AA27" s="1559">
        <f t="shared" si="3"/>
        <v>1.0204081632653061</v>
      </c>
      <c r="AB27" s="1559">
        <f t="shared" si="4"/>
        <v>1.0204081632653061</v>
      </c>
      <c r="AC27" s="1559">
        <f t="shared" si="5"/>
        <v>1.0204081632653061</v>
      </c>
    </row>
    <row r="28" spans="1:29" ht="20.25">
      <c r="A28" s="514"/>
      <c r="B28" s="565"/>
      <c r="C28" s="553" t="s">
        <v>3025</v>
      </c>
      <c r="D28" s="556"/>
      <c r="E28" s="575" t="s">
        <v>3013</v>
      </c>
      <c r="F28" s="554"/>
      <c r="G28" s="553" t="s">
        <v>3013</v>
      </c>
      <c r="H28" s="554"/>
      <c r="I28" s="575" t="s">
        <v>3013</v>
      </c>
      <c r="J28" s="554"/>
      <c r="K28" s="530"/>
      <c r="L28" s="2124"/>
      <c r="M28" s="2114"/>
      <c r="N28" s="2114"/>
      <c r="O28" s="2123"/>
      <c r="P28" s="3401"/>
      <c r="Q28" s="1555"/>
      <c r="R28" s="1556"/>
      <c r="S28" s="1557"/>
      <c r="T28" s="1556"/>
      <c r="U28" s="1557"/>
      <c r="V28" s="1556"/>
      <c r="W28" s="1557"/>
      <c r="X28" s="1550"/>
      <c r="Y28" s="3401"/>
      <c r="Z28" s="1558"/>
      <c r="AA28" s="1559">
        <v>1</v>
      </c>
      <c r="AB28" s="1559">
        <v>1</v>
      </c>
      <c r="AC28" s="1559">
        <v>1</v>
      </c>
    </row>
    <row r="29" spans="1:29" s="1213" customFormat="1" ht="42.75">
      <c r="A29" s="576"/>
      <c r="B29" s="2552"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103</v>
      </c>
      <c r="K29" s="3205">
        <v>3</v>
      </c>
      <c r="L29" s="2117"/>
      <c r="M29" s="2114"/>
      <c r="N29" s="2114"/>
      <c r="O29" s="2119"/>
      <c r="P29" s="3401"/>
      <c r="Q29" s="1144" t="str">
        <f t="shared" si="8"/>
        <v>公共配套设施</v>
      </c>
      <c r="R29" s="1551" t="s">
        <v>8</v>
      </c>
      <c r="S29" s="1552">
        <f>F29</f>
        <v>100</v>
      </c>
      <c r="T29" s="1551" t="s">
        <v>8</v>
      </c>
      <c r="U29" s="1552">
        <f>H29</f>
        <v>100</v>
      </c>
      <c r="V29" s="1551" t="s">
        <v>8</v>
      </c>
      <c r="W29" s="1552">
        <f>J29</f>
        <v>103</v>
      </c>
      <c r="X29" s="1553"/>
      <c r="Y29" s="3401"/>
      <c r="Z29" s="1143" t="str">
        <f>Q29</f>
        <v>公共配套设施</v>
      </c>
      <c r="AA29" s="1559">
        <f>D29/F29</f>
        <v>1</v>
      </c>
      <c r="AB29" s="1559">
        <f>D29/H29</f>
        <v>1</v>
      </c>
      <c r="AC29" s="1559">
        <f>D29/J29</f>
        <v>0.970873786407767</v>
      </c>
    </row>
    <row r="30" spans="1:29" s="1213" customFormat="1" ht="20.25">
      <c r="A30" s="576"/>
      <c r="B30" s="565"/>
      <c r="C30" s="578" t="s">
        <v>3013</v>
      </c>
      <c r="D30" s="556"/>
      <c r="E30" s="575" t="s">
        <v>3013</v>
      </c>
      <c r="F30" s="554"/>
      <c r="G30" s="553" t="s">
        <v>3013</v>
      </c>
      <c r="H30" s="554"/>
      <c r="I30" s="575" t="s">
        <v>3025</v>
      </c>
      <c r="J30" s="554"/>
      <c r="K30" s="530"/>
      <c r="L30" s="2117"/>
      <c r="M30" s="2114"/>
      <c r="N30" s="2114"/>
      <c r="O30" s="2119"/>
      <c r="P30" s="3401"/>
      <c r="Q30" s="1144"/>
      <c r="R30" s="1551"/>
      <c r="S30" s="1552"/>
      <c r="T30" s="1551"/>
      <c r="U30" s="1552"/>
      <c r="V30" s="1551"/>
      <c r="W30" s="1552"/>
      <c r="X30" s="1553"/>
      <c r="Y30" s="3401"/>
      <c r="Z30" s="1143"/>
      <c r="AA30" s="1559">
        <v>1</v>
      </c>
      <c r="AB30" s="1559">
        <v>1</v>
      </c>
      <c r="AC30" s="1559">
        <v>1</v>
      </c>
    </row>
    <row r="31" spans="1:29" s="1213" customFormat="1" ht="28.5">
      <c r="A31" s="576"/>
      <c r="B31" s="2552"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01"/>
      <c r="Q31" s="2539" t="str">
        <f t="shared" ref="Q31" si="9">B31</f>
        <v>基础设施水平</v>
      </c>
      <c r="R31" s="1551" t="s">
        <v>8</v>
      </c>
      <c r="S31" s="1552">
        <f>F31</f>
        <v>100</v>
      </c>
      <c r="T31" s="1551" t="s">
        <v>8</v>
      </c>
      <c r="U31" s="1552">
        <f>H31</f>
        <v>100</v>
      </c>
      <c r="V31" s="1551" t="s">
        <v>8</v>
      </c>
      <c r="W31" s="1552">
        <f>J31</f>
        <v>100</v>
      </c>
      <c r="X31" s="1553"/>
      <c r="Y31" s="3401"/>
      <c r="Z31" s="2536" t="str">
        <f>Q31</f>
        <v>基础设施水平</v>
      </c>
      <c r="AA31" s="1559">
        <f>D31/F31</f>
        <v>1</v>
      </c>
      <c r="AB31" s="1559">
        <f>D31/H31</f>
        <v>1</v>
      </c>
      <c r="AC31" s="1559">
        <f>D31/J31</f>
        <v>1</v>
      </c>
    </row>
    <row r="32" spans="1:29" s="1213" customFormat="1" ht="20.25">
      <c r="A32" s="576"/>
      <c r="B32" s="565"/>
      <c r="C32" s="578" t="s">
        <v>3021</v>
      </c>
      <c r="D32" s="556"/>
      <c r="E32" s="578" t="s">
        <v>3021</v>
      </c>
      <c r="F32" s="554"/>
      <c r="G32" s="578" t="s">
        <v>3021</v>
      </c>
      <c r="H32" s="554"/>
      <c r="I32" s="578" t="s">
        <v>3021</v>
      </c>
      <c r="J32" s="554"/>
      <c r="K32" s="530"/>
      <c r="L32" s="2117"/>
      <c r="M32" s="2114"/>
      <c r="N32" s="2114"/>
      <c r="O32" s="2119"/>
      <c r="P32" s="3401"/>
      <c r="Q32" s="2539"/>
      <c r="R32" s="1551"/>
      <c r="S32" s="1552"/>
      <c r="T32" s="1551"/>
      <c r="U32" s="1552"/>
      <c r="V32" s="1551"/>
      <c r="W32" s="1552"/>
      <c r="X32" s="1553"/>
      <c r="Y32" s="3401"/>
      <c r="Z32" s="2536"/>
      <c r="AA32" s="1559">
        <v>1</v>
      </c>
      <c r="AB32" s="1559">
        <v>1</v>
      </c>
      <c r="AC32" s="1559">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01"/>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01"/>
      <c r="Z33" s="1558" t="str">
        <f t="shared" ref="Z33:Z47" si="13">Q33</f>
        <v>临街状况</v>
      </c>
      <c r="AA33" s="1559">
        <f t="shared" si="3"/>
        <v>1</v>
      </c>
      <c r="AB33" s="1559">
        <f t="shared" si="4"/>
        <v>1</v>
      </c>
      <c r="AC33" s="1559">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01"/>
      <c r="Q34" s="1555" t="str">
        <f t="shared" si="8"/>
        <v>毗邻道路的类型与等级</v>
      </c>
      <c r="R34" s="1556" t="s">
        <v>8</v>
      </c>
      <c r="S34" s="1557">
        <f t="shared" si="10"/>
        <v>100</v>
      </c>
      <c r="T34" s="1556" t="s">
        <v>8</v>
      </c>
      <c r="U34" s="1557">
        <f t="shared" si="11"/>
        <v>100</v>
      </c>
      <c r="V34" s="1556" t="s">
        <v>8</v>
      </c>
      <c r="W34" s="1557">
        <f t="shared" si="12"/>
        <v>100</v>
      </c>
      <c r="X34" s="1550"/>
      <c r="Y34" s="3401"/>
      <c r="Z34" s="1558" t="str">
        <f t="shared" si="13"/>
        <v>毗邻道路的类型与等级</v>
      </c>
      <c r="AA34" s="1559">
        <f t="shared" si="3"/>
        <v>1</v>
      </c>
      <c r="AB34" s="1559">
        <f t="shared" si="4"/>
        <v>1</v>
      </c>
      <c r="AC34" s="1559">
        <f t="shared" si="5"/>
        <v>1</v>
      </c>
    </row>
    <row r="35" spans="1:29" ht="20.25">
      <c r="A35" s="531"/>
      <c r="B35" s="565"/>
      <c r="C35" s="553"/>
      <c r="D35" s="556"/>
      <c r="E35" s="575"/>
      <c r="F35" s="554"/>
      <c r="G35" s="553"/>
      <c r="H35" s="554"/>
      <c r="I35" s="575"/>
      <c r="J35" s="554"/>
      <c r="K35" s="580"/>
      <c r="L35" s="2124"/>
      <c r="M35" s="2114"/>
      <c r="N35" s="2114"/>
      <c r="O35" s="2123"/>
      <c r="P35" s="3401"/>
      <c r="Q35" s="1555"/>
      <c r="R35" s="1556"/>
      <c r="S35" s="1557"/>
      <c r="T35" s="1556"/>
      <c r="U35" s="1557"/>
      <c r="V35" s="1556"/>
      <c r="W35" s="1557"/>
      <c r="X35" s="1550"/>
      <c r="Y35" s="3401"/>
      <c r="Z35" s="1558"/>
      <c r="AA35" s="1559">
        <v>1</v>
      </c>
      <c r="AB35" s="1559">
        <v>1</v>
      </c>
      <c r="AC35" s="1559">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01"/>
      <c r="Q36" s="1555" t="str">
        <f t="shared" si="8"/>
        <v>土地级别</v>
      </c>
      <c r="R36" s="1556" t="s">
        <v>8</v>
      </c>
      <c r="S36" s="1557">
        <f t="shared" si="10"/>
        <v>100</v>
      </c>
      <c r="T36" s="1556" t="s">
        <v>8</v>
      </c>
      <c r="U36" s="1557">
        <f t="shared" si="11"/>
        <v>100</v>
      </c>
      <c r="V36" s="1556" t="s">
        <v>8</v>
      </c>
      <c r="W36" s="1557">
        <f t="shared" si="12"/>
        <v>100</v>
      </c>
      <c r="X36" s="1550"/>
      <c r="Y36" s="3401"/>
      <c r="Z36" s="1558" t="str">
        <f t="shared" si="13"/>
        <v>土地级别</v>
      </c>
      <c r="AA36" s="1559">
        <f t="shared" si="3"/>
        <v>1</v>
      </c>
      <c r="AB36" s="1559">
        <f t="shared" si="4"/>
        <v>1</v>
      </c>
      <c r="AC36" s="1559">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01"/>
      <c r="Q37" s="1555">
        <f t="shared" si="8"/>
        <v>111</v>
      </c>
      <c r="R37" s="1556" t="s">
        <v>8</v>
      </c>
      <c r="S37" s="1557">
        <f t="shared" si="10"/>
        <v>100</v>
      </c>
      <c r="T37" s="1556" t="s">
        <v>8</v>
      </c>
      <c r="U37" s="1557">
        <f t="shared" si="11"/>
        <v>100</v>
      </c>
      <c r="V37" s="1556" t="s">
        <v>8</v>
      </c>
      <c r="W37" s="1557">
        <f t="shared" si="12"/>
        <v>100</v>
      </c>
      <c r="X37" s="1550"/>
      <c r="Y37" s="3401"/>
      <c r="Z37" s="1558">
        <f t="shared" si="13"/>
        <v>111</v>
      </c>
      <c r="AA37" s="1559">
        <f t="shared" si="3"/>
        <v>1</v>
      </c>
      <c r="AB37" s="1559">
        <f t="shared" si="4"/>
        <v>1</v>
      </c>
      <c r="AC37" s="1559">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02" t="s">
        <v>550</v>
      </c>
      <c r="Q38" s="1555">
        <f t="shared" si="8"/>
        <v>111</v>
      </c>
      <c r="R38" s="1556" t="s">
        <v>8</v>
      </c>
      <c r="S38" s="1557">
        <f t="shared" si="10"/>
        <v>100</v>
      </c>
      <c r="T38" s="1556" t="s">
        <v>8</v>
      </c>
      <c r="U38" s="1557">
        <f t="shared" si="11"/>
        <v>100</v>
      </c>
      <c r="V38" s="1556" t="s">
        <v>8</v>
      </c>
      <c r="W38" s="1557">
        <f t="shared" si="12"/>
        <v>100</v>
      </c>
      <c r="X38" s="1550"/>
      <c r="Y38" s="3403" t="s">
        <v>550</v>
      </c>
      <c r="Z38" s="1558">
        <f t="shared" si="13"/>
        <v>111</v>
      </c>
      <c r="AA38" s="1559">
        <f t="shared" si="3"/>
        <v>1</v>
      </c>
      <c r="AB38" s="1559">
        <f t="shared" si="4"/>
        <v>1</v>
      </c>
      <c r="AC38" s="1559">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03"/>
      <c r="Q39" s="1555">
        <f t="shared" si="8"/>
        <v>111</v>
      </c>
      <c r="R39" s="1560" t="s">
        <v>8</v>
      </c>
      <c r="S39" s="1561">
        <f t="shared" si="10"/>
        <v>100</v>
      </c>
      <c r="T39" s="1560" t="s">
        <v>8</v>
      </c>
      <c r="U39" s="1561">
        <f t="shared" si="11"/>
        <v>100</v>
      </c>
      <c r="V39" s="1560" t="s">
        <v>8</v>
      </c>
      <c r="W39" s="1561">
        <f t="shared" si="12"/>
        <v>100</v>
      </c>
      <c r="X39" s="1562"/>
      <c r="Y39" s="3403"/>
      <c r="Z39" s="1563">
        <f t="shared" si="13"/>
        <v>111</v>
      </c>
      <c r="AA39" s="1559">
        <f t="shared" si="3"/>
        <v>1</v>
      </c>
      <c r="AB39" s="1559">
        <f t="shared" si="4"/>
        <v>1</v>
      </c>
      <c r="AC39" s="1559">
        <f t="shared" si="5"/>
        <v>1</v>
      </c>
    </row>
    <row r="40" spans="1:29" ht="20.25">
      <c r="A40" s="2859" t="s">
        <v>2755</v>
      </c>
      <c r="B40" s="594" t="s">
        <v>552</v>
      </c>
      <c r="C40" s="595">
        <f>'数据-基础表'!A3</f>
        <v>45078.46</v>
      </c>
      <c r="D40" s="596">
        <v>100</v>
      </c>
      <c r="E40" s="595">
        <f>土地案例!D26</f>
        <v>41578.15</v>
      </c>
      <c r="F40" s="596">
        <f>LOOKUP(E40,119:119,120:120)-LOOKUP(C40,119:119,120:120)+100</f>
        <v>100</v>
      </c>
      <c r="G40" s="595">
        <f>土地案例!$D$9</f>
        <v>58302.45</v>
      </c>
      <c r="H40" s="596">
        <f>LOOKUP(G40,119:119,120:120)-LOOKUP(C40,119:119,120:120)+100</f>
        <v>100</v>
      </c>
      <c r="I40" s="597">
        <f>土地案例!D22</f>
        <v>44000.88</v>
      </c>
      <c r="J40" s="596">
        <f>LOOKUP(I40,119:119,120:120)-LOOKUP(C40,119:119,120:120)+100</f>
        <v>100</v>
      </c>
      <c r="K40" s="580"/>
      <c r="L40" s="2124"/>
      <c r="M40" s="2114"/>
      <c r="N40" s="2114"/>
      <c r="O40" s="2123"/>
      <c r="P40" s="3403"/>
      <c r="Q40" s="1555" t="str">
        <f>B40</f>
        <v>宗地面积</v>
      </c>
      <c r="R40" s="1556" t="s">
        <v>8</v>
      </c>
      <c r="S40" s="1557">
        <f t="shared" si="10"/>
        <v>100</v>
      </c>
      <c r="T40" s="1556" t="s">
        <v>8</v>
      </c>
      <c r="U40" s="1557">
        <f t="shared" si="11"/>
        <v>100</v>
      </c>
      <c r="V40" s="1556" t="s">
        <v>8</v>
      </c>
      <c r="W40" s="1557">
        <f t="shared" si="12"/>
        <v>100</v>
      </c>
      <c r="X40" s="1550"/>
      <c r="Y40" s="3403"/>
      <c r="Z40" s="1558" t="str">
        <f t="shared" si="13"/>
        <v>宗地面积</v>
      </c>
      <c r="AA40" s="1559">
        <f t="shared" si="3"/>
        <v>1</v>
      </c>
      <c r="AB40" s="1559">
        <f t="shared" si="4"/>
        <v>1</v>
      </c>
      <c r="AC40" s="1559">
        <f t="shared" si="5"/>
        <v>1</v>
      </c>
    </row>
    <row r="41" spans="1:29" ht="20.25">
      <c r="A41" s="593"/>
      <c r="B41" s="526" t="s">
        <v>553</v>
      </c>
      <c r="C41" s="598" t="s">
        <v>3066</v>
      </c>
      <c r="D41" s="539">
        <v>100</v>
      </c>
      <c r="E41" s="598" t="s">
        <v>3066</v>
      </c>
      <c r="F41" s="539">
        <f>SUMIF(121:121,E41,122:122)-SUMIF(121:121,C41,122:122)+100</f>
        <v>100</v>
      </c>
      <c r="G41" s="598" t="s">
        <v>3066</v>
      </c>
      <c r="H41" s="539">
        <f>SUMIF(121:121,G41,122:122)-SUMIF(121:121,C41,122:122)+100</f>
        <v>100</v>
      </c>
      <c r="I41" s="598" t="s">
        <v>3066</v>
      </c>
      <c r="J41" s="539">
        <f>SUMIF(121:121,I41,122:122)-SUMIF(121:121,C41,122:122)+100</f>
        <v>100</v>
      </c>
      <c r="K41" s="583">
        <v>2</v>
      </c>
      <c r="L41" s="2124"/>
      <c r="M41" s="2114"/>
      <c r="N41" s="2114"/>
      <c r="O41" s="2123"/>
      <c r="P41" s="3403"/>
      <c r="Q41" s="1555" t="str">
        <f t="shared" ref="Q41:Q47" si="14">B41</f>
        <v>宗地形状</v>
      </c>
      <c r="R41" s="1556" t="s">
        <v>8</v>
      </c>
      <c r="S41" s="1557">
        <f t="shared" si="10"/>
        <v>100</v>
      </c>
      <c r="T41" s="1556" t="s">
        <v>8</v>
      </c>
      <c r="U41" s="1557">
        <f t="shared" si="11"/>
        <v>100</v>
      </c>
      <c r="V41" s="1556" t="s">
        <v>8</v>
      </c>
      <c r="W41" s="1557">
        <f t="shared" si="12"/>
        <v>100</v>
      </c>
      <c r="X41" s="1550"/>
      <c r="Y41" s="3403"/>
      <c r="Z41" s="1558" t="str">
        <f t="shared" si="13"/>
        <v>宗地形状</v>
      </c>
      <c r="AA41" s="1559">
        <f t="shared" si="3"/>
        <v>1</v>
      </c>
      <c r="AB41" s="1559">
        <f t="shared" si="4"/>
        <v>1</v>
      </c>
      <c r="AC41" s="1559">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03"/>
      <c r="Q42" s="1555" t="str">
        <f t="shared" si="14"/>
        <v>临街宽度及深度</v>
      </c>
      <c r="R42" s="1556" t="s">
        <v>8</v>
      </c>
      <c r="S42" s="1557">
        <f t="shared" si="10"/>
        <v>100</v>
      </c>
      <c r="T42" s="1556" t="s">
        <v>8</v>
      </c>
      <c r="U42" s="1557">
        <f t="shared" si="11"/>
        <v>100</v>
      </c>
      <c r="V42" s="1556" t="s">
        <v>8</v>
      </c>
      <c r="W42" s="1557">
        <f t="shared" si="12"/>
        <v>100</v>
      </c>
      <c r="X42" s="1550"/>
      <c r="Y42" s="3403"/>
      <c r="Z42" s="1558" t="str">
        <f t="shared" si="13"/>
        <v>临街宽度及深度</v>
      </c>
      <c r="AA42" s="1559">
        <f t="shared" si="3"/>
        <v>1</v>
      </c>
      <c r="AB42" s="1559">
        <f t="shared" si="4"/>
        <v>1</v>
      </c>
      <c r="AC42" s="1559">
        <f t="shared" si="5"/>
        <v>1</v>
      </c>
    </row>
    <row r="43" spans="1:29" s="1213" customFormat="1" ht="20.25">
      <c r="A43" s="599"/>
      <c r="B43" s="1877" t="s">
        <v>2424</v>
      </c>
      <c r="C43" s="600" t="s">
        <v>3071</v>
      </c>
      <c r="D43" s="254">
        <v>100</v>
      </c>
      <c r="E43" s="600" t="s">
        <v>3075</v>
      </c>
      <c r="F43" s="539">
        <f>SUMIF(125:125,E43,126:126)-SUMIF(125:125,C43,126:126)+100</f>
        <v>97</v>
      </c>
      <c r="G43" s="600" t="s">
        <v>3075</v>
      </c>
      <c r="H43" s="539">
        <f>SUMIF(125:125,G43,126:126)-SUMIF(125:125,C43,126:126)+100</f>
        <v>97</v>
      </c>
      <c r="I43" s="600" t="s">
        <v>3075</v>
      </c>
      <c r="J43" s="539">
        <f>SUMIF(125:125,I43,126:126)-SUMIF(125:125,C43,126:126)+100</f>
        <v>97</v>
      </c>
      <c r="K43" s="583">
        <v>1</v>
      </c>
      <c r="L43" s="2117"/>
      <c r="M43" s="2114"/>
      <c r="N43" s="2114"/>
      <c r="O43" s="2119"/>
      <c r="P43" s="3403"/>
      <c r="Q43" s="1555" t="str">
        <f t="shared" si="14"/>
        <v>宗地开发程度</v>
      </c>
      <c r="R43" s="1551" t="s">
        <v>8</v>
      </c>
      <c r="S43" s="1552">
        <f t="shared" si="10"/>
        <v>97</v>
      </c>
      <c r="T43" s="1551" t="s">
        <v>8</v>
      </c>
      <c r="U43" s="1552">
        <f t="shared" si="11"/>
        <v>97</v>
      </c>
      <c r="V43" s="1551" t="s">
        <v>8</v>
      </c>
      <c r="W43" s="1552">
        <f t="shared" si="12"/>
        <v>97</v>
      </c>
      <c r="X43" s="1553"/>
      <c r="Y43" s="3403"/>
      <c r="Z43" s="1143" t="str">
        <f t="shared" si="13"/>
        <v>宗地开发程度</v>
      </c>
      <c r="AA43" s="1554">
        <f t="shared" si="3"/>
        <v>1.0309278350515463</v>
      </c>
      <c r="AB43" s="1554">
        <f t="shared" si="4"/>
        <v>1.0309278350515463</v>
      </c>
      <c r="AC43" s="1554">
        <f t="shared" si="5"/>
        <v>1.0309278350515463</v>
      </c>
    </row>
    <row r="44" spans="1:29" ht="20.25">
      <c r="A44" s="593"/>
      <c r="B44" s="526" t="s">
        <v>555</v>
      </c>
      <c r="C44" s="598" t="s">
        <v>3025</v>
      </c>
      <c r="D44" s="539">
        <v>100</v>
      </c>
      <c r="E44" s="598" t="s">
        <v>3025</v>
      </c>
      <c r="F44" s="539">
        <f>SUMIF(127:127,E44,128:128)-SUMIF(127:127,C44,128:128)+100</f>
        <v>100</v>
      </c>
      <c r="G44" s="598" t="s">
        <v>3025</v>
      </c>
      <c r="H44" s="539">
        <f>SUMIF(127:127,G44,128:128)-SUMIF(127:127,C44,128:128)+100</f>
        <v>100</v>
      </c>
      <c r="I44" s="598" t="s">
        <v>3025</v>
      </c>
      <c r="J44" s="539">
        <f>SUMIF(127:127,I44,128:128)-SUMIF(127:127,C44,128:128)+100</f>
        <v>100</v>
      </c>
      <c r="K44" s="583">
        <v>2</v>
      </c>
      <c r="L44" s="2124"/>
      <c r="M44" s="2114"/>
      <c r="N44" s="2114"/>
      <c r="O44" s="2123"/>
      <c r="P44" s="3403" t="s">
        <v>550</v>
      </c>
      <c r="Q44" s="1555" t="str">
        <f t="shared" si="14"/>
        <v>工程地质条件</v>
      </c>
      <c r="R44" s="1556" t="s">
        <v>8</v>
      </c>
      <c r="S44" s="1557">
        <f t="shared" si="10"/>
        <v>100</v>
      </c>
      <c r="T44" s="1556" t="s">
        <v>8</v>
      </c>
      <c r="U44" s="1557">
        <f t="shared" si="11"/>
        <v>100</v>
      </c>
      <c r="V44" s="1556" t="s">
        <v>8</v>
      </c>
      <c r="W44" s="1557">
        <f t="shared" si="12"/>
        <v>100</v>
      </c>
      <c r="X44" s="1550"/>
      <c r="Y44" s="3403" t="s">
        <v>550</v>
      </c>
      <c r="Z44" s="1558" t="str">
        <f t="shared" si="13"/>
        <v>工程地质条件</v>
      </c>
      <c r="AA44" s="1559">
        <f t="shared" si="3"/>
        <v>1</v>
      </c>
      <c r="AB44" s="1559">
        <f t="shared" si="4"/>
        <v>1</v>
      </c>
      <c r="AC44" s="1559">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03"/>
      <c r="Q45" s="1555">
        <f t="shared" si="14"/>
        <v>111</v>
      </c>
      <c r="R45" s="1556" t="s">
        <v>8</v>
      </c>
      <c r="S45" s="1557">
        <f t="shared" si="10"/>
        <v>100</v>
      </c>
      <c r="T45" s="1556" t="s">
        <v>8</v>
      </c>
      <c r="U45" s="1557">
        <f t="shared" si="11"/>
        <v>100</v>
      </c>
      <c r="V45" s="1556" t="s">
        <v>8</v>
      </c>
      <c r="W45" s="1557">
        <f t="shared" si="12"/>
        <v>100</v>
      </c>
      <c r="X45" s="1550"/>
      <c r="Y45" s="3403"/>
      <c r="Z45" s="1558">
        <f t="shared" si="13"/>
        <v>111</v>
      </c>
      <c r="AA45" s="1559">
        <f t="shared" si="3"/>
        <v>1</v>
      </c>
      <c r="AB45" s="1559">
        <f t="shared" si="4"/>
        <v>1</v>
      </c>
      <c r="AC45" s="1559">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03"/>
      <c r="Q46" s="1555">
        <f t="shared" si="14"/>
        <v>111</v>
      </c>
      <c r="R46" s="1556" t="s">
        <v>8</v>
      </c>
      <c r="S46" s="1557">
        <f t="shared" si="10"/>
        <v>100</v>
      </c>
      <c r="T46" s="1556" t="s">
        <v>8</v>
      </c>
      <c r="U46" s="1557">
        <f t="shared" si="11"/>
        <v>100</v>
      </c>
      <c r="V46" s="1556" t="s">
        <v>8</v>
      </c>
      <c r="W46" s="1557">
        <f t="shared" si="12"/>
        <v>100</v>
      </c>
      <c r="X46" s="1550"/>
      <c r="Y46" s="3403"/>
      <c r="Z46" s="1558">
        <f t="shared" si="13"/>
        <v>111</v>
      </c>
      <c r="AA46" s="1559">
        <f t="shared" si="3"/>
        <v>1</v>
      </c>
      <c r="AB46" s="1559">
        <f t="shared" si="4"/>
        <v>1</v>
      </c>
      <c r="AC46" s="1559">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03"/>
      <c r="Q47" s="1555">
        <f t="shared" si="14"/>
        <v>111</v>
      </c>
      <c r="R47" s="1560" t="s">
        <v>8</v>
      </c>
      <c r="S47" s="1561">
        <f t="shared" si="10"/>
        <v>100</v>
      </c>
      <c r="T47" s="1560" t="s">
        <v>8</v>
      </c>
      <c r="U47" s="1561">
        <f t="shared" si="11"/>
        <v>100</v>
      </c>
      <c r="V47" s="1560" t="s">
        <v>8</v>
      </c>
      <c r="W47" s="1561">
        <f t="shared" si="12"/>
        <v>100</v>
      </c>
      <c r="X47" s="1562"/>
      <c r="Y47" s="3403"/>
      <c r="Z47" s="1563">
        <f t="shared" si="13"/>
        <v>111</v>
      </c>
      <c r="AA47" s="1559">
        <f t="shared" si="3"/>
        <v>1</v>
      </c>
      <c r="AB47" s="1559">
        <f t="shared" si="4"/>
        <v>1</v>
      </c>
      <c r="AC47" s="1559">
        <f t="shared" si="5"/>
        <v>1</v>
      </c>
    </row>
    <row r="48" spans="1:29" ht="20.25">
      <c r="A48" s="606" t="s">
        <v>556</v>
      </c>
      <c r="B48" s="607" t="s">
        <v>3188</v>
      </c>
      <c r="C48" s="608" t="s">
        <v>1</v>
      </c>
      <c r="D48" s="609"/>
      <c r="E48" s="610">
        <v>1561</v>
      </c>
      <c r="F48" s="611"/>
      <c r="G48" s="612">
        <v>1609</v>
      </c>
      <c r="H48" s="613"/>
      <c r="I48" s="610">
        <v>1540</v>
      </c>
      <c r="J48" s="613"/>
      <c r="K48" s="1333"/>
      <c r="L48" s="2126"/>
      <c r="M48" s="2114"/>
      <c r="N48" s="2114"/>
      <c r="O48" s="2127"/>
      <c r="P48" s="3398" t="str">
        <f>A48</f>
        <v>成交单价</v>
      </c>
      <c r="Q48" s="3398"/>
      <c r="R48" s="3412">
        <f>E48</f>
        <v>1561</v>
      </c>
      <c r="S48" s="3412"/>
      <c r="T48" s="3412">
        <f>G48</f>
        <v>1609</v>
      </c>
      <c r="U48" s="3412"/>
      <c r="V48" s="3412">
        <f>I48</f>
        <v>1540</v>
      </c>
      <c r="W48" s="3412"/>
      <c r="X48" s="1542"/>
      <c r="Y48" s="1564"/>
      <c r="Z48" s="1542"/>
      <c r="AA48" s="1542"/>
      <c r="AB48" s="1542"/>
      <c r="AC48" s="1542"/>
    </row>
    <row r="49" spans="1:29" ht="21" thickBot="1">
      <c r="A49" s="614" t="s">
        <v>2693</v>
      </c>
      <c r="B49" s="615"/>
      <c r="C49" s="616">
        <f>R50</f>
        <v>1622</v>
      </c>
      <c r="D49" s="617"/>
      <c r="E49" s="616">
        <f>R49</f>
        <v>1627</v>
      </c>
      <c r="F49" s="618"/>
      <c r="G49" s="619">
        <f>T49</f>
        <v>1727</v>
      </c>
      <c r="H49" s="617"/>
      <c r="I49" s="616">
        <f>V49</f>
        <v>1513</v>
      </c>
      <c r="J49" s="617"/>
      <c r="K49" s="1334"/>
      <c r="L49" s="2126"/>
      <c r="M49" s="2114"/>
      <c r="N49" s="2114"/>
      <c r="O49" s="2127"/>
      <c r="P49" s="3398" t="str">
        <f>A49</f>
        <v>比较价格（元/平方米）</v>
      </c>
      <c r="Q49" s="3398"/>
      <c r="R49" s="3422">
        <f>ROUND(PRODUCT(R48,AA9:AA47),0)</f>
        <v>1627</v>
      </c>
      <c r="S49" s="3422"/>
      <c r="T49" s="3422">
        <f>ROUND(PRODUCT(T48,AB9:AB47),0)</f>
        <v>1727</v>
      </c>
      <c r="U49" s="3422"/>
      <c r="V49" s="3422">
        <f>ROUND(PRODUCT(V48,AC9:AC47),0)</f>
        <v>1513</v>
      </c>
      <c r="W49" s="3422"/>
      <c r="X49" s="1542"/>
      <c r="Y49" s="1542"/>
      <c r="Z49" s="1542"/>
      <c r="AA49" s="1542"/>
      <c r="AB49" s="1542"/>
      <c r="AC49" s="1542"/>
    </row>
    <row r="50" spans="1:29" ht="21" thickBot="1">
      <c r="A50" s="620" t="s">
        <v>2935</v>
      </c>
      <c r="B50" s="621"/>
      <c r="C50" s="622">
        <f>R50</f>
        <v>1622</v>
      </c>
      <c r="D50" s="622"/>
      <c r="E50" s="622"/>
      <c r="F50" s="622"/>
      <c r="G50" s="622"/>
      <c r="H50" s="622"/>
      <c r="I50" s="622"/>
      <c r="J50" s="622"/>
      <c r="K50" s="1335"/>
      <c r="L50" s="2126"/>
      <c r="M50" s="2114"/>
      <c r="N50" s="2114"/>
      <c r="O50" s="2127"/>
      <c r="P50" s="3419" t="str">
        <f>A50</f>
        <v>估价对象XX用房的比较价格（楼面单价，元/平方米）</v>
      </c>
      <c r="Q50" s="3420"/>
      <c r="R50" s="3421">
        <f>ROUND(AVERAGE(R49:V49),0)</f>
        <v>1622</v>
      </c>
      <c r="S50" s="3421"/>
      <c r="T50" s="3421"/>
      <c r="U50" s="3421"/>
      <c r="V50" s="3421"/>
      <c r="W50" s="3421"/>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4.2280589365791155E-2</v>
      </c>
      <c r="F53" s="626" t="str">
        <f>IF(OR(E53&gt;=0.3,E53&lt;=-0.3),"超过30%","")</f>
        <v/>
      </c>
      <c r="G53" s="625">
        <f>IF(G48&lt;G49,G49/G48-1,G48/G49-1)</f>
        <v>7.333747669359858E-2</v>
      </c>
      <c r="H53" s="626" t="str">
        <f>IF(OR(G53&gt;=0.3,G53&lt;=-0.3),"超过30%","")</f>
        <v/>
      </c>
      <c r="I53" s="625">
        <f>IF(I48&lt;I49,I49/I48-1,I48/I49-1)</f>
        <v>1.7845340383344288E-2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6.1462814996926962E-2</v>
      </c>
      <c r="F54" s="626" t="str">
        <f>IF(OR(E54&gt;=0.2,E54&lt;=-0.2),"超过20%","")</f>
        <v/>
      </c>
      <c r="G54" s="625">
        <f>IF(G49&lt;I49,I49/G49-1,G49/I49-1)</f>
        <v>0.1414408460013219</v>
      </c>
      <c r="H54" s="626" t="str">
        <f>IF(OR(G54&gt;=0.2,G54&lt;=-0.2),"超过20%","")</f>
        <v/>
      </c>
      <c r="I54" s="625">
        <f>IF(I49&lt;E49,E49/I49-1,I49/E49-1)</f>
        <v>7.5346992729676154E-2</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3" t="s">
        <v>559</v>
      </c>
      <c r="D55" s="627"/>
      <c r="E55" s="625">
        <f>IF(E48&lt;G48,G48/E48-1,E48/G48-1)</f>
        <v>3.0749519538757264E-2</v>
      </c>
      <c r="F55" s="626" t="str">
        <f>IF(OR(E55&gt;=0.3,E55&lt;=-0.3),"超过30%","")</f>
        <v/>
      </c>
      <c r="G55" s="625">
        <f>IF(G48&lt;I48,I48/G48-1,G48/I48-1)</f>
        <v>4.4805194805194848E-2</v>
      </c>
      <c r="H55" s="626" t="str">
        <f>IF(OR(G55&gt;=0.3,G55&lt;=-0.3),"超过30%","")</f>
        <v/>
      </c>
      <c r="I55" s="625">
        <f>IF(I48&lt;E48,E48/I48-1,I48/E48-1)</f>
        <v>1.3636363636363669E-2</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1724</v>
      </c>
      <c r="D57" s="2209" t="s">
        <v>2293</v>
      </c>
      <c r="E57" s="630" t="s">
        <v>562</v>
      </c>
      <c r="F57" s="631" t="s">
        <v>563</v>
      </c>
      <c r="G57" s="3382" t="s">
        <v>2281</v>
      </c>
      <c r="H57" s="3383"/>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2" t="s">
        <v>564</v>
      </c>
      <c r="B58" s="633">
        <f>C50</f>
        <v>1622</v>
      </c>
      <c r="C58" s="634">
        <v>1</v>
      </c>
      <c r="D58" s="2210">
        <v>1</v>
      </c>
      <c r="E58" s="634">
        <f>'数据-汇总表'!E8+'数据-汇总表'!E9</f>
        <v>126219.51999999999</v>
      </c>
      <c r="F58" s="635">
        <f t="shared" ref="F58:F67" si="15">ROUND(B58*E58/10000,0)</f>
        <v>20473</v>
      </c>
      <c r="G58" s="3384"/>
      <c r="H58" s="3385"/>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6" t="s">
        <v>565</v>
      </c>
      <c r="B59" s="637">
        <f>ROUND($C$50*C59*D59,0)</f>
        <v>0</v>
      </c>
      <c r="C59" s="377">
        <f t="shared" ref="C59:C67" si="16">IF($C$57="北京市系数",I59,J59)</f>
        <v>0</v>
      </c>
      <c r="D59" s="2211">
        <v>0.25</v>
      </c>
      <c r="E59" s="638">
        <v>0</v>
      </c>
      <c r="F59" s="635">
        <f t="shared" si="15"/>
        <v>0</v>
      </c>
      <c r="G59" s="3386" t="s">
        <v>2282</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6" t="s">
        <v>566</v>
      </c>
      <c r="B60" s="637">
        <f t="shared" ref="B60:B67" si="17">ROUND($C$50*C60*D60,0)</f>
        <v>0</v>
      </c>
      <c r="C60" s="377">
        <f t="shared" si="16"/>
        <v>0</v>
      </c>
      <c r="D60" s="2211">
        <v>0.25</v>
      </c>
      <c r="E60" s="638">
        <v>0</v>
      </c>
      <c r="F60" s="635">
        <f t="shared" si="15"/>
        <v>0</v>
      </c>
      <c r="G60" s="3386"/>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6" t="s">
        <v>567</v>
      </c>
      <c r="B61" s="637">
        <f t="shared" si="17"/>
        <v>0</v>
      </c>
      <c r="C61" s="377">
        <f t="shared" si="16"/>
        <v>0</v>
      </c>
      <c r="D61" s="2211">
        <v>0.25</v>
      </c>
      <c r="E61" s="638">
        <v>0</v>
      </c>
      <c r="F61" s="635">
        <f t="shared" si="15"/>
        <v>0</v>
      </c>
      <c r="G61" s="3386"/>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6" t="s">
        <v>568</v>
      </c>
      <c r="B62" s="637">
        <f t="shared" si="17"/>
        <v>0</v>
      </c>
      <c r="C62" s="377">
        <f t="shared" si="16"/>
        <v>0</v>
      </c>
      <c r="D62" s="2211">
        <v>0.25</v>
      </c>
      <c r="E62" s="638">
        <v>0</v>
      </c>
      <c r="F62" s="635">
        <f t="shared" si="15"/>
        <v>0</v>
      </c>
      <c r="G62" s="3386"/>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2328</v>
      </c>
      <c r="B63" s="637">
        <f t="shared" si="17"/>
        <v>0</v>
      </c>
      <c r="C63" s="377">
        <f t="shared" si="16"/>
        <v>0</v>
      </c>
      <c r="D63" s="2211">
        <v>0.25</v>
      </c>
      <c r="E63" s="640">
        <f>'数据-汇总表'!E11</f>
        <v>0</v>
      </c>
      <c r="F63" s="635">
        <f t="shared" si="15"/>
        <v>0</v>
      </c>
      <c r="G63" s="1927" t="s">
        <v>2283</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6" t="s">
        <v>569</v>
      </c>
      <c r="B64" s="637">
        <f t="shared" si="17"/>
        <v>0</v>
      </c>
      <c r="C64" s="377">
        <f t="shared" si="16"/>
        <v>0</v>
      </c>
      <c r="D64" s="2211">
        <v>0.25</v>
      </c>
      <c r="E64" s="640">
        <f>'数据-汇总表'!E12</f>
        <v>0</v>
      </c>
      <c r="F64" s="635">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6" t="s">
        <v>570</v>
      </c>
      <c r="B65" s="637">
        <f t="shared" si="17"/>
        <v>0</v>
      </c>
      <c r="C65" s="377">
        <f t="shared" si="16"/>
        <v>0</v>
      </c>
      <c r="D65" s="2211">
        <v>0.25</v>
      </c>
      <c r="E65" s="640">
        <f>'数据-汇总表'!E13</f>
        <v>0</v>
      </c>
      <c r="F65" s="635">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6" t="s">
        <v>571</v>
      </c>
      <c r="B66" s="637">
        <f t="shared" si="17"/>
        <v>0</v>
      </c>
      <c r="C66" s="377">
        <f t="shared" si="16"/>
        <v>0</v>
      </c>
      <c r="D66" s="2211">
        <v>0.25</v>
      </c>
      <c r="E66" s="640">
        <f>'数据-汇总表'!E14</f>
        <v>0</v>
      </c>
      <c r="F66" s="635">
        <f t="shared" si="15"/>
        <v>0</v>
      </c>
      <c r="G66" s="1927" t="s">
        <v>2282</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6" t="s">
        <v>572</v>
      </c>
      <c r="B67" s="637">
        <f t="shared" si="17"/>
        <v>0</v>
      </c>
      <c r="C67" s="377">
        <f t="shared" si="16"/>
        <v>0</v>
      </c>
      <c r="D67" s="2211">
        <v>0.25</v>
      </c>
      <c r="E67" s="640">
        <f>'数据-汇总表'!E15</f>
        <v>0</v>
      </c>
      <c r="F67" s="635">
        <f t="shared" si="15"/>
        <v>0</v>
      </c>
      <c r="G67" s="1929" t="s">
        <v>2283</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1" t="s">
        <v>573</v>
      </c>
      <c r="B68" s="642" t="s">
        <v>17</v>
      </c>
      <c r="C68" s="642" t="s">
        <v>18</v>
      </c>
      <c r="D68" s="642" t="s">
        <v>2294</v>
      </c>
      <c r="E68" s="642">
        <f>IF(B48="楼面地价",SUM(E58:E67),'数据-汇总表'!D3)</f>
        <v>126219.51999999999</v>
      </c>
      <c r="F68" s="643">
        <f>IF(B48="楼面地价",SUM(F58:F67),ROUND(C50*E68/10000,0))</f>
        <v>20473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2019-12-1</v>
      </c>
      <c r="D70" s="2751">
        <f>EDATE(C70,-3)</f>
        <v>43709</v>
      </c>
      <c r="E70" s="2751">
        <f t="shared" ref="E70:N70" si="18">EDATE(D70,-3)</f>
        <v>43617</v>
      </c>
      <c r="F70" s="2751">
        <f t="shared" si="18"/>
        <v>43525</v>
      </c>
      <c r="G70" s="2751">
        <f t="shared" si="18"/>
        <v>43435</v>
      </c>
      <c r="H70" s="2751">
        <f t="shared" si="18"/>
        <v>43344</v>
      </c>
      <c r="I70" s="2751">
        <f t="shared" si="18"/>
        <v>43252</v>
      </c>
      <c r="J70" s="2751">
        <f t="shared" si="18"/>
        <v>43160</v>
      </c>
      <c r="K70" s="2751">
        <f t="shared" si="18"/>
        <v>43070</v>
      </c>
      <c r="L70" s="2751">
        <f t="shared" si="18"/>
        <v>42979</v>
      </c>
      <c r="M70" s="2751">
        <f t="shared" si="18"/>
        <v>42887</v>
      </c>
      <c r="N70" s="2751">
        <f t="shared" si="18"/>
        <v>42795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2532</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2647</v>
      </c>
      <c r="B73" s="478" t="str">
        <f>"北京市平均增长率"&amp;TEXT(SUMIF(基准地价!N21:N25,A73,基准地价!P21:P25),"0.00%")</f>
        <v>北京市平均增长率1.98%</v>
      </c>
      <c r="C73" s="892">
        <v>100</v>
      </c>
      <c r="D73" s="3187">
        <f>C73-$C$74</f>
        <v>99</v>
      </c>
      <c r="E73" s="3187">
        <f t="shared" ref="E73:L73" si="20">D73-$C$74</f>
        <v>98</v>
      </c>
      <c r="F73" s="3187">
        <f t="shared" si="20"/>
        <v>97</v>
      </c>
      <c r="G73" s="3187">
        <f t="shared" si="20"/>
        <v>96</v>
      </c>
      <c r="H73" s="3187">
        <f t="shared" si="20"/>
        <v>95</v>
      </c>
      <c r="I73" s="3187">
        <f t="shared" si="20"/>
        <v>94</v>
      </c>
      <c r="J73" s="3187">
        <f>I73-$C$74</f>
        <v>93</v>
      </c>
      <c r="K73" s="3187">
        <f t="shared" si="20"/>
        <v>92</v>
      </c>
      <c r="L73" s="3187">
        <f t="shared" si="20"/>
        <v>91</v>
      </c>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2646</v>
      </c>
      <c r="B74" s="2757"/>
      <c r="C74" s="2743">
        <v>1</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182" t="s">
        <v>3063</v>
      </c>
      <c r="D77" s="3182" t="s">
        <v>3061</v>
      </c>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v>100</v>
      </c>
      <c r="D78" s="670">
        <v>98</v>
      </c>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1（含）-1.5</v>
      </c>
      <c r="D81" s="681" t="str">
        <f t="shared" ref="D81:L81" si="21">D82&amp;"（含）"&amp;"-"&amp;E82</f>
        <v>1.5（含）-2</v>
      </c>
      <c r="E81" s="681" t="str">
        <f t="shared" si="21"/>
        <v>2（含）-2.5</v>
      </c>
      <c r="F81" s="681" t="str">
        <f t="shared" si="21"/>
        <v>2.5（含）-3</v>
      </c>
      <c r="G81" s="681" t="str">
        <f t="shared" si="21"/>
        <v>3（含）-</v>
      </c>
      <c r="H81" s="681" t="str">
        <f t="shared" si="21"/>
        <v>（含）-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1</v>
      </c>
      <c r="D82" s="540">
        <v>1.5</v>
      </c>
      <c r="E82" s="540">
        <v>2</v>
      </c>
      <c r="F82" s="540">
        <v>2.5</v>
      </c>
      <c r="G82" s="540">
        <v>3</v>
      </c>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6"/>
      <c r="B84" s="672" t="str">
        <f>B14</f>
        <v>配建</v>
      </c>
      <c r="C84" s="687"/>
      <c r="D84" s="1369"/>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97</v>
      </c>
      <c r="E91" s="678">
        <f>D91-$K17</f>
        <v>94</v>
      </c>
      <c r="F91" s="678">
        <f>E91-$K17</f>
        <v>91</v>
      </c>
      <c r="G91" s="678">
        <f>F91-$K17</f>
        <v>88</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97</v>
      </c>
      <c r="E93" s="678">
        <f>D93-$K19</f>
        <v>94</v>
      </c>
      <c r="F93" s="678">
        <f>E93-$K19</f>
        <v>91</v>
      </c>
      <c r="G93" s="678">
        <f>F93-$K19</f>
        <v>88</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6"/>
      <c r="B102" s="1878" t="s">
        <v>2548</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6"/>
      <c r="B104" s="2558" t="s">
        <v>2550</v>
      </c>
      <c r="C104" s="2559" t="s">
        <v>2551</v>
      </c>
      <c r="D104" s="2559" t="s">
        <v>2552</v>
      </c>
      <c r="E104" s="2559" t="s">
        <v>2553</v>
      </c>
      <c r="F104" s="2559" t="s">
        <v>2554</v>
      </c>
      <c r="G104" s="2559" t="s">
        <v>2555</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41" t="str">
        <f t="shared" si="26"/>
        <v>(含)-</v>
      </c>
      <c r="K118" s="3041" t="str">
        <f t="shared" si="26"/>
        <v>(含)-</v>
      </c>
      <c r="L118" s="3042" t="str">
        <f t="shared" si="26"/>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v>20000</v>
      </c>
      <c r="E119" s="729">
        <v>40000</v>
      </c>
      <c r="F119" s="729">
        <v>60000</v>
      </c>
      <c r="G119" s="729">
        <v>80000</v>
      </c>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v>102</v>
      </c>
      <c r="E120" s="725">
        <v>104</v>
      </c>
      <c r="F120" s="725">
        <v>106</v>
      </c>
      <c r="G120" s="725">
        <v>108</v>
      </c>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181" t="s">
        <v>3065</v>
      </c>
      <c r="D121" s="3181" t="s">
        <v>3067</v>
      </c>
      <c r="E121" s="3181" t="s">
        <v>3068</v>
      </c>
      <c r="F121" s="3181" t="s">
        <v>3069</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7"/>
      <c r="B125" s="1878" t="s">
        <v>2425</v>
      </c>
      <c r="C125" s="1369" t="s">
        <v>3070</v>
      </c>
      <c r="D125" s="1369" t="s">
        <v>3072</v>
      </c>
      <c r="E125" s="1369" t="s">
        <v>3073</v>
      </c>
      <c r="F125" s="1369" t="s">
        <v>3074</v>
      </c>
      <c r="G125" s="1369" t="s">
        <v>3076</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180" t="s">
        <v>3077</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61" workbookViewId="0">
      <selection activeCell="F75" sqref="F75"/>
    </sheetView>
  </sheetViews>
  <sheetFormatPr defaultRowHeight="13.5"/>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17" t="str">
        <f>项目基本情况!B1</f>
        <v>出让国有建设用地使用权市场价格预评估</v>
      </c>
      <c r="C37" s="3217"/>
      <c r="D37" s="3217"/>
      <c r="E37" s="3217"/>
      <c r="F37" s="3217"/>
      <c r="G37" s="3217"/>
      <c r="H37" s="3217"/>
      <c r="I37" s="3217"/>
    </row>
    <row r="38" spans="1:9">
      <c r="A38" s="1638"/>
      <c r="B38" s="1638"/>
    </row>
    <row r="39" spans="1:9">
      <c r="A39" s="1636" t="s">
        <v>1901</v>
      </c>
      <c r="B39" s="1636" t="s">
        <v>2046</v>
      </c>
    </row>
    <row r="40" spans="1:9">
      <c r="A40" s="1636"/>
      <c r="B40" s="1636">
        <f>项目基本情况!B5</f>
        <v>0</v>
      </c>
    </row>
    <row r="41" spans="1:9">
      <c r="A41" s="1636"/>
      <c r="B41" s="1636"/>
    </row>
    <row r="42" spans="1:9">
      <c r="A42" s="1636" t="s">
        <v>1901</v>
      </c>
      <c r="B42" s="1636" t="s">
        <v>2047</v>
      </c>
    </row>
    <row r="43" spans="1:9">
      <c r="A43" s="1636"/>
      <c r="B43" s="1636" t="s">
        <v>1903</v>
      </c>
    </row>
    <row r="44" spans="1:9">
      <c r="A44" s="1636"/>
      <c r="B44" s="1636"/>
    </row>
    <row r="45" spans="1:9">
      <c r="A45" s="1636" t="s">
        <v>1901</v>
      </c>
      <c r="B45" s="1636" t="s">
        <v>2045</v>
      </c>
    </row>
    <row r="46" spans="1:9" s="1636" customFormat="1" ht="12.75">
      <c r="B46" s="1636" t="str">
        <f>项目基本情况!K4</f>
        <v>土地估价师、土地估价师</v>
      </c>
    </row>
    <row r="47" spans="1:9">
      <c r="A47" s="1636"/>
      <c r="B47" s="1636"/>
    </row>
    <row r="48" spans="1:9">
      <c r="A48" s="1636" t="s">
        <v>1901</v>
      </c>
      <c r="B48" s="1636" t="s">
        <v>2048</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51"/>
  <sheetViews>
    <sheetView topLeftCell="D41" workbookViewId="0">
      <selection activeCell="L9" sqref="L9"/>
    </sheetView>
  </sheetViews>
  <sheetFormatPr defaultRowHeight="12.75"/>
  <cols>
    <col min="1" max="1" width="52.875" style="3184" customWidth="1"/>
    <col min="2" max="2" width="6.25" style="3184" customWidth="1"/>
    <col min="3" max="5" width="13.875" style="3184" customWidth="1"/>
    <col min="6" max="6" width="9.125" style="3213" customWidth="1"/>
    <col min="7" max="7" width="7.875" style="3184" customWidth="1"/>
    <col min="8" max="8" width="9" style="3184" customWidth="1"/>
    <col min="9" max="10" width="10.625" style="3184" customWidth="1"/>
    <col min="11" max="11" width="14.375" style="3184" customWidth="1"/>
    <col min="12" max="12" width="13.75" style="3184" customWidth="1"/>
    <col min="13" max="13" width="6.25" style="3184" customWidth="1"/>
    <col min="14" max="14" width="36.375" style="3184" customWidth="1"/>
    <col min="15" max="15" width="7.875" style="3184" customWidth="1"/>
    <col min="16" max="16" width="9" style="3210"/>
    <col min="17" max="256" width="9" style="3184"/>
    <col min="257" max="257" width="52.875" style="3184" customWidth="1"/>
    <col min="258" max="258" width="6.25" style="3184" customWidth="1"/>
    <col min="259" max="261" width="13.875" style="3184" customWidth="1"/>
    <col min="262" max="262" width="9.125" style="3184" customWidth="1"/>
    <col min="263" max="263" width="7.875" style="3184" customWidth="1"/>
    <col min="264" max="264" width="9" style="3184" customWidth="1"/>
    <col min="265" max="266" width="10.625" style="3184" customWidth="1"/>
    <col min="267" max="267" width="14.375" style="3184" customWidth="1"/>
    <col min="268" max="268" width="13.75" style="3184" customWidth="1"/>
    <col min="269" max="269" width="6.25" style="3184" customWidth="1"/>
    <col min="270" max="270" width="36.375" style="3184" customWidth="1"/>
    <col min="271" max="271" width="7.875" style="3184" customWidth="1"/>
    <col min="272" max="512" width="9" style="3184"/>
    <col min="513" max="513" width="52.875" style="3184" customWidth="1"/>
    <col min="514" max="514" width="6.25" style="3184" customWidth="1"/>
    <col min="515" max="517" width="13.875" style="3184" customWidth="1"/>
    <col min="518" max="518" width="9.125" style="3184" customWidth="1"/>
    <col min="519" max="519" width="7.875" style="3184" customWidth="1"/>
    <col min="520" max="520" width="9" style="3184" customWidth="1"/>
    <col min="521" max="522" width="10.625" style="3184" customWidth="1"/>
    <col min="523" max="523" width="14.375" style="3184" customWidth="1"/>
    <col min="524" max="524" width="13.75" style="3184" customWidth="1"/>
    <col min="525" max="525" width="6.25" style="3184" customWidth="1"/>
    <col min="526" max="526" width="36.375" style="3184" customWidth="1"/>
    <col min="527" max="527" width="7.875" style="3184" customWidth="1"/>
    <col min="528" max="768" width="9" style="3184"/>
    <col min="769" max="769" width="52.875" style="3184" customWidth="1"/>
    <col min="770" max="770" width="6.25" style="3184" customWidth="1"/>
    <col min="771" max="773" width="13.875" style="3184" customWidth="1"/>
    <col min="774" max="774" width="9.125" style="3184" customWidth="1"/>
    <col min="775" max="775" width="7.875" style="3184" customWidth="1"/>
    <col min="776" max="776" width="9" style="3184" customWidth="1"/>
    <col min="777" max="778" width="10.625" style="3184" customWidth="1"/>
    <col min="779" max="779" width="14.375" style="3184" customWidth="1"/>
    <col min="780" max="780" width="13.75" style="3184" customWidth="1"/>
    <col min="781" max="781" width="6.25" style="3184" customWidth="1"/>
    <col min="782" max="782" width="36.375" style="3184" customWidth="1"/>
    <col min="783" max="783" width="7.875" style="3184" customWidth="1"/>
    <col min="784" max="1024" width="9" style="3184"/>
    <col min="1025" max="1025" width="52.875" style="3184" customWidth="1"/>
    <col min="1026" max="1026" width="6.25" style="3184" customWidth="1"/>
    <col min="1027" max="1029" width="13.875" style="3184" customWidth="1"/>
    <col min="1030" max="1030" width="9.125" style="3184" customWidth="1"/>
    <col min="1031" max="1031" width="7.875" style="3184" customWidth="1"/>
    <col min="1032" max="1032" width="9" style="3184" customWidth="1"/>
    <col min="1033" max="1034" width="10.625" style="3184" customWidth="1"/>
    <col min="1035" max="1035" width="14.375" style="3184" customWidth="1"/>
    <col min="1036" max="1036" width="13.75" style="3184" customWidth="1"/>
    <col min="1037" max="1037" width="6.25" style="3184" customWidth="1"/>
    <col min="1038" max="1038" width="36.375" style="3184" customWidth="1"/>
    <col min="1039" max="1039" width="7.875" style="3184" customWidth="1"/>
    <col min="1040" max="1280" width="9" style="3184"/>
    <col min="1281" max="1281" width="52.875" style="3184" customWidth="1"/>
    <col min="1282" max="1282" width="6.25" style="3184" customWidth="1"/>
    <col min="1283" max="1285" width="13.875" style="3184" customWidth="1"/>
    <col min="1286" max="1286" width="9.125" style="3184" customWidth="1"/>
    <col min="1287" max="1287" width="7.875" style="3184" customWidth="1"/>
    <col min="1288" max="1288" width="9" style="3184" customWidth="1"/>
    <col min="1289" max="1290" width="10.625" style="3184" customWidth="1"/>
    <col min="1291" max="1291" width="14.375" style="3184" customWidth="1"/>
    <col min="1292" max="1292" width="13.75" style="3184" customWidth="1"/>
    <col min="1293" max="1293" width="6.25" style="3184" customWidth="1"/>
    <col min="1294" max="1294" width="36.375" style="3184" customWidth="1"/>
    <col min="1295" max="1295" width="7.875" style="3184" customWidth="1"/>
    <col min="1296" max="1536" width="9" style="3184"/>
    <col min="1537" max="1537" width="52.875" style="3184" customWidth="1"/>
    <col min="1538" max="1538" width="6.25" style="3184" customWidth="1"/>
    <col min="1539" max="1541" width="13.875" style="3184" customWidth="1"/>
    <col min="1542" max="1542" width="9.125" style="3184" customWidth="1"/>
    <col min="1543" max="1543" width="7.875" style="3184" customWidth="1"/>
    <col min="1544" max="1544" width="9" style="3184" customWidth="1"/>
    <col min="1545" max="1546" width="10.625" style="3184" customWidth="1"/>
    <col min="1547" max="1547" width="14.375" style="3184" customWidth="1"/>
    <col min="1548" max="1548" width="13.75" style="3184" customWidth="1"/>
    <col min="1549" max="1549" width="6.25" style="3184" customWidth="1"/>
    <col min="1550" max="1550" width="36.375" style="3184" customWidth="1"/>
    <col min="1551" max="1551" width="7.875" style="3184" customWidth="1"/>
    <col min="1552" max="1792" width="9" style="3184"/>
    <col min="1793" max="1793" width="52.875" style="3184" customWidth="1"/>
    <col min="1794" max="1794" width="6.25" style="3184" customWidth="1"/>
    <col min="1795" max="1797" width="13.875" style="3184" customWidth="1"/>
    <col min="1798" max="1798" width="9.125" style="3184" customWidth="1"/>
    <col min="1799" max="1799" width="7.875" style="3184" customWidth="1"/>
    <col min="1800" max="1800" width="9" style="3184" customWidth="1"/>
    <col min="1801" max="1802" width="10.625" style="3184" customWidth="1"/>
    <col min="1803" max="1803" width="14.375" style="3184" customWidth="1"/>
    <col min="1804" max="1804" width="13.75" style="3184" customWidth="1"/>
    <col min="1805" max="1805" width="6.25" style="3184" customWidth="1"/>
    <col min="1806" max="1806" width="36.375" style="3184" customWidth="1"/>
    <col min="1807" max="1807" width="7.875" style="3184" customWidth="1"/>
    <col min="1808" max="2048" width="9" style="3184"/>
    <col min="2049" max="2049" width="52.875" style="3184" customWidth="1"/>
    <col min="2050" max="2050" width="6.25" style="3184" customWidth="1"/>
    <col min="2051" max="2053" width="13.875" style="3184" customWidth="1"/>
    <col min="2054" max="2054" width="9.125" style="3184" customWidth="1"/>
    <col min="2055" max="2055" width="7.875" style="3184" customWidth="1"/>
    <col min="2056" max="2056" width="9" style="3184" customWidth="1"/>
    <col min="2057" max="2058" width="10.625" style="3184" customWidth="1"/>
    <col min="2059" max="2059" width="14.375" style="3184" customWidth="1"/>
    <col min="2060" max="2060" width="13.75" style="3184" customWidth="1"/>
    <col min="2061" max="2061" width="6.25" style="3184" customWidth="1"/>
    <col min="2062" max="2062" width="36.375" style="3184" customWidth="1"/>
    <col min="2063" max="2063" width="7.875" style="3184" customWidth="1"/>
    <col min="2064" max="2304" width="9" style="3184"/>
    <col min="2305" max="2305" width="52.875" style="3184" customWidth="1"/>
    <col min="2306" max="2306" width="6.25" style="3184" customWidth="1"/>
    <col min="2307" max="2309" width="13.875" style="3184" customWidth="1"/>
    <col min="2310" max="2310" width="9.125" style="3184" customWidth="1"/>
    <col min="2311" max="2311" width="7.875" style="3184" customWidth="1"/>
    <col min="2312" max="2312" width="9" style="3184" customWidth="1"/>
    <col min="2313" max="2314" width="10.625" style="3184" customWidth="1"/>
    <col min="2315" max="2315" width="14.375" style="3184" customWidth="1"/>
    <col min="2316" max="2316" width="13.75" style="3184" customWidth="1"/>
    <col min="2317" max="2317" width="6.25" style="3184" customWidth="1"/>
    <col min="2318" max="2318" width="36.375" style="3184" customWidth="1"/>
    <col min="2319" max="2319" width="7.875" style="3184" customWidth="1"/>
    <col min="2320" max="2560" width="9" style="3184"/>
    <col min="2561" max="2561" width="52.875" style="3184" customWidth="1"/>
    <col min="2562" max="2562" width="6.25" style="3184" customWidth="1"/>
    <col min="2563" max="2565" width="13.875" style="3184" customWidth="1"/>
    <col min="2566" max="2566" width="9.125" style="3184" customWidth="1"/>
    <col min="2567" max="2567" width="7.875" style="3184" customWidth="1"/>
    <col min="2568" max="2568" width="9" style="3184" customWidth="1"/>
    <col min="2569" max="2570" width="10.625" style="3184" customWidth="1"/>
    <col min="2571" max="2571" width="14.375" style="3184" customWidth="1"/>
    <col min="2572" max="2572" width="13.75" style="3184" customWidth="1"/>
    <col min="2573" max="2573" width="6.25" style="3184" customWidth="1"/>
    <col min="2574" max="2574" width="36.375" style="3184" customWidth="1"/>
    <col min="2575" max="2575" width="7.875" style="3184" customWidth="1"/>
    <col min="2576" max="2816" width="9" style="3184"/>
    <col min="2817" max="2817" width="52.875" style="3184" customWidth="1"/>
    <col min="2818" max="2818" width="6.25" style="3184" customWidth="1"/>
    <col min="2819" max="2821" width="13.875" style="3184" customWidth="1"/>
    <col min="2822" max="2822" width="9.125" style="3184" customWidth="1"/>
    <col min="2823" max="2823" width="7.875" style="3184" customWidth="1"/>
    <col min="2824" max="2824" width="9" style="3184" customWidth="1"/>
    <col min="2825" max="2826" width="10.625" style="3184" customWidth="1"/>
    <col min="2827" max="2827" width="14.375" style="3184" customWidth="1"/>
    <col min="2828" max="2828" width="13.75" style="3184" customWidth="1"/>
    <col min="2829" max="2829" width="6.25" style="3184" customWidth="1"/>
    <col min="2830" max="2830" width="36.375" style="3184" customWidth="1"/>
    <col min="2831" max="2831" width="7.875" style="3184" customWidth="1"/>
    <col min="2832" max="3072" width="9" style="3184"/>
    <col min="3073" max="3073" width="52.875" style="3184" customWidth="1"/>
    <col min="3074" max="3074" width="6.25" style="3184" customWidth="1"/>
    <col min="3075" max="3077" width="13.875" style="3184" customWidth="1"/>
    <col min="3078" max="3078" width="9.125" style="3184" customWidth="1"/>
    <col min="3079" max="3079" width="7.875" style="3184" customWidth="1"/>
    <col min="3080" max="3080" width="9" style="3184" customWidth="1"/>
    <col min="3081" max="3082" width="10.625" style="3184" customWidth="1"/>
    <col min="3083" max="3083" width="14.375" style="3184" customWidth="1"/>
    <col min="3084" max="3084" width="13.75" style="3184" customWidth="1"/>
    <col min="3085" max="3085" width="6.25" style="3184" customWidth="1"/>
    <col min="3086" max="3086" width="36.375" style="3184" customWidth="1"/>
    <col min="3087" max="3087" width="7.875" style="3184" customWidth="1"/>
    <col min="3088" max="3328" width="9" style="3184"/>
    <col min="3329" max="3329" width="52.875" style="3184" customWidth="1"/>
    <col min="3330" max="3330" width="6.25" style="3184" customWidth="1"/>
    <col min="3331" max="3333" width="13.875" style="3184" customWidth="1"/>
    <col min="3334" max="3334" width="9.125" style="3184" customWidth="1"/>
    <col min="3335" max="3335" width="7.875" style="3184" customWidth="1"/>
    <col min="3336" max="3336" width="9" style="3184" customWidth="1"/>
    <col min="3337" max="3338" width="10.625" style="3184" customWidth="1"/>
    <col min="3339" max="3339" width="14.375" style="3184" customWidth="1"/>
    <col min="3340" max="3340" width="13.75" style="3184" customWidth="1"/>
    <col min="3341" max="3341" width="6.25" style="3184" customWidth="1"/>
    <col min="3342" max="3342" width="36.375" style="3184" customWidth="1"/>
    <col min="3343" max="3343" width="7.875" style="3184" customWidth="1"/>
    <col min="3344" max="3584" width="9" style="3184"/>
    <col min="3585" max="3585" width="52.875" style="3184" customWidth="1"/>
    <col min="3586" max="3586" width="6.25" style="3184" customWidth="1"/>
    <col min="3587" max="3589" width="13.875" style="3184" customWidth="1"/>
    <col min="3590" max="3590" width="9.125" style="3184" customWidth="1"/>
    <col min="3591" max="3591" width="7.875" style="3184" customWidth="1"/>
    <col min="3592" max="3592" width="9" style="3184" customWidth="1"/>
    <col min="3593" max="3594" width="10.625" style="3184" customWidth="1"/>
    <col min="3595" max="3595" width="14.375" style="3184" customWidth="1"/>
    <col min="3596" max="3596" width="13.75" style="3184" customWidth="1"/>
    <col min="3597" max="3597" width="6.25" style="3184" customWidth="1"/>
    <col min="3598" max="3598" width="36.375" style="3184" customWidth="1"/>
    <col min="3599" max="3599" width="7.875" style="3184" customWidth="1"/>
    <col min="3600" max="3840" width="9" style="3184"/>
    <col min="3841" max="3841" width="52.875" style="3184" customWidth="1"/>
    <col min="3842" max="3842" width="6.25" style="3184" customWidth="1"/>
    <col min="3843" max="3845" width="13.875" style="3184" customWidth="1"/>
    <col min="3846" max="3846" width="9.125" style="3184" customWidth="1"/>
    <col min="3847" max="3847" width="7.875" style="3184" customWidth="1"/>
    <col min="3848" max="3848" width="9" style="3184" customWidth="1"/>
    <col min="3849" max="3850" width="10.625" style="3184" customWidth="1"/>
    <col min="3851" max="3851" width="14.375" style="3184" customWidth="1"/>
    <col min="3852" max="3852" width="13.75" style="3184" customWidth="1"/>
    <col min="3853" max="3853" width="6.25" style="3184" customWidth="1"/>
    <col min="3854" max="3854" width="36.375" style="3184" customWidth="1"/>
    <col min="3855" max="3855" width="7.875" style="3184" customWidth="1"/>
    <col min="3856" max="4096" width="9" style="3184"/>
    <col min="4097" max="4097" width="52.875" style="3184" customWidth="1"/>
    <col min="4098" max="4098" width="6.25" style="3184" customWidth="1"/>
    <col min="4099" max="4101" width="13.875" style="3184" customWidth="1"/>
    <col min="4102" max="4102" width="9.125" style="3184" customWidth="1"/>
    <col min="4103" max="4103" width="7.875" style="3184" customWidth="1"/>
    <col min="4104" max="4104" width="9" style="3184" customWidth="1"/>
    <col min="4105" max="4106" width="10.625" style="3184" customWidth="1"/>
    <col min="4107" max="4107" width="14.375" style="3184" customWidth="1"/>
    <col min="4108" max="4108" width="13.75" style="3184" customWidth="1"/>
    <col min="4109" max="4109" width="6.25" style="3184" customWidth="1"/>
    <col min="4110" max="4110" width="36.375" style="3184" customWidth="1"/>
    <col min="4111" max="4111" width="7.875" style="3184" customWidth="1"/>
    <col min="4112" max="4352" width="9" style="3184"/>
    <col min="4353" max="4353" width="52.875" style="3184" customWidth="1"/>
    <col min="4354" max="4354" width="6.25" style="3184" customWidth="1"/>
    <col min="4355" max="4357" width="13.875" style="3184" customWidth="1"/>
    <col min="4358" max="4358" width="9.125" style="3184" customWidth="1"/>
    <col min="4359" max="4359" width="7.875" style="3184" customWidth="1"/>
    <col min="4360" max="4360" width="9" style="3184" customWidth="1"/>
    <col min="4361" max="4362" width="10.625" style="3184" customWidth="1"/>
    <col min="4363" max="4363" width="14.375" style="3184" customWidth="1"/>
    <col min="4364" max="4364" width="13.75" style="3184" customWidth="1"/>
    <col min="4365" max="4365" width="6.25" style="3184" customWidth="1"/>
    <col min="4366" max="4366" width="36.375" style="3184" customWidth="1"/>
    <col min="4367" max="4367" width="7.875" style="3184" customWidth="1"/>
    <col min="4368" max="4608" width="9" style="3184"/>
    <col min="4609" max="4609" width="52.875" style="3184" customWidth="1"/>
    <col min="4610" max="4610" width="6.25" style="3184" customWidth="1"/>
    <col min="4611" max="4613" width="13.875" style="3184" customWidth="1"/>
    <col min="4614" max="4614" width="9.125" style="3184" customWidth="1"/>
    <col min="4615" max="4615" width="7.875" style="3184" customWidth="1"/>
    <col min="4616" max="4616" width="9" style="3184" customWidth="1"/>
    <col min="4617" max="4618" width="10.625" style="3184" customWidth="1"/>
    <col min="4619" max="4619" width="14.375" style="3184" customWidth="1"/>
    <col min="4620" max="4620" width="13.75" style="3184" customWidth="1"/>
    <col min="4621" max="4621" width="6.25" style="3184" customWidth="1"/>
    <col min="4622" max="4622" width="36.375" style="3184" customWidth="1"/>
    <col min="4623" max="4623" width="7.875" style="3184" customWidth="1"/>
    <col min="4624" max="4864" width="9" style="3184"/>
    <col min="4865" max="4865" width="52.875" style="3184" customWidth="1"/>
    <col min="4866" max="4866" width="6.25" style="3184" customWidth="1"/>
    <col min="4867" max="4869" width="13.875" style="3184" customWidth="1"/>
    <col min="4870" max="4870" width="9.125" style="3184" customWidth="1"/>
    <col min="4871" max="4871" width="7.875" style="3184" customWidth="1"/>
    <col min="4872" max="4872" width="9" style="3184" customWidth="1"/>
    <col min="4873" max="4874" width="10.625" style="3184" customWidth="1"/>
    <col min="4875" max="4875" width="14.375" style="3184" customWidth="1"/>
    <col min="4876" max="4876" width="13.75" style="3184" customWidth="1"/>
    <col min="4877" max="4877" width="6.25" style="3184" customWidth="1"/>
    <col min="4878" max="4878" width="36.375" style="3184" customWidth="1"/>
    <col min="4879" max="4879" width="7.875" style="3184" customWidth="1"/>
    <col min="4880" max="5120" width="9" style="3184"/>
    <col min="5121" max="5121" width="52.875" style="3184" customWidth="1"/>
    <col min="5122" max="5122" width="6.25" style="3184" customWidth="1"/>
    <col min="5123" max="5125" width="13.875" style="3184" customWidth="1"/>
    <col min="5126" max="5126" width="9.125" style="3184" customWidth="1"/>
    <col min="5127" max="5127" width="7.875" style="3184" customWidth="1"/>
    <col min="5128" max="5128" width="9" style="3184" customWidth="1"/>
    <col min="5129" max="5130" width="10.625" style="3184" customWidth="1"/>
    <col min="5131" max="5131" width="14.375" style="3184" customWidth="1"/>
    <col min="5132" max="5132" width="13.75" style="3184" customWidth="1"/>
    <col min="5133" max="5133" width="6.25" style="3184" customWidth="1"/>
    <col min="5134" max="5134" width="36.375" style="3184" customWidth="1"/>
    <col min="5135" max="5135" width="7.875" style="3184" customWidth="1"/>
    <col min="5136" max="5376" width="9" style="3184"/>
    <col min="5377" max="5377" width="52.875" style="3184" customWidth="1"/>
    <col min="5378" max="5378" width="6.25" style="3184" customWidth="1"/>
    <col min="5379" max="5381" width="13.875" style="3184" customWidth="1"/>
    <col min="5382" max="5382" width="9.125" style="3184" customWidth="1"/>
    <col min="5383" max="5383" width="7.875" style="3184" customWidth="1"/>
    <col min="5384" max="5384" width="9" style="3184" customWidth="1"/>
    <col min="5385" max="5386" width="10.625" style="3184" customWidth="1"/>
    <col min="5387" max="5387" width="14.375" style="3184" customWidth="1"/>
    <col min="5388" max="5388" width="13.75" style="3184" customWidth="1"/>
    <col min="5389" max="5389" width="6.25" style="3184" customWidth="1"/>
    <col min="5390" max="5390" width="36.375" style="3184" customWidth="1"/>
    <col min="5391" max="5391" width="7.875" style="3184" customWidth="1"/>
    <col min="5392" max="5632" width="9" style="3184"/>
    <col min="5633" max="5633" width="52.875" style="3184" customWidth="1"/>
    <col min="5634" max="5634" width="6.25" style="3184" customWidth="1"/>
    <col min="5635" max="5637" width="13.875" style="3184" customWidth="1"/>
    <col min="5638" max="5638" width="9.125" style="3184" customWidth="1"/>
    <col min="5639" max="5639" width="7.875" style="3184" customWidth="1"/>
    <col min="5640" max="5640" width="9" style="3184" customWidth="1"/>
    <col min="5641" max="5642" width="10.625" style="3184" customWidth="1"/>
    <col min="5643" max="5643" width="14.375" style="3184" customWidth="1"/>
    <col min="5644" max="5644" width="13.75" style="3184" customWidth="1"/>
    <col min="5645" max="5645" width="6.25" style="3184" customWidth="1"/>
    <col min="5646" max="5646" width="36.375" style="3184" customWidth="1"/>
    <col min="5647" max="5647" width="7.875" style="3184" customWidth="1"/>
    <col min="5648" max="5888" width="9" style="3184"/>
    <col min="5889" max="5889" width="52.875" style="3184" customWidth="1"/>
    <col min="5890" max="5890" width="6.25" style="3184" customWidth="1"/>
    <col min="5891" max="5893" width="13.875" style="3184" customWidth="1"/>
    <col min="5894" max="5894" width="9.125" style="3184" customWidth="1"/>
    <col min="5895" max="5895" width="7.875" style="3184" customWidth="1"/>
    <col min="5896" max="5896" width="9" style="3184" customWidth="1"/>
    <col min="5897" max="5898" width="10.625" style="3184" customWidth="1"/>
    <col min="5899" max="5899" width="14.375" style="3184" customWidth="1"/>
    <col min="5900" max="5900" width="13.75" style="3184" customWidth="1"/>
    <col min="5901" max="5901" width="6.25" style="3184" customWidth="1"/>
    <col min="5902" max="5902" width="36.375" style="3184" customWidth="1"/>
    <col min="5903" max="5903" width="7.875" style="3184" customWidth="1"/>
    <col min="5904" max="6144" width="9" style="3184"/>
    <col min="6145" max="6145" width="52.875" style="3184" customWidth="1"/>
    <col min="6146" max="6146" width="6.25" style="3184" customWidth="1"/>
    <col min="6147" max="6149" width="13.875" style="3184" customWidth="1"/>
    <col min="6150" max="6150" width="9.125" style="3184" customWidth="1"/>
    <col min="6151" max="6151" width="7.875" style="3184" customWidth="1"/>
    <col min="6152" max="6152" width="9" style="3184" customWidth="1"/>
    <col min="6153" max="6154" width="10.625" style="3184" customWidth="1"/>
    <col min="6155" max="6155" width="14.375" style="3184" customWidth="1"/>
    <col min="6156" max="6156" width="13.75" style="3184" customWidth="1"/>
    <col min="6157" max="6157" width="6.25" style="3184" customWidth="1"/>
    <col min="6158" max="6158" width="36.375" style="3184" customWidth="1"/>
    <col min="6159" max="6159" width="7.875" style="3184" customWidth="1"/>
    <col min="6160" max="6400" width="9" style="3184"/>
    <col min="6401" max="6401" width="52.875" style="3184" customWidth="1"/>
    <col min="6402" max="6402" width="6.25" style="3184" customWidth="1"/>
    <col min="6403" max="6405" width="13.875" style="3184" customWidth="1"/>
    <col min="6406" max="6406" width="9.125" style="3184" customWidth="1"/>
    <col min="6407" max="6407" width="7.875" style="3184" customWidth="1"/>
    <col min="6408" max="6408" width="9" style="3184" customWidth="1"/>
    <col min="6409" max="6410" width="10.625" style="3184" customWidth="1"/>
    <col min="6411" max="6411" width="14.375" style="3184" customWidth="1"/>
    <col min="6412" max="6412" width="13.75" style="3184" customWidth="1"/>
    <col min="6413" max="6413" width="6.25" style="3184" customWidth="1"/>
    <col min="6414" max="6414" width="36.375" style="3184" customWidth="1"/>
    <col min="6415" max="6415" width="7.875" style="3184" customWidth="1"/>
    <col min="6416" max="6656" width="9" style="3184"/>
    <col min="6657" max="6657" width="52.875" style="3184" customWidth="1"/>
    <col min="6658" max="6658" width="6.25" style="3184" customWidth="1"/>
    <col min="6659" max="6661" width="13.875" style="3184" customWidth="1"/>
    <col min="6662" max="6662" width="9.125" style="3184" customWidth="1"/>
    <col min="6663" max="6663" width="7.875" style="3184" customWidth="1"/>
    <col min="6664" max="6664" width="9" style="3184" customWidth="1"/>
    <col min="6665" max="6666" width="10.625" style="3184" customWidth="1"/>
    <col min="6667" max="6667" width="14.375" style="3184" customWidth="1"/>
    <col min="6668" max="6668" width="13.75" style="3184" customWidth="1"/>
    <col min="6669" max="6669" width="6.25" style="3184" customWidth="1"/>
    <col min="6670" max="6670" width="36.375" style="3184" customWidth="1"/>
    <col min="6671" max="6671" width="7.875" style="3184" customWidth="1"/>
    <col min="6672" max="6912" width="9" style="3184"/>
    <col min="6913" max="6913" width="52.875" style="3184" customWidth="1"/>
    <col min="6914" max="6914" width="6.25" style="3184" customWidth="1"/>
    <col min="6915" max="6917" width="13.875" style="3184" customWidth="1"/>
    <col min="6918" max="6918" width="9.125" style="3184" customWidth="1"/>
    <col min="6919" max="6919" width="7.875" style="3184" customWidth="1"/>
    <col min="6920" max="6920" width="9" style="3184" customWidth="1"/>
    <col min="6921" max="6922" width="10.625" style="3184" customWidth="1"/>
    <col min="6923" max="6923" width="14.375" style="3184" customWidth="1"/>
    <col min="6924" max="6924" width="13.75" style="3184" customWidth="1"/>
    <col min="6925" max="6925" width="6.25" style="3184" customWidth="1"/>
    <col min="6926" max="6926" width="36.375" style="3184" customWidth="1"/>
    <col min="6927" max="6927" width="7.875" style="3184" customWidth="1"/>
    <col min="6928" max="7168" width="9" style="3184"/>
    <col min="7169" max="7169" width="52.875" style="3184" customWidth="1"/>
    <col min="7170" max="7170" width="6.25" style="3184" customWidth="1"/>
    <col min="7171" max="7173" width="13.875" style="3184" customWidth="1"/>
    <col min="7174" max="7174" width="9.125" style="3184" customWidth="1"/>
    <col min="7175" max="7175" width="7.875" style="3184" customWidth="1"/>
    <col min="7176" max="7176" width="9" style="3184" customWidth="1"/>
    <col min="7177" max="7178" width="10.625" style="3184" customWidth="1"/>
    <col min="7179" max="7179" width="14.375" style="3184" customWidth="1"/>
    <col min="7180" max="7180" width="13.75" style="3184" customWidth="1"/>
    <col min="7181" max="7181" width="6.25" style="3184" customWidth="1"/>
    <col min="7182" max="7182" width="36.375" style="3184" customWidth="1"/>
    <col min="7183" max="7183" width="7.875" style="3184" customWidth="1"/>
    <col min="7184" max="7424" width="9" style="3184"/>
    <col min="7425" max="7425" width="52.875" style="3184" customWidth="1"/>
    <col min="7426" max="7426" width="6.25" style="3184" customWidth="1"/>
    <col min="7427" max="7429" width="13.875" style="3184" customWidth="1"/>
    <col min="7430" max="7430" width="9.125" style="3184" customWidth="1"/>
    <col min="7431" max="7431" width="7.875" style="3184" customWidth="1"/>
    <col min="7432" max="7432" width="9" style="3184" customWidth="1"/>
    <col min="7433" max="7434" width="10.625" style="3184" customWidth="1"/>
    <col min="7435" max="7435" width="14.375" style="3184" customWidth="1"/>
    <col min="7436" max="7436" width="13.75" style="3184" customWidth="1"/>
    <col min="7437" max="7437" width="6.25" style="3184" customWidth="1"/>
    <col min="7438" max="7438" width="36.375" style="3184" customWidth="1"/>
    <col min="7439" max="7439" width="7.875" style="3184" customWidth="1"/>
    <col min="7440" max="7680" width="9" style="3184"/>
    <col min="7681" max="7681" width="52.875" style="3184" customWidth="1"/>
    <col min="7682" max="7682" width="6.25" style="3184" customWidth="1"/>
    <col min="7683" max="7685" width="13.875" style="3184" customWidth="1"/>
    <col min="7686" max="7686" width="9.125" style="3184" customWidth="1"/>
    <col min="7687" max="7687" width="7.875" style="3184" customWidth="1"/>
    <col min="7688" max="7688" width="9" style="3184" customWidth="1"/>
    <col min="7689" max="7690" width="10.625" style="3184" customWidth="1"/>
    <col min="7691" max="7691" width="14.375" style="3184" customWidth="1"/>
    <col min="7692" max="7692" width="13.75" style="3184" customWidth="1"/>
    <col min="7693" max="7693" width="6.25" style="3184" customWidth="1"/>
    <col min="7694" max="7694" width="36.375" style="3184" customWidth="1"/>
    <col min="7695" max="7695" width="7.875" style="3184" customWidth="1"/>
    <col min="7696" max="7936" width="9" style="3184"/>
    <col min="7937" max="7937" width="52.875" style="3184" customWidth="1"/>
    <col min="7938" max="7938" width="6.25" style="3184" customWidth="1"/>
    <col min="7939" max="7941" width="13.875" style="3184" customWidth="1"/>
    <col min="7942" max="7942" width="9.125" style="3184" customWidth="1"/>
    <col min="7943" max="7943" width="7.875" style="3184" customWidth="1"/>
    <col min="7944" max="7944" width="9" style="3184" customWidth="1"/>
    <col min="7945" max="7946" width="10.625" style="3184" customWidth="1"/>
    <col min="7947" max="7947" width="14.375" style="3184" customWidth="1"/>
    <col min="7948" max="7948" width="13.75" style="3184" customWidth="1"/>
    <col min="7949" max="7949" width="6.25" style="3184" customWidth="1"/>
    <col min="7950" max="7950" width="36.375" style="3184" customWidth="1"/>
    <col min="7951" max="7951" width="7.875" style="3184" customWidth="1"/>
    <col min="7952" max="8192" width="9" style="3184"/>
    <col min="8193" max="8193" width="52.875" style="3184" customWidth="1"/>
    <col min="8194" max="8194" width="6.25" style="3184" customWidth="1"/>
    <col min="8195" max="8197" width="13.875" style="3184" customWidth="1"/>
    <col min="8198" max="8198" width="9.125" style="3184" customWidth="1"/>
    <col min="8199" max="8199" width="7.875" style="3184" customWidth="1"/>
    <col min="8200" max="8200" width="9" style="3184" customWidth="1"/>
    <col min="8201" max="8202" width="10.625" style="3184" customWidth="1"/>
    <col min="8203" max="8203" width="14.375" style="3184" customWidth="1"/>
    <col min="8204" max="8204" width="13.75" style="3184" customWidth="1"/>
    <col min="8205" max="8205" width="6.25" style="3184" customWidth="1"/>
    <col min="8206" max="8206" width="36.375" style="3184" customWidth="1"/>
    <col min="8207" max="8207" width="7.875" style="3184" customWidth="1"/>
    <col min="8208" max="8448" width="9" style="3184"/>
    <col min="8449" max="8449" width="52.875" style="3184" customWidth="1"/>
    <col min="8450" max="8450" width="6.25" style="3184" customWidth="1"/>
    <col min="8451" max="8453" width="13.875" style="3184" customWidth="1"/>
    <col min="8454" max="8454" width="9.125" style="3184" customWidth="1"/>
    <col min="8455" max="8455" width="7.875" style="3184" customWidth="1"/>
    <col min="8456" max="8456" width="9" style="3184" customWidth="1"/>
    <col min="8457" max="8458" width="10.625" style="3184" customWidth="1"/>
    <col min="8459" max="8459" width="14.375" style="3184" customWidth="1"/>
    <col min="8460" max="8460" width="13.75" style="3184" customWidth="1"/>
    <col min="8461" max="8461" width="6.25" style="3184" customWidth="1"/>
    <col min="8462" max="8462" width="36.375" style="3184" customWidth="1"/>
    <col min="8463" max="8463" width="7.875" style="3184" customWidth="1"/>
    <col min="8464" max="8704" width="9" style="3184"/>
    <col min="8705" max="8705" width="52.875" style="3184" customWidth="1"/>
    <col min="8706" max="8706" width="6.25" style="3184" customWidth="1"/>
    <col min="8707" max="8709" width="13.875" style="3184" customWidth="1"/>
    <col min="8710" max="8710" width="9.125" style="3184" customWidth="1"/>
    <col min="8711" max="8711" width="7.875" style="3184" customWidth="1"/>
    <col min="8712" max="8712" width="9" style="3184" customWidth="1"/>
    <col min="8713" max="8714" width="10.625" style="3184" customWidth="1"/>
    <col min="8715" max="8715" width="14.375" style="3184" customWidth="1"/>
    <col min="8716" max="8716" width="13.75" style="3184" customWidth="1"/>
    <col min="8717" max="8717" width="6.25" style="3184" customWidth="1"/>
    <col min="8718" max="8718" width="36.375" style="3184" customWidth="1"/>
    <col min="8719" max="8719" width="7.875" style="3184" customWidth="1"/>
    <col min="8720" max="8960" width="9" style="3184"/>
    <col min="8961" max="8961" width="52.875" style="3184" customWidth="1"/>
    <col min="8962" max="8962" width="6.25" style="3184" customWidth="1"/>
    <col min="8963" max="8965" width="13.875" style="3184" customWidth="1"/>
    <col min="8966" max="8966" width="9.125" style="3184" customWidth="1"/>
    <col min="8967" max="8967" width="7.875" style="3184" customWidth="1"/>
    <col min="8968" max="8968" width="9" style="3184" customWidth="1"/>
    <col min="8969" max="8970" width="10.625" style="3184" customWidth="1"/>
    <col min="8971" max="8971" width="14.375" style="3184" customWidth="1"/>
    <col min="8972" max="8972" width="13.75" style="3184" customWidth="1"/>
    <col min="8973" max="8973" width="6.25" style="3184" customWidth="1"/>
    <col min="8974" max="8974" width="36.375" style="3184" customWidth="1"/>
    <col min="8975" max="8975" width="7.875" style="3184" customWidth="1"/>
    <col min="8976" max="9216" width="9" style="3184"/>
    <col min="9217" max="9217" width="52.875" style="3184" customWidth="1"/>
    <col min="9218" max="9218" width="6.25" style="3184" customWidth="1"/>
    <col min="9219" max="9221" width="13.875" style="3184" customWidth="1"/>
    <col min="9222" max="9222" width="9.125" style="3184" customWidth="1"/>
    <col min="9223" max="9223" width="7.875" style="3184" customWidth="1"/>
    <col min="9224" max="9224" width="9" style="3184" customWidth="1"/>
    <col min="9225" max="9226" width="10.625" style="3184" customWidth="1"/>
    <col min="9227" max="9227" width="14.375" style="3184" customWidth="1"/>
    <col min="9228" max="9228" width="13.75" style="3184" customWidth="1"/>
    <col min="9229" max="9229" width="6.25" style="3184" customWidth="1"/>
    <col min="9230" max="9230" width="36.375" style="3184" customWidth="1"/>
    <col min="9231" max="9231" width="7.875" style="3184" customWidth="1"/>
    <col min="9232" max="9472" width="9" style="3184"/>
    <col min="9473" max="9473" width="52.875" style="3184" customWidth="1"/>
    <col min="9474" max="9474" width="6.25" style="3184" customWidth="1"/>
    <col min="9475" max="9477" width="13.875" style="3184" customWidth="1"/>
    <col min="9478" max="9478" width="9.125" style="3184" customWidth="1"/>
    <col min="9479" max="9479" width="7.875" style="3184" customWidth="1"/>
    <col min="9480" max="9480" width="9" style="3184" customWidth="1"/>
    <col min="9481" max="9482" width="10.625" style="3184" customWidth="1"/>
    <col min="9483" max="9483" width="14.375" style="3184" customWidth="1"/>
    <col min="9484" max="9484" width="13.75" style="3184" customWidth="1"/>
    <col min="9485" max="9485" width="6.25" style="3184" customWidth="1"/>
    <col min="9486" max="9486" width="36.375" style="3184" customWidth="1"/>
    <col min="9487" max="9487" width="7.875" style="3184" customWidth="1"/>
    <col min="9488" max="9728" width="9" style="3184"/>
    <col min="9729" max="9729" width="52.875" style="3184" customWidth="1"/>
    <col min="9730" max="9730" width="6.25" style="3184" customWidth="1"/>
    <col min="9731" max="9733" width="13.875" style="3184" customWidth="1"/>
    <col min="9734" max="9734" width="9.125" style="3184" customWidth="1"/>
    <col min="9735" max="9735" width="7.875" style="3184" customWidth="1"/>
    <col min="9736" max="9736" width="9" style="3184" customWidth="1"/>
    <col min="9737" max="9738" width="10.625" style="3184" customWidth="1"/>
    <col min="9739" max="9739" width="14.375" style="3184" customWidth="1"/>
    <col min="9740" max="9740" width="13.75" style="3184" customWidth="1"/>
    <col min="9741" max="9741" width="6.25" style="3184" customWidth="1"/>
    <col min="9742" max="9742" width="36.375" style="3184" customWidth="1"/>
    <col min="9743" max="9743" width="7.875" style="3184" customWidth="1"/>
    <col min="9744" max="9984" width="9" style="3184"/>
    <col min="9985" max="9985" width="52.875" style="3184" customWidth="1"/>
    <col min="9986" max="9986" width="6.25" style="3184" customWidth="1"/>
    <col min="9987" max="9989" width="13.875" style="3184" customWidth="1"/>
    <col min="9990" max="9990" width="9.125" style="3184" customWidth="1"/>
    <col min="9991" max="9991" width="7.875" style="3184" customWidth="1"/>
    <col min="9992" max="9992" width="9" style="3184" customWidth="1"/>
    <col min="9993" max="9994" width="10.625" style="3184" customWidth="1"/>
    <col min="9995" max="9995" width="14.375" style="3184" customWidth="1"/>
    <col min="9996" max="9996" width="13.75" style="3184" customWidth="1"/>
    <col min="9997" max="9997" width="6.25" style="3184" customWidth="1"/>
    <col min="9998" max="9998" width="36.375" style="3184" customWidth="1"/>
    <col min="9999" max="9999" width="7.875" style="3184" customWidth="1"/>
    <col min="10000" max="10240" width="9" style="3184"/>
    <col min="10241" max="10241" width="52.875" style="3184" customWidth="1"/>
    <col min="10242" max="10242" width="6.25" style="3184" customWidth="1"/>
    <col min="10243" max="10245" width="13.875" style="3184" customWidth="1"/>
    <col min="10246" max="10246" width="9.125" style="3184" customWidth="1"/>
    <col min="10247" max="10247" width="7.875" style="3184" customWidth="1"/>
    <col min="10248" max="10248" width="9" style="3184" customWidth="1"/>
    <col min="10249" max="10250" width="10.625" style="3184" customWidth="1"/>
    <col min="10251" max="10251" width="14.375" style="3184" customWidth="1"/>
    <col min="10252" max="10252" width="13.75" style="3184" customWidth="1"/>
    <col min="10253" max="10253" width="6.25" style="3184" customWidth="1"/>
    <col min="10254" max="10254" width="36.375" style="3184" customWidth="1"/>
    <col min="10255" max="10255" width="7.875" style="3184" customWidth="1"/>
    <col min="10256" max="10496" width="9" style="3184"/>
    <col min="10497" max="10497" width="52.875" style="3184" customWidth="1"/>
    <col min="10498" max="10498" width="6.25" style="3184" customWidth="1"/>
    <col min="10499" max="10501" width="13.875" style="3184" customWidth="1"/>
    <col min="10502" max="10502" width="9.125" style="3184" customWidth="1"/>
    <col min="10503" max="10503" width="7.875" style="3184" customWidth="1"/>
    <col min="10504" max="10504" width="9" style="3184" customWidth="1"/>
    <col min="10505" max="10506" width="10.625" style="3184" customWidth="1"/>
    <col min="10507" max="10507" width="14.375" style="3184" customWidth="1"/>
    <col min="10508" max="10508" width="13.75" style="3184" customWidth="1"/>
    <col min="10509" max="10509" width="6.25" style="3184" customWidth="1"/>
    <col min="10510" max="10510" width="36.375" style="3184" customWidth="1"/>
    <col min="10511" max="10511" width="7.875" style="3184" customWidth="1"/>
    <col min="10512" max="10752" width="9" style="3184"/>
    <col min="10753" max="10753" width="52.875" style="3184" customWidth="1"/>
    <col min="10754" max="10754" width="6.25" style="3184" customWidth="1"/>
    <col min="10755" max="10757" width="13.875" style="3184" customWidth="1"/>
    <col min="10758" max="10758" width="9.125" style="3184" customWidth="1"/>
    <col min="10759" max="10759" width="7.875" style="3184" customWidth="1"/>
    <col min="10760" max="10760" width="9" style="3184" customWidth="1"/>
    <col min="10761" max="10762" width="10.625" style="3184" customWidth="1"/>
    <col min="10763" max="10763" width="14.375" style="3184" customWidth="1"/>
    <col min="10764" max="10764" width="13.75" style="3184" customWidth="1"/>
    <col min="10765" max="10765" width="6.25" style="3184" customWidth="1"/>
    <col min="10766" max="10766" width="36.375" style="3184" customWidth="1"/>
    <col min="10767" max="10767" width="7.875" style="3184" customWidth="1"/>
    <col min="10768" max="11008" width="9" style="3184"/>
    <col min="11009" max="11009" width="52.875" style="3184" customWidth="1"/>
    <col min="11010" max="11010" width="6.25" style="3184" customWidth="1"/>
    <col min="11011" max="11013" width="13.875" style="3184" customWidth="1"/>
    <col min="11014" max="11014" width="9.125" style="3184" customWidth="1"/>
    <col min="11015" max="11015" width="7.875" style="3184" customWidth="1"/>
    <col min="11016" max="11016" width="9" style="3184" customWidth="1"/>
    <col min="11017" max="11018" width="10.625" style="3184" customWidth="1"/>
    <col min="11019" max="11019" width="14.375" style="3184" customWidth="1"/>
    <col min="11020" max="11020" width="13.75" style="3184" customWidth="1"/>
    <col min="11021" max="11021" width="6.25" style="3184" customWidth="1"/>
    <col min="11022" max="11022" width="36.375" style="3184" customWidth="1"/>
    <col min="11023" max="11023" width="7.875" style="3184" customWidth="1"/>
    <col min="11024" max="11264" width="9" style="3184"/>
    <col min="11265" max="11265" width="52.875" style="3184" customWidth="1"/>
    <col min="11266" max="11266" width="6.25" style="3184" customWidth="1"/>
    <col min="11267" max="11269" width="13.875" style="3184" customWidth="1"/>
    <col min="11270" max="11270" width="9.125" style="3184" customWidth="1"/>
    <col min="11271" max="11271" width="7.875" style="3184" customWidth="1"/>
    <col min="11272" max="11272" width="9" style="3184" customWidth="1"/>
    <col min="11273" max="11274" width="10.625" style="3184" customWidth="1"/>
    <col min="11275" max="11275" width="14.375" style="3184" customWidth="1"/>
    <col min="11276" max="11276" width="13.75" style="3184" customWidth="1"/>
    <col min="11277" max="11277" width="6.25" style="3184" customWidth="1"/>
    <col min="11278" max="11278" width="36.375" style="3184" customWidth="1"/>
    <col min="11279" max="11279" width="7.875" style="3184" customWidth="1"/>
    <col min="11280" max="11520" width="9" style="3184"/>
    <col min="11521" max="11521" width="52.875" style="3184" customWidth="1"/>
    <col min="11522" max="11522" width="6.25" style="3184" customWidth="1"/>
    <col min="11523" max="11525" width="13.875" style="3184" customWidth="1"/>
    <col min="11526" max="11526" width="9.125" style="3184" customWidth="1"/>
    <col min="11527" max="11527" width="7.875" style="3184" customWidth="1"/>
    <col min="11528" max="11528" width="9" style="3184" customWidth="1"/>
    <col min="11529" max="11530" width="10.625" style="3184" customWidth="1"/>
    <col min="11531" max="11531" width="14.375" style="3184" customWidth="1"/>
    <col min="11532" max="11532" width="13.75" style="3184" customWidth="1"/>
    <col min="11533" max="11533" width="6.25" style="3184" customWidth="1"/>
    <col min="11534" max="11534" width="36.375" style="3184" customWidth="1"/>
    <col min="11535" max="11535" width="7.875" style="3184" customWidth="1"/>
    <col min="11536" max="11776" width="9" style="3184"/>
    <col min="11777" max="11777" width="52.875" style="3184" customWidth="1"/>
    <col min="11778" max="11778" width="6.25" style="3184" customWidth="1"/>
    <col min="11779" max="11781" width="13.875" style="3184" customWidth="1"/>
    <col min="11782" max="11782" width="9.125" style="3184" customWidth="1"/>
    <col min="11783" max="11783" width="7.875" style="3184" customWidth="1"/>
    <col min="11784" max="11784" width="9" style="3184" customWidth="1"/>
    <col min="11785" max="11786" width="10.625" style="3184" customWidth="1"/>
    <col min="11787" max="11787" width="14.375" style="3184" customWidth="1"/>
    <col min="11788" max="11788" width="13.75" style="3184" customWidth="1"/>
    <col min="11789" max="11789" width="6.25" style="3184" customWidth="1"/>
    <col min="11790" max="11790" width="36.375" style="3184" customWidth="1"/>
    <col min="11791" max="11791" width="7.875" style="3184" customWidth="1"/>
    <col min="11792" max="12032" width="9" style="3184"/>
    <col min="12033" max="12033" width="52.875" style="3184" customWidth="1"/>
    <col min="12034" max="12034" width="6.25" style="3184" customWidth="1"/>
    <col min="12035" max="12037" width="13.875" style="3184" customWidth="1"/>
    <col min="12038" max="12038" width="9.125" style="3184" customWidth="1"/>
    <col min="12039" max="12039" width="7.875" style="3184" customWidth="1"/>
    <col min="12040" max="12040" width="9" style="3184" customWidth="1"/>
    <col min="12041" max="12042" width="10.625" style="3184" customWidth="1"/>
    <col min="12043" max="12043" width="14.375" style="3184" customWidth="1"/>
    <col min="12044" max="12044" width="13.75" style="3184" customWidth="1"/>
    <col min="12045" max="12045" width="6.25" style="3184" customWidth="1"/>
    <col min="12046" max="12046" width="36.375" style="3184" customWidth="1"/>
    <col min="12047" max="12047" width="7.875" style="3184" customWidth="1"/>
    <col min="12048" max="12288" width="9" style="3184"/>
    <col min="12289" max="12289" width="52.875" style="3184" customWidth="1"/>
    <col min="12290" max="12290" width="6.25" style="3184" customWidth="1"/>
    <col min="12291" max="12293" width="13.875" style="3184" customWidth="1"/>
    <col min="12294" max="12294" width="9.125" style="3184" customWidth="1"/>
    <col min="12295" max="12295" width="7.875" style="3184" customWidth="1"/>
    <col min="12296" max="12296" width="9" style="3184" customWidth="1"/>
    <col min="12297" max="12298" width="10.625" style="3184" customWidth="1"/>
    <col min="12299" max="12299" width="14.375" style="3184" customWidth="1"/>
    <col min="12300" max="12300" width="13.75" style="3184" customWidth="1"/>
    <col min="12301" max="12301" width="6.25" style="3184" customWidth="1"/>
    <col min="12302" max="12302" width="36.375" style="3184" customWidth="1"/>
    <col min="12303" max="12303" width="7.875" style="3184" customWidth="1"/>
    <col min="12304" max="12544" width="9" style="3184"/>
    <col min="12545" max="12545" width="52.875" style="3184" customWidth="1"/>
    <col min="12546" max="12546" width="6.25" style="3184" customWidth="1"/>
    <col min="12547" max="12549" width="13.875" style="3184" customWidth="1"/>
    <col min="12550" max="12550" width="9.125" style="3184" customWidth="1"/>
    <col min="12551" max="12551" width="7.875" style="3184" customWidth="1"/>
    <col min="12552" max="12552" width="9" style="3184" customWidth="1"/>
    <col min="12553" max="12554" width="10.625" style="3184" customWidth="1"/>
    <col min="12555" max="12555" width="14.375" style="3184" customWidth="1"/>
    <col min="12556" max="12556" width="13.75" style="3184" customWidth="1"/>
    <col min="12557" max="12557" width="6.25" style="3184" customWidth="1"/>
    <col min="12558" max="12558" width="36.375" style="3184" customWidth="1"/>
    <col min="12559" max="12559" width="7.875" style="3184" customWidth="1"/>
    <col min="12560" max="12800" width="9" style="3184"/>
    <col min="12801" max="12801" width="52.875" style="3184" customWidth="1"/>
    <col min="12802" max="12802" width="6.25" style="3184" customWidth="1"/>
    <col min="12803" max="12805" width="13.875" style="3184" customWidth="1"/>
    <col min="12806" max="12806" width="9.125" style="3184" customWidth="1"/>
    <col min="12807" max="12807" width="7.875" style="3184" customWidth="1"/>
    <col min="12808" max="12808" width="9" style="3184" customWidth="1"/>
    <col min="12809" max="12810" width="10.625" style="3184" customWidth="1"/>
    <col min="12811" max="12811" width="14.375" style="3184" customWidth="1"/>
    <col min="12812" max="12812" width="13.75" style="3184" customWidth="1"/>
    <col min="12813" max="12813" width="6.25" style="3184" customWidth="1"/>
    <col min="12814" max="12814" width="36.375" style="3184" customWidth="1"/>
    <col min="12815" max="12815" width="7.875" style="3184" customWidth="1"/>
    <col min="12816" max="13056" width="9" style="3184"/>
    <col min="13057" max="13057" width="52.875" style="3184" customWidth="1"/>
    <col min="13058" max="13058" width="6.25" style="3184" customWidth="1"/>
    <col min="13059" max="13061" width="13.875" style="3184" customWidth="1"/>
    <col min="13062" max="13062" width="9.125" style="3184" customWidth="1"/>
    <col min="13063" max="13063" width="7.875" style="3184" customWidth="1"/>
    <col min="13064" max="13064" width="9" style="3184" customWidth="1"/>
    <col min="13065" max="13066" width="10.625" style="3184" customWidth="1"/>
    <col min="13067" max="13067" width="14.375" style="3184" customWidth="1"/>
    <col min="13068" max="13068" width="13.75" style="3184" customWidth="1"/>
    <col min="13069" max="13069" width="6.25" style="3184" customWidth="1"/>
    <col min="13070" max="13070" width="36.375" style="3184" customWidth="1"/>
    <col min="13071" max="13071" width="7.875" style="3184" customWidth="1"/>
    <col min="13072" max="13312" width="9" style="3184"/>
    <col min="13313" max="13313" width="52.875" style="3184" customWidth="1"/>
    <col min="13314" max="13314" width="6.25" style="3184" customWidth="1"/>
    <col min="13315" max="13317" width="13.875" style="3184" customWidth="1"/>
    <col min="13318" max="13318" width="9.125" style="3184" customWidth="1"/>
    <col min="13319" max="13319" width="7.875" style="3184" customWidth="1"/>
    <col min="13320" max="13320" width="9" style="3184" customWidth="1"/>
    <col min="13321" max="13322" width="10.625" style="3184" customWidth="1"/>
    <col min="13323" max="13323" width="14.375" style="3184" customWidth="1"/>
    <col min="13324" max="13324" width="13.75" style="3184" customWidth="1"/>
    <col min="13325" max="13325" width="6.25" style="3184" customWidth="1"/>
    <col min="13326" max="13326" width="36.375" style="3184" customWidth="1"/>
    <col min="13327" max="13327" width="7.875" style="3184" customWidth="1"/>
    <col min="13328" max="13568" width="9" style="3184"/>
    <col min="13569" max="13569" width="52.875" style="3184" customWidth="1"/>
    <col min="13570" max="13570" width="6.25" style="3184" customWidth="1"/>
    <col min="13571" max="13573" width="13.875" style="3184" customWidth="1"/>
    <col min="13574" max="13574" width="9.125" style="3184" customWidth="1"/>
    <col min="13575" max="13575" width="7.875" style="3184" customWidth="1"/>
    <col min="13576" max="13576" width="9" style="3184" customWidth="1"/>
    <col min="13577" max="13578" width="10.625" style="3184" customWidth="1"/>
    <col min="13579" max="13579" width="14.375" style="3184" customWidth="1"/>
    <col min="13580" max="13580" width="13.75" style="3184" customWidth="1"/>
    <col min="13581" max="13581" width="6.25" style="3184" customWidth="1"/>
    <col min="13582" max="13582" width="36.375" style="3184" customWidth="1"/>
    <col min="13583" max="13583" width="7.875" style="3184" customWidth="1"/>
    <col min="13584" max="13824" width="9" style="3184"/>
    <col min="13825" max="13825" width="52.875" style="3184" customWidth="1"/>
    <col min="13826" max="13826" width="6.25" style="3184" customWidth="1"/>
    <col min="13827" max="13829" width="13.875" style="3184" customWidth="1"/>
    <col min="13830" max="13830" width="9.125" style="3184" customWidth="1"/>
    <col min="13831" max="13831" width="7.875" style="3184" customWidth="1"/>
    <col min="13832" max="13832" width="9" style="3184" customWidth="1"/>
    <col min="13833" max="13834" width="10.625" style="3184" customWidth="1"/>
    <col min="13835" max="13835" width="14.375" style="3184" customWidth="1"/>
    <col min="13836" max="13836" width="13.75" style="3184" customWidth="1"/>
    <col min="13837" max="13837" width="6.25" style="3184" customWidth="1"/>
    <col min="13838" max="13838" width="36.375" style="3184" customWidth="1"/>
    <col min="13839" max="13839" width="7.875" style="3184" customWidth="1"/>
    <col min="13840" max="14080" width="9" style="3184"/>
    <col min="14081" max="14081" width="52.875" style="3184" customWidth="1"/>
    <col min="14082" max="14082" width="6.25" style="3184" customWidth="1"/>
    <col min="14083" max="14085" width="13.875" style="3184" customWidth="1"/>
    <col min="14086" max="14086" width="9.125" style="3184" customWidth="1"/>
    <col min="14087" max="14087" width="7.875" style="3184" customWidth="1"/>
    <col min="14088" max="14088" width="9" style="3184" customWidth="1"/>
    <col min="14089" max="14090" width="10.625" style="3184" customWidth="1"/>
    <col min="14091" max="14091" width="14.375" style="3184" customWidth="1"/>
    <col min="14092" max="14092" width="13.75" style="3184" customWidth="1"/>
    <col min="14093" max="14093" width="6.25" style="3184" customWidth="1"/>
    <col min="14094" max="14094" width="36.375" style="3184" customWidth="1"/>
    <col min="14095" max="14095" width="7.875" style="3184" customWidth="1"/>
    <col min="14096" max="14336" width="9" style="3184"/>
    <col min="14337" max="14337" width="52.875" style="3184" customWidth="1"/>
    <col min="14338" max="14338" width="6.25" style="3184" customWidth="1"/>
    <col min="14339" max="14341" width="13.875" style="3184" customWidth="1"/>
    <col min="14342" max="14342" width="9.125" style="3184" customWidth="1"/>
    <col min="14343" max="14343" width="7.875" style="3184" customWidth="1"/>
    <col min="14344" max="14344" width="9" style="3184" customWidth="1"/>
    <col min="14345" max="14346" width="10.625" style="3184" customWidth="1"/>
    <col min="14347" max="14347" width="14.375" style="3184" customWidth="1"/>
    <col min="14348" max="14348" width="13.75" style="3184" customWidth="1"/>
    <col min="14349" max="14349" width="6.25" style="3184" customWidth="1"/>
    <col min="14350" max="14350" width="36.375" style="3184" customWidth="1"/>
    <col min="14351" max="14351" width="7.875" style="3184" customWidth="1"/>
    <col min="14352" max="14592" width="9" style="3184"/>
    <col min="14593" max="14593" width="52.875" style="3184" customWidth="1"/>
    <col min="14594" max="14594" width="6.25" style="3184" customWidth="1"/>
    <col min="14595" max="14597" width="13.875" style="3184" customWidth="1"/>
    <col min="14598" max="14598" width="9.125" style="3184" customWidth="1"/>
    <col min="14599" max="14599" width="7.875" style="3184" customWidth="1"/>
    <col min="14600" max="14600" width="9" style="3184" customWidth="1"/>
    <col min="14601" max="14602" width="10.625" style="3184" customWidth="1"/>
    <col min="14603" max="14603" width="14.375" style="3184" customWidth="1"/>
    <col min="14604" max="14604" width="13.75" style="3184" customWidth="1"/>
    <col min="14605" max="14605" width="6.25" style="3184" customWidth="1"/>
    <col min="14606" max="14606" width="36.375" style="3184" customWidth="1"/>
    <col min="14607" max="14607" width="7.875" style="3184" customWidth="1"/>
    <col min="14608" max="14848" width="9" style="3184"/>
    <col min="14849" max="14849" width="52.875" style="3184" customWidth="1"/>
    <col min="14850" max="14850" width="6.25" style="3184" customWidth="1"/>
    <col min="14851" max="14853" width="13.875" style="3184" customWidth="1"/>
    <col min="14854" max="14854" width="9.125" style="3184" customWidth="1"/>
    <col min="14855" max="14855" width="7.875" style="3184" customWidth="1"/>
    <col min="14856" max="14856" width="9" style="3184" customWidth="1"/>
    <col min="14857" max="14858" width="10.625" style="3184" customWidth="1"/>
    <col min="14859" max="14859" width="14.375" style="3184" customWidth="1"/>
    <col min="14860" max="14860" width="13.75" style="3184" customWidth="1"/>
    <col min="14861" max="14861" width="6.25" style="3184" customWidth="1"/>
    <col min="14862" max="14862" width="36.375" style="3184" customWidth="1"/>
    <col min="14863" max="14863" width="7.875" style="3184" customWidth="1"/>
    <col min="14864" max="15104" width="9" style="3184"/>
    <col min="15105" max="15105" width="52.875" style="3184" customWidth="1"/>
    <col min="15106" max="15106" width="6.25" style="3184" customWidth="1"/>
    <col min="15107" max="15109" width="13.875" style="3184" customWidth="1"/>
    <col min="15110" max="15110" width="9.125" style="3184" customWidth="1"/>
    <col min="15111" max="15111" width="7.875" style="3184" customWidth="1"/>
    <col min="15112" max="15112" width="9" style="3184" customWidth="1"/>
    <col min="15113" max="15114" width="10.625" style="3184" customWidth="1"/>
    <col min="15115" max="15115" width="14.375" style="3184" customWidth="1"/>
    <col min="15116" max="15116" width="13.75" style="3184" customWidth="1"/>
    <col min="15117" max="15117" width="6.25" style="3184" customWidth="1"/>
    <col min="15118" max="15118" width="36.375" style="3184" customWidth="1"/>
    <col min="15119" max="15119" width="7.875" style="3184" customWidth="1"/>
    <col min="15120" max="15360" width="9" style="3184"/>
    <col min="15361" max="15361" width="52.875" style="3184" customWidth="1"/>
    <col min="15362" max="15362" width="6.25" style="3184" customWidth="1"/>
    <col min="15363" max="15365" width="13.875" style="3184" customWidth="1"/>
    <col min="15366" max="15366" width="9.125" style="3184" customWidth="1"/>
    <col min="15367" max="15367" width="7.875" style="3184" customWidth="1"/>
    <col min="15368" max="15368" width="9" style="3184" customWidth="1"/>
    <col min="15369" max="15370" width="10.625" style="3184" customWidth="1"/>
    <col min="15371" max="15371" width="14.375" style="3184" customWidth="1"/>
    <col min="15372" max="15372" width="13.75" style="3184" customWidth="1"/>
    <col min="15373" max="15373" width="6.25" style="3184" customWidth="1"/>
    <col min="15374" max="15374" width="36.375" style="3184" customWidth="1"/>
    <col min="15375" max="15375" width="7.875" style="3184" customWidth="1"/>
    <col min="15376" max="15616" width="9" style="3184"/>
    <col min="15617" max="15617" width="52.875" style="3184" customWidth="1"/>
    <col min="15618" max="15618" width="6.25" style="3184" customWidth="1"/>
    <col min="15619" max="15621" width="13.875" style="3184" customWidth="1"/>
    <col min="15622" max="15622" width="9.125" style="3184" customWidth="1"/>
    <col min="15623" max="15623" width="7.875" style="3184" customWidth="1"/>
    <col min="15624" max="15624" width="9" style="3184" customWidth="1"/>
    <col min="15625" max="15626" width="10.625" style="3184" customWidth="1"/>
    <col min="15627" max="15627" width="14.375" style="3184" customWidth="1"/>
    <col min="15628" max="15628" width="13.75" style="3184" customWidth="1"/>
    <col min="15629" max="15629" width="6.25" style="3184" customWidth="1"/>
    <col min="15630" max="15630" width="36.375" style="3184" customWidth="1"/>
    <col min="15631" max="15631" width="7.875" style="3184" customWidth="1"/>
    <col min="15632" max="15872" width="9" style="3184"/>
    <col min="15873" max="15873" width="52.875" style="3184" customWidth="1"/>
    <col min="15874" max="15874" width="6.25" style="3184" customWidth="1"/>
    <col min="15875" max="15877" width="13.875" style="3184" customWidth="1"/>
    <col min="15878" max="15878" width="9.125" style="3184" customWidth="1"/>
    <col min="15879" max="15879" width="7.875" style="3184" customWidth="1"/>
    <col min="15880" max="15880" width="9" style="3184" customWidth="1"/>
    <col min="15881" max="15882" width="10.625" style="3184" customWidth="1"/>
    <col min="15883" max="15883" width="14.375" style="3184" customWidth="1"/>
    <col min="15884" max="15884" width="13.75" style="3184" customWidth="1"/>
    <col min="15885" max="15885" width="6.25" style="3184" customWidth="1"/>
    <col min="15886" max="15886" width="36.375" style="3184" customWidth="1"/>
    <col min="15887" max="15887" width="7.875" style="3184" customWidth="1"/>
    <col min="15888" max="16128" width="9" style="3184"/>
    <col min="16129" max="16129" width="52.875" style="3184" customWidth="1"/>
    <col min="16130" max="16130" width="6.25" style="3184" customWidth="1"/>
    <col min="16131" max="16133" width="13.875" style="3184" customWidth="1"/>
    <col min="16134" max="16134" width="9.125" style="3184" customWidth="1"/>
    <col min="16135" max="16135" width="7.875" style="3184" customWidth="1"/>
    <col min="16136" max="16136" width="9" style="3184" customWidth="1"/>
    <col min="16137" max="16138" width="10.625" style="3184" customWidth="1"/>
    <col min="16139" max="16139" width="14.375" style="3184" customWidth="1"/>
    <col min="16140" max="16140" width="13.75" style="3184" customWidth="1"/>
    <col min="16141" max="16141" width="6.25" style="3184" customWidth="1"/>
    <col min="16142" max="16142" width="36.375" style="3184" customWidth="1"/>
    <col min="16143" max="16143" width="7.875" style="3184" customWidth="1"/>
    <col min="16144" max="16384" width="9" style="3184"/>
  </cols>
  <sheetData>
    <row r="1" spans="1:16" ht="14.25">
      <c r="A1" s="3184" t="s">
        <v>3078</v>
      </c>
      <c r="B1" s="3184" t="s">
        <v>3079</v>
      </c>
      <c r="C1" s="3184" t="s">
        <v>3080</v>
      </c>
      <c r="D1" s="3184" t="s">
        <v>3081</v>
      </c>
      <c r="E1" s="3184" t="s">
        <v>3082</v>
      </c>
      <c r="F1" s="3213" t="s">
        <v>2032</v>
      </c>
      <c r="G1" s="3184" t="s">
        <v>3083</v>
      </c>
      <c r="H1" s="3184" t="s">
        <v>3084</v>
      </c>
      <c r="I1" s="3184" t="s">
        <v>3085</v>
      </c>
      <c r="J1" s="3184" t="s">
        <v>3086</v>
      </c>
      <c r="K1" s="3184" t="s">
        <v>3087</v>
      </c>
      <c r="L1" s="3185" t="s">
        <v>3088</v>
      </c>
      <c r="M1" s="3184" t="s">
        <v>3089</v>
      </c>
      <c r="N1" s="3184" t="s">
        <v>3090</v>
      </c>
      <c r="O1" s="3184" t="s">
        <v>3091</v>
      </c>
    </row>
    <row r="2" spans="1:16" hidden="1">
      <c r="A2" s="3184" t="s">
        <v>3092</v>
      </c>
      <c r="B2" s="3184" t="s">
        <v>3093</v>
      </c>
      <c r="C2" s="3184" t="s">
        <v>3094</v>
      </c>
      <c r="D2" s="3184">
        <v>3531.46</v>
      </c>
      <c r="E2" s="3184">
        <v>10099.98</v>
      </c>
      <c r="F2" s="3213" t="s">
        <v>3095</v>
      </c>
      <c r="G2" s="3184" t="s">
        <v>3096</v>
      </c>
      <c r="H2" s="3184" t="s">
        <v>3097</v>
      </c>
      <c r="I2" s="3184">
        <v>480</v>
      </c>
      <c r="J2" s="3184">
        <v>480</v>
      </c>
      <c r="K2" s="3184">
        <v>475.25</v>
      </c>
      <c r="L2" s="3184">
        <f>J2*10000/D2</f>
        <v>1359.2112044310286</v>
      </c>
      <c r="M2" s="3184">
        <v>0</v>
      </c>
      <c r="N2" s="3184" t="s">
        <v>3098</v>
      </c>
      <c r="O2" s="3184" t="s">
        <v>3099</v>
      </c>
      <c r="P2" s="3210">
        <f>L2*666.67/10000</f>
        <v>90.614533365803368</v>
      </c>
    </row>
    <row r="3" spans="1:16" hidden="1">
      <c r="A3" s="3184" t="s">
        <v>3100</v>
      </c>
      <c r="B3" s="3184" t="s">
        <v>3093</v>
      </c>
      <c r="C3" s="3184" t="s">
        <v>3101</v>
      </c>
      <c r="D3" s="3184">
        <v>546.32000000000005</v>
      </c>
      <c r="E3" s="3184">
        <v>3452.74</v>
      </c>
      <c r="F3" s="3213" t="s">
        <v>3102</v>
      </c>
      <c r="G3" s="3184" t="s">
        <v>3096</v>
      </c>
      <c r="H3" s="3184" t="s">
        <v>3097</v>
      </c>
      <c r="I3" s="3184">
        <v>145</v>
      </c>
      <c r="J3" s="3184">
        <v>145</v>
      </c>
      <c r="K3" s="3184">
        <v>419.95</v>
      </c>
      <c r="L3" s="3184">
        <f t="shared" ref="L3:L51" si="0">J3*10000/D3</f>
        <v>2654.1221262263871</v>
      </c>
      <c r="M3" s="3184">
        <v>0</v>
      </c>
      <c r="N3" s="3184" t="s">
        <v>3103</v>
      </c>
      <c r="O3" s="3184" t="s">
        <v>3104</v>
      </c>
      <c r="P3" s="3210">
        <f t="shared" ref="P3:P35" si="1">L3*666.67/10000</f>
        <v>176.94235978913454</v>
      </c>
    </row>
    <row r="4" spans="1:16" hidden="1">
      <c r="A4" s="3184" t="s">
        <v>3105</v>
      </c>
      <c r="B4" s="3184" t="s">
        <v>3093</v>
      </c>
      <c r="C4" s="3184" t="s">
        <v>3094</v>
      </c>
      <c r="D4" s="3184">
        <v>1923</v>
      </c>
      <c r="E4" s="3184">
        <v>5769</v>
      </c>
      <c r="F4" s="3213" t="s">
        <v>3106</v>
      </c>
      <c r="G4" s="3184" t="s">
        <v>3096</v>
      </c>
      <c r="H4" s="3184" t="s">
        <v>3107</v>
      </c>
      <c r="I4" s="3184">
        <v>305</v>
      </c>
      <c r="J4" s="3184">
        <v>305</v>
      </c>
      <c r="K4" s="3184">
        <v>528.69000000000005</v>
      </c>
      <c r="L4" s="3184">
        <f t="shared" si="0"/>
        <v>1586.0634425377016</v>
      </c>
      <c r="M4" s="3184">
        <v>0</v>
      </c>
      <c r="N4" s="3184" t="s">
        <v>3108</v>
      </c>
      <c r="O4" s="3184" t="s">
        <v>3099</v>
      </c>
      <c r="P4" s="3210">
        <f t="shared" si="1"/>
        <v>105.73809152366096</v>
      </c>
    </row>
    <row r="5" spans="1:16" hidden="1">
      <c r="A5" s="3184" t="s">
        <v>3109</v>
      </c>
      <c r="B5" s="3184" t="s">
        <v>3093</v>
      </c>
      <c r="C5" s="3184" t="s">
        <v>3094</v>
      </c>
      <c r="D5" s="3184">
        <v>26825.33</v>
      </c>
      <c r="E5" s="3184">
        <v>61698.26</v>
      </c>
      <c r="F5" s="3213" t="s">
        <v>3110</v>
      </c>
      <c r="G5" s="3184" t="s">
        <v>3096</v>
      </c>
      <c r="H5" s="3184" t="s">
        <v>3107</v>
      </c>
      <c r="I5" s="3184">
        <v>4225</v>
      </c>
      <c r="J5" s="3184">
        <v>4225</v>
      </c>
      <c r="K5" s="3184">
        <v>684.77</v>
      </c>
      <c r="L5" s="3184">
        <f t="shared" si="0"/>
        <v>1575.0039235304839</v>
      </c>
      <c r="M5" s="3184">
        <v>0</v>
      </c>
      <c r="N5" s="3184" t="s">
        <v>3111</v>
      </c>
      <c r="O5" s="3184" t="s">
        <v>3104</v>
      </c>
      <c r="P5" s="3210">
        <f t="shared" si="1"/>
        <v>105.00078657000677</v>
      </c>
    </row>
    <row r="6" spans="1:16" hidden="1">
      <c r="A6" s="3184" t="s">
        <v>3112</v>
      </c>
      <c r="B6" s="3184" t="s">
        <v>3093</v>
      </c>
      <c r="C6" s="3184" t="s">
        <v>3094</v>
      </c>
      <c r="D6" s="3184">
        <v>64809.98</v>
      </c>
      <c r="E6" s="3184">
        <v>155544</v>
      </c>
      <c r="F6" s="3213" t="s">
        <v>3113</v>
      </c>
      <c r="G6" s="3184" t="s">
        <v>3096</v>
      </c>
      <c r="H6" s="3184" t="s">
        <v>3114</v>
      </c>
      <c r="I6" s="3184">
        <v>12152</v>
      </c>
      <c r="J6" s="3184">
        <v>12152</v>
      </c>
      <c r="K6" s="3184">
        <v>781.25</v>
      </c>
      <c r="L6" s="3184">
        <f t="shared" si="0"/>
        <v>1875.0198657675869</v>
      </c>
      <c r="M6" s="3184">
        <v>0</v>
      </c>
      <c r="N6" s="3184" t="s">
        <v>3115</v>
      </c>
      <c r="O6" s="3184" t="s">
        <v>3104</v>
      </c>
      <c r="P6" s="3210">
        <f t="shared" si="1"/>
        <v>125.00194939112771</v>
      </c>
    </row>
    <row r="7" spans="1:16" s="3196" customFormat="1">
      <c r="A7" s="3196" t="s">
        <v>3116</v>
      </c>
      <c r="B7" s="3196" t="s">
        <v>3093</v>
      </c>
      <c r="C7" s="3196" t="s">
        <v>3101</v>
      </c>
      <c r="D7" s="3196">
        <v>19872.919999999998</v>
      </c>
      <c r="E7" s="3196">
        <v>49682.3</v>
      </c>
      <c r="F7" s="3215" t="s">
        <v>3117</v>
      </c>
      <c r="G7" s="3196" t="s">
        <v>3096</v>
      </c>
      <c r="H7" s="3196" t="s">
        <v>3118</v>
      </c>
      <c r="I7" s="3196">
        <v>5730</v>
      </c>
      <c r="J7" s="3196">
        <v>5730</v>
      </c>
      <c r="K7" s="3196">
        <v>1153.32</v>
      </c>
      <c r="L7" s="3196">
        <f t="shared" si="0"/>
        <v>2883.3206192144889</v>
      </c>
      <c r="M7" s="3196">
        <v>0</v>
      </c>
      <c r="N7" s="3196" t="s">
        <v>3119</v>
      </c>
      <c r="O7" s="3196" t="s">
        <v>3104</v>
      </c>
      <c r="P7" s="3212">
        <f t="shared" si="1"/>
        <v>192.22233572117233</v>
      </c>
    </row>
    <row r="8" spans="1:16">
      <c r="A8" s="3184" t="s">
        <v>3120</v>
      </c>
      <c r="B8" s="3184" t="s">
        <v>3093</v>
      </c>
      <c r="C8" s="3184" t="s">
        <v>3094</v>
      </c>
      <c r="D8" s="3184">
        <v>38001.199999999997</v>
      </c>
      <c r="E8" s="3184">
        <v>87402.76</v>
      </c>
      <c r="F8" s="3213" t="s">
        <v>3110</v>
      </c>
      <c r="G8" s="3184" t="s">
        <v>3096</v>
      </c>
      <c r="H8" s="3184" t="s">
        <v>3121</v>
      </c>
      <c r="I8" s="3184">
        <v>5796</v>
      </c>
      <c r="J8" s="3184">
        <v>5796</v>
      </c>
      <c r="K8" s="3184">
        <v>663.13</v>
      </c>
      <c r="L8" s="3184">
        <f t="shared" si="0"/>
        <v>1525.2149932107409</v>
      </c>
      <c r="M8" s="3184">
        <v>0</v>
      </c>
      <c r="N8" s="3184" t="s">
        <v>3122</v>
      </c>
      <c r="O8" s="3184" t="s">
        <v>3104</v>
      </c>
      <c r="P8" s="3210">
        <f t="shared" si="1"/>
        <v>101.68150795238046</v>
      </c>
    </row>
    <row r="9" spans="1:16" s="3186" customFormat="1">
      <c r="A9" s="3186" t="s">
        <v>3209</v>
      </c>
      <c r="B9" s="3186" t="s">
        <v>3093</v>
      </c>
      <c r="C9" s="3186" t="s">
        <v>3101</v>
      </c>
      <c r="D9" s="3186">
        <v>58302.45</v>
      </c>
      <c r="E9" s="3186">
        <v>163246.9</v>
      </c>
      <c r="F9" s="3214" t="s">
        <v>3123</v>
      </c>
      <c r="G9" s="3186" t="s">
        <v>3096</v>
      </c>
      <c r="H9" s="3186" t="s">
        <v>3121</v>
      </c>
      <c r="I9" s="3186">
        <v>26272</v>
      </c>
      <c r="J9" s="3186">
        <v>26272</v>
      </c>
      <c r="K9" s="3186">
        <v>1609.33</v>
      </c>
      <c r="L9" s="3186">
        <f t="shared" si="0"/>
        <v>4506.1571168964601</v>
      </c>
      <c r="M9" s="3186">
        <v>0</v>
      </c>
      <c r="N9" s="3186" t="s">
        <v>3124</v>
      </c>
      <c r="O9" s="3186" t="s">
        <v>3104</v>
      </c>
      <c r="P9" s="3211">
        <f t="shared" si="1"/>
        <v>300.41197651213633</v>
      </c>
    </row>
    <row r="10" spans="1:16">
      <c r="A10" s="3184" t="s">
        <v>3125</v>
      </c>
      <c r="B10" s="3184" t="s">
        <v>3093</v>
      </c>
      <c r="C10" s="3184" t="s">
        <v>3101</v>
      </c>
      <c r="D10" s="3184">
        <v>67878.39</v>
      </c>
      <c r="E10" s="3184">
        <v>135756.79999999999</v>
      </c>
      <c r="F10" s="3213" t="s">
        <v>3126</v>
      </c>
      <c r="G10" s="3184" t="s">
        <v>3096</v>
      </c>
      <c r="H10" s="3184" t="s">
        <v>3121</v>
      </c>
      <c r="I10" s="3184">
        <v>24457</v>
      </c>
      <c r="J10" s="3184">
        <v>24457</v>
      </c>
      <c r="K10" s="3184">
        <v>1801.52</v>
      </c>
      <c r="L10" s="3184">
        <f t="shared" si="0"/>
        <v>3603.0612983012707</v>
      </c>
      <c r="M10" s="3184">
        <v>0</v>
      </c>
      <c r="N10" s="3184" t="s">
        <v>3124</v>
      </c>
      <c r="O10" s="3184" t="s">
        <v>3104</v>
      </c>
      <c r="P10" s="3210">
        <f t="shared" si="1"/>
        <v>240.2052875738508</v>
      </c>
    </row>
    <row r="11" spans="1:16">
      <c r="A11" s="3184" t="s">
        <v>3127</v>
      </c>
      <c r="B11" s="3184" t="s">
        <v>3093</v>
      </c>
      <c r="C11" s="3184" t="s">
        <v>3094</v>
      </c>
      <c r="D11" s="3184">
        <v>40664.53</v>
      </c>
      <c r="E11" s="3184">
        <v>121993.60000000001</v>
      </c>
      <c r="F11" s="3213" t="s">
        <v>3106</v>
      </c>
      <c r="G11" s="3184" t="s">
        <v>3096</v>
      </c>
      <c r="H11" s="3184" t="s">
        <v>3121</v>
      </c>
      <c r="I11" s="3184">
        <v>15860</v>
      </c>
      <c r="J11" s="3184">
        <v>15860</v>
      </c>
      <c r="K11" s="3184">
        <v>1300.06</v>
      </c>
      <c r="L11" s="3184">
        <f t="shared" si="0"/>
        <v>3900.2049206027959</v>
      </c>
      <c r="M11" s="3184">
        <v>0</v>
      </c>
      <c r="N11" s="3184" t="s">
        <v>3124</v>
      </c>
      <c r="O11" s="3184" t="s">
        <v>3128</v>
      </c>
      <c r="P11" s="3210">
        <f t="shared" si="1"/>
        <v>260.01496144182659</v>
      </c>
    </row>
    <row r="12" spans="1:16">
      <c r="A12" s="3184" t="s">
        <v>3129</v>
      </c>
      <c r="B12" s="3184" t="s">
        <v>3093</v>
      </c>
      <c r="C12" s="3184" t="s">
        <v>3101</v>
      </c>
      <c r="D12" s="3184">
        <v>45278.23</v>
      </c>
      <c r="E12" s="3184">
        <v>54333.88</v>
      </c>
      <c r="F12" s="3213" t="s">
        <v>3130</v>
      </c>
      <c r="G12" s="3184" t="s">
        <v>3096</v>
      </c>
      <c r="H12" s="3184" t="s">
        <v>3121</v>
      </c>
      <c r="I12" s="3184">
        <v>16355</v>
      </c>
      <c r="J12" s="3184">
        <v>16355</v>
      </c>
      <c r="K12" s="3184">
        <v>3010.09</v>
      </c>
      <c r="L12" s="3184">
        <f t="shared" si="0"/>
        <v>3612.1111624725609</v>
      </c>
      <c r="M12" s="3184">
        <v>0</v>
      </c>
      <c r="N12" s="3184" t="s">
        <v>3131</v>
      </c>
      <c r="O12" s="3184" t="s">
        <v>3128</v>
      </c>
      <c r="P12" s="3210">
        <f t="shared" si="1"/>
        <v>240.80861486855821</v>
      </c>
    </row>
    <row r="13" spans="1:16" hidden="1">
      <c r="A13" s="3184" t="s">
        <v>3132</v>
      </c>
      <c r="B13" s="3184" t="s">
        <v>3093</v>
      </c>
      <c r="C13" s="3184" t="s">
        <v>3094</v>
      </c>
      <c r="D13" s="3184">
        <v>60240.87</v>
      </c>
      <c r="E13" s="3184">
        <v>138554</v>
      </c>
      <c r="F13" s="3213" t="s">
        <v>3110</v>
      </c>
      <c r="G13" s="3184" t="s">
        <v>3096</v>
      </c>
      <c r="H13" s="3184" t="s">
        <v>3121</v>
      </c>
      <c r="I13" s="3184">
        <v>9187</v>
      </c>
      <c r="J13" s="3184">
        <v>9187</v>
      </c>
      <c r="K13" s="3184">
        <v>663.05</v>
      </c>
      <c r="L13" s="3184">
        <f t="shared" si="0"/>
        <v>1525.0443760191379</v>
      </c>
      <c r="M13" s="3184">
        <v>0</v>
      </c>
      <c r="N13" s="3184" t="s">
        <v>3122</v>
      </c>
      <c r="O13" s="3184" t="s">
        <v>3104</v>
      </c>
      <c r="P13" s="3210">
        <f t="shared" si="1"/>
        <v>101.67013341606786</v>
      </c>
    </row>
    <row r="14" spans="1:16">
      <c r="A14" s="3184" t="s">
        <v>3133</v>
      </c>
      <c r="B14" s="3184" t="s">
        <v>3093</v>
      </c>
      <c r="C14" s="3184" t="s">
        <v>3094</v>
      </c>
      <c r="D14" s="3184">
        <v>22521.06</v>
      </c>
      <c r="E14" s="3184">
        <v>54050.54</v>
      </c>
      <c r="F14" s="3213" t="s">
        <v>3113</v>
      </c>
      <c r="G14" s="3184" t="s">
        <v>3096</v>
      </c>
      <c r="H14" s="3184" t="s">
        <v>3121</v>
      </c>
      <c r="I14" s="3184">
        <v>3440</v>
      </c>
      <c r="J14" s="3184">
        <v>3440</v>
      </c>
      <c r="K14" s="3184">
        <v>636.44000000000005</v>
      </c>
      <c r="L14" s="3184">
        <f t="shared" si="0"/>
        <v>1527.4591870897727</v>
      </c>
      <c r="M14" s="3184">
        <v>0</v>
      </c>
      <c r="N14" s="3184" t="s">
        <v>3122</v>
      </c>
      <c r="O14" s="3184" t="s">
        <v>3104</v>
      </c>
      <c r="P14" s="3210">
        <f t="shared" si="1"/>
        <v>101.83112162571388</v>
      </c>
    </row>
    <row r="15" spans="1:16" s="3196" customFormat="1">
      <c r="A15" s="3196" t="s">
        <v>3134</v>
      </c>
      <c r="B15" s="3196" t="s">
        <v>3093</v>
      </c>
      <c r="C15" s="3196" t="s">
        <v>3101</v>
      </c>
      <c r="D15" s="3196">
        <v>4071.33</v>
      </c>
      <c r="E15" s="3196">
        <v>7328.39</v>
      </c>
      <c r="F15" s="3215" t="s">
        <v>3135</v>
      </c>
      <c r="G15" s="3196" t="s">
        <v>3096</v>
      </c>
      <c r="H15" s="3196" t="s">
        <v>3121</v>
      </c>
      <c r="I15" s="3196">
        <v>1341</v>
      </c>
      <c r="J15" s="3196">
        <v>1341</v>
      </c>
      <c r="K15" s="3196">
        <v>1829.86</v>
      </c>
      <c r="L15" s="3196">
        <f t="shared" si="0"/>
        <v>3293.7639542852089</v>
      </c>
      <c r="M15" s="3196">
        <v>0</v>
      </c>
      <c r="N15" s="3196" t="s">
        <v>3124</v>
      </c>
      <c r="O15" s="3196" t="s">
        <v>3128</v>
      </c>
      <c r="P15" s="3212">
        <f t="shared" si="1"/>
        <v>219.58536154033203</v>
      </c>
    </row>
    <row r="16" spans="1:16" hidden="1">
      <c r="A16" s="3184" t="s">
        <v>3136</v>
      </c>
      <c r="B16" s="3184" t="s">
        <v>3093</v>
      </c>
      <c r="C16" s="3184" t="s">
        <v>3094</v>
      </c>
      <c r="D16" s="3184">
        <v>18424.150000000001</v>
      </c>
      <c r="E16" s="3184">
        <v>46060.38</v>
      </c>
      <c r="F16" s="3213" t="s">
        <v>3117</v>
      </c>
      <c r="G16" s="3184" t="s">
        <v>3096</v>
      </c>
      <c r="H16" s="3184" t="s">
        <v>3121</v>
      </c>
      <c r="I16" s="3184">
        <v>2827</v>
      </c>
      <c r="J16" s="3184">
        <v>2827</v>
      </c>
      <c r="K16" s="3184">
        <v>613.75</v>
      </c>
      <c r="L16" s="3184">
        <f t="shared" si="0"/>
        <v>1534.399144600972</v>
      </c>
      <c r="M16" s="3184">
        <v>0</v>
      </c>
      <c r="N16" s="3184" t="s">
        <v>3122</v>
      </c>
      <c r="O16" s="3184" t="s">
        <v>3104</v>
      </c>
      <c r="P16" s="3210">
        <f t="shared" si="1"/>
        <v>102.293787773113</v>
      </c>
    </row>
    <row r="17" spans="1:16" hidden="1">
      <c r="A17" s="3184" t="s">
        <v>3137</v>
      </c>
      <c r="B17" s="3184" t="s">
        <v>3093</v>
      </c>
      <c r="C17" s="3184" t="s">
        <v>3094</v>
      </c>
      <c r="D17" s="3184">
        <v>48952.42</v>
      </c>
      <c r="E17" s="3184">
        <v>97904.84</v>
      </c>
      <c r="F17" s="3213" t="s">
        <v>3126</v>
      </c>
      <c r="G17" s="3184" t="s">
        <v>3096</v>
      </c>
      <c r="H17" s="3184" t="s">
        <v>3121</v>
      </c>
      <c r="I17" s="3184">
        <v>7461</v>
      </c>
      <c r="J17" s="3184">
        <v>7461</v>
      </c>
      <c r="K17" s="3184">
        <v>762.07</v>
      </c>
      <c r="L17" s="3184">
        <f t="shared" si="0"/>
        <v>1524.133025497003</v>
      </c>
      <c r="M17" s="3184">
        <v>0</v>
      </c>
      <c r="N17" s="3184" t="s">
        <v>3138</v>
      </c>
      <c r="O17" s="3184" t="s">
        <v>3099</v>
      </c>
      <c r="P17" s="3210">
        <f t="shared" si="1"/>
        <v>101.60937641080869</v>
      </c>
    </row>
    <row r="18" spans="1:16" hidden="1">
      <c r="A18" s="3184" t="s">
        <v>3139</v>
      </c>
      <c r="B18" s="3184" t="s">
        <v>3093</v>
      </c>
      <c r="C18" s="3184" t="s">
        <v>3094</v>
      </c>
      <c r="D18" s="3184">
        <v>20586.740000000002</v>
      </c>
      <c r="E18" s="3184">
        <v>51466.85</v>
      </c>
      <c r="F18" s="3213" t="s">
        <v>3117</v>
      </c>
      <c r="G18" s="3184" t="s">
        <v>3096</v>
      </c>
      <c r="H18" s="3184" t="s">
        <v>3121</v>
      </c>
      <c r="I18" s="3184">
        <v>3170</v>
      </c>
      <c r="J18" s="3184">
        <v>3170</v>
      </c>
      <c r="K18" s="3184">
        <v>615.91999999999996</v>
      </c>
      <c r="L18" s="3184">
        <f t="shared" si="0"/>
        <v>1539.8261210857083</v>
      </c>
      <c r="M18" s="3184">
        <v>0</v>
      </c>
      <c r="N18" s="3184" t="s">
        <v>3122</v>
      </c>
      <c r="O18" s="3184" t="s">
        <v>3099</v>
      </c>
      <c r="P18" s="3210">
        <f t="shared" si="1"/>
        <v>102.65558801442091</v>
      </c>
    </row>
    <row r="19" spans="1:16" hidden="1">
      <c r="A19" s="3184" t="s">
        <v>3140</v>
      </c>
      <c r="B19" s="3184" t="s">
        <v>3093</v>
      </c>
      <c r="C19" s="3184" t="s">
        <v>3094</v>
      </c>
      <c r="D19" s="3184">
        <v>37309.29</v>
      </c>
      <c r="E19" s="3184">
        <v>85811.37</v>
      </c>
      <c r="F19" s="3213" t="s">
        <v>3110</v>
      </c>
      <c r="G19" s="3184" t="s">
        <v>3096</v>
      </c>
      <c r="H19" s="3184" t="s">
        <v>3121</v>
      </c>
      <c r="I19" s="3184">
        <v>5690</v>
      </c>
      <c r="J19" s="3184">
        <v>5690</v>
      </c>
      <c r="K19" s="3184">
        <v>663.08</v>
      </c>
      <c r="L19" s="3184">
        <f t="shared" si="0"/>
        <v>1525.0893276178667</v>
      </c>
      <c r="M19" s="3184">
        <v>0</v>
      </c>
      <c r="N19" s="3184" t="s">
        <v>3122</v>
      </c>
      <c r="O19" s="3184" t="s">
        <v>3104</v>
      </c>
      <c r="P19" s="3210">
        <f t="shared" si="1"/>
        <v>101.67313020430032</v>
      </c>
    </row>
    <row r="20" spans="1:16">
      <c r="A20" s="3184" t="s">
        <v>3141</v>
      </c>
      <c r="B20" s="3184" t="s">
        <v>3093</v>
      </c>
      <c r="C20" s="3184" t="s">
        <v>3101</v>
      </c>
      <c r="D20" s="3184">
        <v>44527.92</v>
      </c>
      <c r="E20" s="3184">
        <v>124678.2</v>
      </c>
      <c r="F20" s="3213" t="s">
        <v>3142</v>
      </c>
      <c r="G20" s="3184" t="s">
        <v>3096</v>
      </c>
      <c r="H20" s="3184" t="s">
        <v>3121</v>
      </c>
      <c r="I20" s="3184">
        <v>17393</v>
      </c>
      <c r="J20" s="3184">
        <v>17393</v>
      </c>
      <c r="K20" s="3184">
        <v>1395.02</v>
      </c>
      <c r="L20" s="3184">
        <f t="shared" si="0"/>
        <v>3906.088584420741</v>
      </c>
      <c r="M20" s="3184">
        <v>0</v>
      </c>
      <c r="N20" s="3184" t="s">
        <v>3131</v>
      </c>
      <c r="O20" s="3184" t="s">
        <v>3128</v>
      </c>
      <c r="P20" s="3210">
        <f t="shared" si="1"/>
        <v>260.40720765757754</v>
      </c>
    </row>
    <row r="21" spans="1:16">
      <c r="A21" s="3184" t="s">
        <v>3143</v>
      </c>
      <c r="B21" s="3184" t="s">
        <v>3093</v>
      </c>
      <c r="C21" s="3184" t="s">
        <v>3094</v>
      </c>
      <c r="D21" s="3184">
        <v>16832.490000000002</v>
      </c>
      <c r="E21" s="3184">
        <v>42081.23</v>
      </c>
      <c r="F21" s="3213" t="s">
        <v>3117</v>
      </c>
      <c r="G21" s="3184" t="s">
        <v>3096</v>
      </c>
      <c r="H21" s="3184" t="s">
        <v>3121</v>
      </c>
      <c r="I21" s="3184">
        <v>2600</v>
      </c>
      <c r="J21" s="3184">
        <v>2600</v>
      </c>
      <c r="K21" s="3184">
        <v>617.85</v>
      </c>
      <c r="L21" s="3184">
        <f t="shared" si="0"/>
        <v>1544.6318399713884</v>
      </c>
      <c r="M21" s="3184">
        <v>0</v>
      </c>
      <c r="N21" s="3184" t="s">
        <v>3122</v>
      </c>
      <c r="O21" s="3184" t="s">
        <v>3104</v>
      </c>
      <c r="P21" s="3210">
        <f t="shared" si="1"/>
        <v>102.97597087537255</v>
      </c>
    </row>
    <row r="22" spans="1:16" s="3186" customFormat="1">
      <c r="A22" s="3186" t="s">
        <v>3210</v>
      </c>
      <c r="B22" s="3186" t="s">
        <v>3093</v>
      </c>
      <c r="C22" s="3186" t="s">
        <v>3094</v>
      </c>
      <c r="D22" s="3186">
        <v>44000.88</v>
      </c>
      <c r="E22" s="3186">
        <v>88001.76</v>
      </c>
      <c r="F22" s="3214" t="s">
        <v>3144</v>
      </c>
      <c r="G22" s="3186" t="s">
        <v>3096</v>
      </c>
      <c r="H22" s="3186" t="s">
        <v>3121</v>
      </c>
      <c r="I22" s="3186">
        <v>13548</v>
      </c>
      <c r="J22" s="3186">
        <v>13548</v>
      </c>
      <c r="K22" s="3186">
        <v>1539.5</v>
      </c>
      <c r="L22" s="3186">
        <f t="shared" si="0"/>
        <v>3079.029328504339</v>
      </c>
      <c r="M22" s="3186">
        <v>0</v>
      </c>
      <c r="N22" s="3186" t="s">
        <v>3131</v>
      </c>
      <c r="O22" s="3186" t="s">
        <v>3128</v>
      </c>
      <c r="P22" s="3211">
        <f t="shared" si="1"/>
        <v>205.26964824339876</v>
      </c>
    </row>
    <row r="23" spans="1:16">
      <c r="A23" s="3184" t="s">
        <v>3145</v>
      </c>
      <c r="B23" s="3184" t="s">
        <v>3093</v>
      </c>
      <c r="C23" s="3184" t="s">
        <v>3094</v>
      </c>
      <c r="D23" s="3184">
        <v>67581.41</v>
      </c>
      <c r="E23" s="3184">
        <v>168953.5</v>
      </c>
      <c r="F23" s="3213" t="s">
        <v>3117</v>
      </c>
      <c r="G23" s="3184" t="s">
        <v>3096</v>
      </c>
      <c r="H23" s="3184" t="s">
        <v>3121</v>
      </c>
      <c r="I23" s="3184">
        <v>10246</v>
      </c>
      <c r="J23" s="3184">
        <v>10246</v>
      </c>
      <c r="K23" s="3184">
        <v>606.44000000000005</v>
      </c>
      <c r="L23" s="3184">
        <f t="shared" si="0"/>
        <v>1516.0974001578245</v>
      </c>
      <c r="M23" s="3184">
        <v>0</v>
      </c>
      <c r="N23" s="3184" t="s">
        <v>3138</v>
      </c>
      <c r="O23" s="3184" t="s">
        <v>3099</v>
      </c>
      <c r="P23" s="3210">
        <f t="shared" si="1"/>
        <v>101.07366537632169</v>
      </c>
    </row>
    <row r="24" spans="1:16">
      <c r="A24" s="3184" t="s">
        <v>3146</v>
      </c>
      <c r="B24" s="3184" t="s">
        <v>3093</v>
      </c>
      <c r="C24" s="3184" t="s">
        <v>3094</v>
      </c>
      <c r="D24" s="3184">
        <v>36239.949999999997</v>
      </c>
      <c r="E24" s="3184">
        <v>90599.88</v>
      </c>
      <c r="F24" s="3213" t="s">
        <v>3117</v>
      </c>
      <c r="G24" s="3184" t="s">
        <v>3096</v>
      </c>
      <c r="H24" s="3184" t="s">
        <v>3121</v>
      </c>
      <c r="I24" s="3184">
        <v>5560</v>
      </c>
      <c r="J24" s="3184">
        <v>5560</v>
      </c>
      <c r="K24" s="3184">
        <v>613.69000000000005</v>
      </c>
      <c r="L24" s="3184">
        <f t="shared" si="0"/>
        <v>1534.2184522881516</v>
      </c>
      <c r="M24" s="3184">
        <v>0</v>
      </c>
      <c r="N24" s="3184" t="s">
        <v>3122</v>
      </c>
      <c r="O24" s="3184" t="s">
        <v>3104</v>
      </c>
      <c r="P24" s="3210">
        <f t="shared" si="1"/>
        <v>102.28174155869419</v>
      </c>
    </row>
    <row r="25" spans="1:16">
      <c r="A25" s="3184" t="s">
        <v>3147</v>
      </c>
      <c r="B25" s="3184" t="s">
        <v>3093</v>
      </c>
      <c r="C25" s="3184" t="s">
        <v>3101</v>
      </c>
      <c r="D25" s="3184">
        <v>42077.65</v>
      </c>
      <c r="E25" s="3184">
        <v>92570.83</v>
      </c>
      <c r="F25" s="3213" t="s">
        <v>3148</v>
      </c>
      <c r="G25" s="3184" t="s">
        <v>3096</v>
      </c>
      <c r="H25" s="3184" t="s">
        <v>3121</v>
      </c>
      <c r="I25" s="3184">
        <v>7583</v>
      </c>
      <c r="J25" s="3184">
        <v>7583</v>
      </c>
      <c r="K25" s="3184">
        <v>819.15</v>
      </c>
      <c r="L25" s="3184">
        <f t="shared" si="0"/>
        <v>1802.1443688038662</v>
      </c>
      <c r="M25" s="3184">
        <v>0</v>
      </c>
      <c r="N25" s="3184" t="s">
        <v>3138</v>
      </c>
      <c r="O25" s="3184" t="s">
        <v>3099</v>
      </c>
      <c r="P25" s="3210">
        <f t="shared" si="1"/>
        <v>120.14355863504733</v>
      </c>
    </row>
    <row r="26" spans="1:16" s="3186" customFormat="1">
      <c r="A26" s="3186" t="s">
        <v>3208</v>
      </c>
      <c r="B26" s="3209" t="s">
        <v>3203</v>
      </c>
      <c r="C26" s="3186" t="s">
        <v>3101</v>
      </c>
      <c r="D26" s="3186">
        <v>41578.15</v>
      </c>
      <c r="E26" s="3186">
        <v>103945.4</v>
      </c>
      <c r="F26" s="3214" t="s">
        <v>3117</v>
      </c>
      <c r="G26" s="3186" t="s">
        <v>3096</v>
      </c>
      <c r="H26" s="3186" t="s">
        <v>3121</v>
      </c>
      <c r="I26" s="3186">
        <v>16224</v>
      </c>
      <c r="J26" s="3186">
        <v>16224</v>
      </c>
      <c r="K26" s="3186">
        <v>1560.81</v>
      </c>
      <c r="L26" s="3186">
        <f t="shared" si="0"/>
        <v>3902.0495139875147</v>
      </c>
      <c r="M26" s="3186">
        <v>0</v>
      </c>
      <c r="N26" s="3186" t="s">
        <v>3124</v>
      </c>
      <c r="O26" s="3186" t="s">
        <v>3104</v>
      </c>
      <c r="P26" s="3211">
        <f t="shared" si="1"/>
        <v>260.13793494900563</v>
      </c>
    </row>
    <row r="27" spans="1:16">
      <c r="A27" s="3184" t="s">
        <v>3149</v>
      </c>
      <c r="B27" s="3184" t="s">
        <v>3093</v>
      </c>
      <c r="C27" s="3184" t="s">
        <v>3101</v>
      </c>
      <c r="D27" s="3184">
        <v>2818.46</v>
      </c>
      <c r="E27" s="3184">
        <v>7891.69</v>
      </c>
      <c r="F27" s="3213" t="s">
        <v>3123</v>
      </c>
      <c r="G27" s="3184" t="s">
        <v>3096</v>
      </c>
      <c r="H27" s="3184" t="s">
        <v>3121</v>
      </c>
      <c r="I27" s="3184">
        <v>1100</v>
      </c>
      <c r="J27" s="3184">
        <v>1100</v>
      </c>
      <c r="K27" s="3184">
        <v>1393.86</v>
      </c>
      <c r="L27" s="3184">
        <f t="shared" si="0"/>
        <v>3902.840558319082</v>
      </c>
      <c r="M27" s="3184">
        <v>0</v>
      </c>
      <c r="N27" s="3184" t="s">
        <v>3124</v>
      </c>
      <c r="O27" s="3184" t="s">
        <v>3128</v>
      </c>
      <c r="P27" s="3210">
        <f t="shared" si="1"/>
        <v>260.19067150145821</v>
      </c>
    </row>
    <row r="28" spans="1:16">
      <c r="A28" s="3184" t="s">
        <v>3150</v>
      </c>
      <c r="B28" s="3184" t="s">
        <v>3093</v>
      </c>
      <c r="C28" s="3184" t="s">
        <v>3094</v>
      </c>
      <c r="D28" s="3184">
        <v>62966.400000000001</v>
      </c>
      <c r="E28" s="3184">
        <v>157416</v>
      </c>
      <c r="F28" s="3213" t="s">
        <v>3117</v>
      </c>
      <c r="G28" s="3184" t="s">
        <v>3096</v>
      </c>
      <c r="H28" s="3184" t="s">
        <v>3121</v>
      </c>
      <c r="I28" s="3184">
        <v>9564</v>
      </c>
      <c r="J28" s="3184">
        <v>9564</v>
      </c>
      <c r="K28" s="3184">
        <v>607.54999999999995</v>
      </c>
      <c r="L28" s="3184">
        <f t="shared" si="0"/>
        <v>1518.9053209330691</v>
      </c>
      <c r="M28" s="3184">
        <v>0</v>
      </c>
      <c r="N28" s="3184" t="s">
        <v>3138</v>
      </c>
      <c r="O28" s="3184" t="s">
        <v>3099</v>
      </c>
      <c r="P28" s="3210">
        <f t="shared" si="1"/>
        <v>101.26086103064492</v>
      </c>
    </row>
    <row r="29" spans="1:16">
      <c r="A29" s="3184" t="s">
        <v>3151</v>
      </c>
      <c r="B29" s="3184" t="s">
        <v>3093</v>
      </c>
      <c r="C29" s="3184" t="s">
        <v>3101</v>
      </c>
      <c r="D29" s="3184">
        <v>10759.27</v>
      </c>
      <c r="E29" s="3184">
        <v>37657.449999999997</v>
      </c>
      <c r="F29" s="3213" t="s">
        <v>3152</v>
      </c>
      <c r="G29" s="3184" t="s">
        <v>3096</v>
      </c>
      <c r="H29" s="3184" t="s">
        <v>3121</v>
      </c>
      <c r="I29" s="3184">
        <v>5322</v>
      </c>
      <c r="J29" s="3184">
        <v>5322</v>
      </c>
      <c r="K29" s="3184">
        <v>1413.26</v>
      </c>
      <c r="L29" s="3184">
        <f t="shared" si="0"/>
        <v>4946.4322393619641</v>
      </c>
      <c r="M29" s="3184">
        <v>0</v>
      </c>
      <c r="N29" s="3184" t="s">
        <v>3124</v>
      </c>
      <c r="O29" s="3184" t="s">
        <v>3128</v>
      </c>
      <c r="P29" s="3210">
        <f t="shared" si="1"/>
        <v>329.76379810154407</v>
      </c>
    </row>
    <row r="30" spans="1:16">
      <c r="A30" s="3184" t="s">
        <v>3153</v>
      </c>
      <c r="B30" s="3184" t="s">
        <v>3093</v>
      </c>
      <c r="C30" s="3184" t="s">
        <v>3094</v>
      </c>
      <c r="D30" s="3184">
        <v>23466.880000000001</v>
      </c>
      <c r="E30" s="3184">
        <v>46933.760000000002</v>
      </c>
      <c r="F30" s="3213" t="s">
        <v>3126</v>
      </c>
      <c r="G30" s="3184" t="s">
        <v>3096</v>
      </c>
      <c r="H30" s="3184" t="s">
        <v>3121</v>
      </c>
      <c r="I30" s="3184">
        <v>3560</v>
      </c>
      <c r="J30" s="3184">
        <v>3560</v>
      </c>
      <c r="K30" s="3184">
        <v>758.51</v>
      </c>
      <c r="L30" s="3184">
        <f t="shared" si="0"/>
        <v>1517.0316633485149</v>
      </c>
      <c r="M30" s="3184">
        <v>0</v>
      </c>
      <c r="N30" s="3184" t="s">
        <v>3122</v>
      </c>
      <c r="O30" s="3184" t="s">
        <v>3104</v>
      </c>
      <c r="P30" s="3210">
        <f t="shared" si="1"/>
        <v>101.13594990045543</v>
      </c>
    </row>
    <row r="31" spans="1:16">
      <c r="A31" s="3184" t="s">
        <v>3154</v>
      </c>
      <c r="B31" s="3184" t="s">
        <v>3093</v>
      </c>
      <c r="C31" s="3184" t="s">
        <v>3101</v>
      </c>
      <c r="D31" s="3184">
        <v>32165.14</v>
      </c>
      <c r="E31" s="3184">
        <v>38598.17</v>
      </c>
      <c r="F31" s="3213" t="s">
        <v>3130</v>
      </c>
      <c r="G31" s="3184" t="s">
        <v>3096</v>
      </c>
      <c r="H31" s="3184" t="s">
        <v>3121</v>
      </c>
      <c r="I31" s="3184">
        <v>11590</v>
      </c>
      <c r="J31" s="3184">
        <v>11590</v>
      </c>
      <c r="K31" s="3184">
        <v>3002.73</v>
      </c>
      <c r="L31" s="3184">
        <f t="shared" si="0"/>
        <v>3603.2798240579709</v>
      </c>
      <c r="M31" s="3184">
        <v>0</v>
      </c>
      <c r="N31" s="3184" t="s">
        <v>3131</v>
      </c>
      <c r="O31" s="3184" t="s">
        <v>3128</v>
      </c>
      <c r="P31" s="3210">
        <f t="shared" si="1"/>
        <v>240.21985603047273</v>
      </c>
    </row>
    <row r="32" spans="1:16">
      <c r="A32" s="3184" t="s">
        <v>3155</v>
      </c>
      <c r="B32" s="3184" t="s">
        <v>3093</v>
      </c>
      <c r="C32" s="3184" t="s">
        <v>3101</v>
      </c>
      <c r="D32" s="3184">
        <v>47522.95</v>
      </c>
      <c r="E32" s="3184">
        <v>118807.4</v>
      </c>
      <c r="F32" s="3213" t="s">
        <v>3117</v>
      </c>
      <c r="G32" s="3184" t="s">
        <v>3096</v>
      </c>
      <c r="H32" s="3184" t="s">
        <v>3121</v>
      </c>
      <c r="I32" s="3184">
        <v>18544</v>
      </c>
      <c r="J32" s="3184">
        <v>18544</v>
      </c>
      <c r="K32" s="3184">
        <v>1560.84</v>
      </c>
      <c r="L32" s="3184">
        <f t="shared" si="0"/>
        <v>3902.1146624946477</v>
      </c>
      <c r="M32" s="3184">
        <v>0</v>
      </c>
      <c r="N32" s="3184" t="s">
        <v>3124</v>
      </c>
      <c r="O32" s="3184" t="s">
        <v>3104</v>
      </c>
      <c r="P32" s="3210">
        <f t="shared" si="1"/>
        <v>260.14227820453067</v>
      </c>
    </row>
    <row r="33" spans="1:16">
      <c r="A33" s="3184" t="s">
        <v>3156</v>
      </c>
      <c r="B33" s="3184" t="s">
        <v>3093</v>
      </c>
      <c r="C33" s="3184" t="s">
        <v>3094</v>
      </c>
      <c r="D33" s="3184">
        <v>32005</v>
      </c>
      <c r="E33" s="3184">
        <v>76812</v>
      </c>
      <c r="F33" s="3213" t="s">
        <v>3113</v>
      </c>
      <c r="G33" s="3184" t="s">
        <v>3096</v>
      </c>
      <c r="H33" s="3184" t="s">
        <v>3121</v>
      </c>
      <c r="I33" s="3184">
        <v>4900</v>
      </c>
      <c r="J33" s="3184">
        <v>4900</v>
      </c>
      <c r="K33" s="3184">
        <v>637.91</v>
      </c>
      <c r="L33" s="3184">
        <f t="shared" si="0"/>
        <v>1531.0107795656929</v>
      </c>
      <c r="M33" s="3184">
        <v>0</v>
      </c>
      <c r="N33" s="3184" t="s">
        <v>3122</v>
      </c>
      <c r="O33" s="3184" t="s">
        <v>3104</v>
      </c>
      <c r="P33" s="3210">
        <f t="shared" si="1"/>
        <v>102.06789564130604</v>
      </c>
    </row>
    <row r="34" spans="1:16">
      <c r="A34" s="3184" t="s">
        <v>3157</v>
      </c>
      <c r="B34" s="3184" t="s">
        <v>3093</v>
      </c>
      <c r="C34" s="3184" t="s">
        <v>3094</v>
      </c>
      <c r="D34" s="3184">
        <v>19515.29</v>
      </c>
      <c r="E34" s="3184">
        <v>48788.23</v>
      </c>
      <c r="F34" s="3213" t="s">
        <v>3117</v>
      </c>
      <c r="G34" s="3184" t="s">
        <v>3096</v>
      </c>
      <c r="H34" s="3184" t="s">
        <v>3121</v>
      </c>
      <c r="I34" s="3184">
        <v>3010</v>
      </c>
      <c r="J34" s="3184">
        <v>3010</v>
      </c>
      <c r="K34" s="3184">
        <v>616.95000000000005</v>
      </c>
      <c r="L34" s="3184">
        <f t="shared" si="0"/>
        <v>1542.3803591952772</v>
      </c>
      <c r="M34" s="3184">
        <v>0</v>
      </c>
      <c r="N34" s="3184" t="s">
        <v>3122</v>
      </c>
      <c r="O34" s="3184" t="s">
        <v>3099</v>
      </c>
      <c r="P34" s="3210">
        <f t="shared" si="1"/>
        <v>102.82587140647153</v>
      </c>
    </row>
    <row r="35" spans="1:16">
      <c r="A35" s="3184" t="s">
        <v>3158</v>
      </c>
      <c r="B35" s="3184" t="s">
        <v>3093</v>
      </c>
      <c r="C35" s="3184" t="s">
        <v>3094</v>
      </c>
      <c r="D35" s="3184">
        <v>59250.61</v>
      </c>
      <c r="E35" s="3184">
        <v>136276.4</v>
      </c>
      <c r="F35" s="3213" t="s">
        <v>3110</v>
      </c>
      <c r="G35" s="3184" t="s">
        <v>3096</v>
      </c>
      <c r="H35" s="3184" t="s">
        <v>3121</v>
      </c>
      <c r="I35" s="3184">
        <v>9030</v>
      </c>
      <c r="J35" s="3184">
        <v>9030</v>
      </c>
      <c r="K35" s="3184">
        <v>662.62</v>
      </c>
      <c r="L35" s="3184">
        <f t="shared" si="0"/>
        <v>1524.0349424250653</v>
      </c>
      <c r="M35" s="3184">
        <v>0</v>
      </c>
      <c r="N35" s="3184" t="s">
        <v>3122</v>
      </c>
      <c r="O35" s="3184" t="s">
        <v>3104</v>
      </c>
      <c r="P35" s="3210">
        <f t="shared" si="1"/>
        <v>101.60283750665182</v>
      </c>
    </row>
    <row r="36" spans="1:16">
      <c r="A36" s="3184" t="s">
        <v>3159</v>
      </c>
      <c r="B36" s="3184" t="s">
        <v>3093</v>
      </c>
      <c r="C36" s="3184" t="s">
        <v>3094</v>
      </c>
      <c r="D36" s="3184">
        <v>68079.98</v>
      </c>
      <c r="E36" s="3184">
        <v>170200</v>
      </c>
      <c r="F36" s="3213" t="s">
        <v>3117</v>
      </c>
      <c r="G36" s="3184" t="s">
        <v>3096</v>
      </c>
      <c r="H36" s="3184" t="s">
        <v>3121</v>
      </c>
      <c r="I36" s="3184">
        <v>10274</v>
      </c>
      <c r="J36" s="3184">
        <v>10274</v>
      </c>
      <c r="K36" s="3184">
        <v>603.63</v>
      </c>
      <c r="L36" s="3184">
        <f t="shared" si="0"/>
        <v>1509.1073763535185</v>
      </c>
      <c r="M36" s="3184">
        <v>0</v>
      </c>
      <c r="N36" s="3184" t="s">
        <v>3138</v>
      </c>
      <c r="O36" s="3184" t="s">
        <v>3099</v>
      </c>
    </row>
    <row r="37" spans="1:16">
      <c r="A37" s="3184" t="s">
        <v>3160</v>
      </c>
      <c r="B37" s="3184" t="s">
        <v>3093</v>
      </c>
      <c r="C37" s="3184" t="s">
        <v>3094</v>
      </c>
      <c r="D37" s="3184">
        <v>10471.49</v>
      </c>
      <c r="E37" s="3184">
        <v>20942.98</v>
      </c>
      <c r="F37" s="3213" t="s">
        <v>3126</v>
      </c>
      <c r="G37" s="3184" t="s">
        <v>3096</v>
      </c>
      <c r="H37" s="3184" t="s">
        <v>3121</v>
      </c>
      <c r="I37" s="3184">
        <v>1586</v>
      </c>
      <c r="J37" s="3184">
        <v>1586</v>
      </c>
      <c r="K37" s="3184">
        <v>757.28</v>
      </c>
      <c r="L37" s="3184">
        <f t="shared" si="0"/>
        <v>1514.5886593025443</v>
      </c>
      <c r="M37" s="3184">
        <v>0</v>
      </c>
      <c r="N37" s="3184" t="s">
        <v>3122</v>
      </c>
      <c r="O37" s="3184" t="s">
        <v>3104</v>
      </c>
    </row>
    <row r="38" spans="1:16">
      <c r="A38" s="3184" t="s">
        <v>3161</v>
      </c>
      <c r="B38" s="3184" t="s">
        <v>3093</v>
      </c>
      <c r="C38" s="3184" t="s">
        <v>3101</v>
      </c>
      <c r="D38" s="3184">
        <v>24916.22</v>
      </c>
      <c r="E38" s="3184">
        <v>69765.42</v>
      </c>
      <c r="F38" s="3213" t="s">
        <v>3123</v>
      </c>
      <c r="G38" s="3184" t="s">
        <v>3096</v>
      </c>
      <c r="H38" s="3184" t="s">
        <v>3121</v>
      </c>
      <c r="I38" s="3184">
        <v>4530</v>
      </c>
      <c r="J38" s="3184">
        <v>4530</v>
      </c>
      <c r="K38" s="3184">
        <v>649.32000000000005</v>
      </c>
      <c r="L38" s="3184">
        <f t="shared" si="0"/>
        <v>1818.0927925664487</v>
      </c>
      <c r="M38" s="3184">
        <v>0</v>
      </c>
      <c r="N38" s="3184" t="s">
        <v>3122</v>
      </c>
      <c r="O38" s="3184" t="s">
        <v>3104</v>
      </c>
    </row>
    <row r="39" spans="1:16">
      <c r="A39" s="3184" t="s">
        <v>3162</v>
      </c>
      <c r="B39" s="3184" t="s">
        <v>3093</v>
      </c>
      <c r="C39" s="3184" t="s">
        <v>3101</v>
      </c>
      <c r="D39" s="3184">
        <v>21670.44</v>
      </c>
      <c r="E39" s="3184">
        <v>47674.97</v>
      </c>
      <c r="F39" s="3213" t="s">
        <v>3148</v>
      </c>
      <c r="G39" s="3184" t="s">
        <v>3096</v>
      </c>
      <c r="H39" s="3184" t="s">
        <v>3121</v>
      </c>
      <c r="I39" s="3184">
        <v>3901</v>
      </c>
      <c r="J39" s="3184">
        <v>3901</v>
      </c>
      <c r="K39" s="3184">
        <v>818.25</v>
      </c>
      <c r="L39" s="3184">
        <f t="shared" si="0"/>
        <v>1800.1480357574651</v>
      </c>
      <c r="M39" s="3184">
        <v>0</v>
      </c>
      <c r="N39" s="3184" t="s">
        <v>3138</v>
      </c>
      <c r="O39" s="3184" t="s">
        <v>3099</v>
      </c>
    </row>
    <row r="40" spans="1:16">
      <c r="A40" s="3184" t="s">
        <v>3163</v>
      </c>
      <c r="B40" s="3184" t="s">
        <v>3093</v>
      </c>
      <c r="C40" s="3184" t="s">
        <v>3094</v>
      </c>
      <c r="D40" s="3184">
        <v>65624.69</v>
      </c>
      <c r="E40" s="3184">
        <v>150936.79999999999</v>
      </c>
      <c r="F40" s="3213" t="s">
        <v>3110</v>
      </c>
      <c r="G40" s="3184" t="s">
        <v>3096</v>
      </c>
      <c r="H40" s="3184" t="s">
        <v>3121</v>
      </c>
      <c r="I40" s="3184">
        <v>10010</v>
      </c>
      <c r="J40" s="3184">
        <v>10010</v>
      </c>
      <c r="K40" s="3184">
        <v>663.19</v>
      </c>
      <c r="L40" s="3184">
        <f t="shared" si="0"/>
        <v>1525.3405387514972</v>
      </c>
      <c r="M40" s="3184">
        <v>0</v>
      </c>
      <c r="N40" s="3184" t="s">
        <v>3122</v>
      </c>
      <c r="O40" s="3184" t="s">
        <v>3104</v>
      </c>
    </row>
    <row r="41" spans="1:16">
      <c r="A41" s="3184" t="s">
        <v>3164</v>
      </c>
      <c r="B41" s="3184" t="s">
        <v>3093</v>
      </c>
      <c r="C41" s="3184" t="s">
        <v>3101</v>
      </c>
      <c r="D41" s="3184">
        <v>42823.64</v>
      </c>
      <c r="E41" s="3184">
        <v>111341.5</v>
      </c>
      <c r="F41" s="3213" t="s">
        <v>3165</v>
      </c>
      <c r="G41" s="3184" t="s">
        <v>3096</v>
      </c>
      <c r="H41" s="3184" t="s">
        <v>3121</v>
      </c>
      <c r="I41" s="3184">
        <v>16081</v>
      </c>
      <c r="J41" s="3184">
        <v>16081</v>
      </c>
      <c r="K41" s="3184">
        <v>1444.29</v>
      </c>
      <c r="L41" s="3184">
        <f t="shared" si="0"/>
        <v>3755.1688740144464</v>
      </c>
      <c r="M41" s="3184">
        <v>0</v>
      </c>
      <c r="N41" s="3184" t="s">
        <v>3124</v>
      </c>
      <c r="O41" s="3184" t="s">
        <v>3104</v>
      </c>
    </row>
    <row r="42" spans="1:16">
      <c r="A42" s="3184" t="s">
        <v>3166</v>
      </c>
      <c r="B42" s="3184" t="s">
        <v>3093</v>
      </c>
      <c r="C42" s="3184" t="s">
        <v>3094</v>
      </c>
      <c r="D42" s="3184">
        <v>30917.99</v>
      </c>
      <c r="E42" s="3184">
        <v>77294.98</v>
      </c>
      <c r="F42" s="3213" t="s">
        <v>3117</v>
      </c>
      <c r="G42" s="3184" t="s">
        <v>3096</v>
      </c>
      <c r="H42" s="3184" t="s">
        <v>3121</v>
      </c>
      <c r="I42" s="3184">
        <v>5102</v>
      </c>
      <c r="J42" s="3184">
        <v>5102</v>
      </c>
      <c r="K42" s="3184">
        <v>660.07</v>
      </c>
      <c r="L42" s="3184">
        <f t="shared" si="0"/>
        <v>1650.1719549039249</v>
      </c>
      <c r="M42" s="3184">
        <v>0</v>
      </c>
      <c r="N42" s="3184" t="s">
        <v>3138</v>
      </c>
      <c r="O42" s="3184" t="s">
        <v>3099</v>
      </c>
    </row>
    <row r="43" spans="1:16">
      <c r="A43" s="3184" t="s">
        <v>3167</v>
      </c>
      <c r="B43" s="3184" t="s">
        <v>3093</v>
      </c>
      <c r="C43" s="3184" t="s">
        <v>3101</v>
      </c>
      <c r="D43" s="3184">
        <v>17178.22</v>
      </c>
      <c r="E43" s="3184">
        <v>60123.77</v>
      </c>
      <c r="F43" s="3213" t="s">
        <v>3152</v>
      </c>
      <c r="G43" s="3184" t="s">
        <v>3096</v>
      </c>
      <c r="H43" s="3184" t="s">
        <v>3121</v>
      </c>
      <c r="I43" s="3184">
        <v>7609</v>
      </c>
      <c r="J43" s="3184">
        <v>7609</v>
      </c>
      <c r="K43" s="3184">
        <v>1265.55</v>
      </c>
      <c r="L43" s="3184">
        <f t="shared" si="0"/>
        <v>4429.4461242200878</v>
      </c>
      <c r="M43" s="3184">
        <v>0</v>
      </c>
      <c r="N43" s="3184" t="s">
        <v>3124</v>
      </c>
      <c r="O43" s="3184" t="s">
        <v>3128</v>
      </c>
    </row>
    <row r="44" spans="1:16">
      <c r="A44" s="3184" t="s">
        <v>3168</v>
      </c>
      <c r="B44" s="3184" t="s">
        <v>3093</v>
      </c>
      <c r="C44" s="3184" t="s">
        <v>3094</v>
      </c>
      <c r="D44" s="3184">
        <v>16451.07</v>
      </c>
      <c r="E44" s="3184">
        <v>36192.35</v>
      </c>
      <c r="F44" s="3213" t="s">
        <v>3148</v>
      </c>
      <c r="G44" s="3184" t="s">
        <v>3096</v>
      </c>
      <c r="H44" s="3184" t="s">
        <v>3121</v>
      </c>
      <c r="I44" s="3184">
        <v>2536</v>
      </c>
      <c r="J44" s="3184">
        <v>2536</v>
      </c>
      <c r="K44" s="3184">
        <v>700.7</v>
      </c>
      <c r="L44" s="3184">
        <f t="shared" si="0"/>
        <v>1541.5410669336402</v>
      </c>
      <c r="M44" s="3184">
        <v>0</v>
      </c>
      <c r="N44" s="3184" t="s">
        <v>3138</v>
      </c>
      <c r="O44" s="3184" t="s">
        <v>3099</v>
      </c>
    </row>
    <row r="45" spans="1:16">
      <c r="A45" s="3184" t="s">
        <v>3169</v>
      </c>
      <c r="B45" s="3184" t="s">
        <v>3093</v>
      </c>
      <c r="C45" s="3184" t="s">
        <v>3094</v>
      </c>
      <c r="D45" s="3184">
        <v>50367.62</v>
      </c>
      <c r="E45" s="3184">
        <v>110808.8</v>
      </c>
      <c r="F45" s="3213" t="s">
        <v>3170</v>
      </c>
      <c r="G45" s="3184" t="s">
        <v>3096</v>
      </c>
      <c r="H45" s="3184" t="s">
        <v>3171</v>
      </c>
      <c r="I45" s="3184">
        <v>7703</v>
      </c>
      <c r="J45" s="3184">
        <v>7703</v>
      </c>
      <c r="K45" s="3184">
        <v>695.15</v>
      </c>
      <c r="L45" s="3184">
        <f t="shared" si="0"/>
        <v>1529.3555661355449</v>
      </c>
      <c r="M45" s="3184">
        <v>0</v>
      </c>
      <c r="N45" s="3184" t="s">
        <v>3172</v>
      </c>
      <c r="O45" s="3184" t="s">
        <v>3099</v>
      </c>
    </row>
    <row r="46" spans="1:16">
      <c r="A46" s="3184" t="s">
        <v>3173</v>
      </c>
      <c r="B46" s="3184" t="s">
        <v>3093</v>
      </c>
      <c r="C46" s="3184" t="s">
        <v>3094</v>
      </c>
      <c r="D46" s="3184">
        <v>35975.42</v>
      </c>
      <c r="E46" s="3184">
        <v>79145.919999999998</v>
      </c>
      <c r="F46" s="3213" t="s">
        <v>3170</v>
      </c>
      <c r="G46" s="3184" t="s">
        <v>3096</v>
      </c>
      <c r="H46" s="3184" t="s">
        <v>3171</v>
      </c>
      <c r="I46" s="3184">
        <v>5480</v>
      </c>
      <c r="J46" s="3184">
        <v>5480</v>
      </c>
      <c r="K46" s="3184">
        <v>692.38</v>
      </c>
      <c r="L46" s="3184">
        <f t="shared" si="0"/>
        <v>1523.2622718511695</v>
      </c>
      <c r="M46" s="3184">
        <v>0</v>
      </c>
      <c r="N46" s="3184" t="s">
        <v>3172</v>
      </c>
      <c r="O46" s="3184" t="s">
        <v>3099</v>
      </c>
    </row>
    <row r="47" spans="1:16">
      <c r="A47" s="3184" t="s">
        <v>3174</v>
      </c>
      <c r="B47" s="3184" t="s">
        <v>3093</v>
      </c>
      <c r="C47" s="3184" t="s">
        <v>3094</v>
      </c>
      <c r="D47" s="3184">
        <v>46809.81</v>
      </c>
      <c r="E47" s="3184">
        <v>102981.6</v>
      </c>
      <c r="F47" s="3213" t="s">
        <v>3170</v>
      </c>
      <c r="G47" s="3184" t="s">
        <v>3096</v>
      </c>
      <c r="H47" s="3184" t="s">
        <v>3171</v>
      </c>
      <c r="I47" s="3184">
        <v>7114</v>
      </c>
      <c r="J47" s="3184">
        <v>7114</v>
      </c>
      <c r="K47" s="3184">
        <v>690.79</v>
      </c>
      <c r="L47" s="3184">
        <f t="shared" si="0"/>
        <v>1519.7669035614545</v>
      </c>
      <c r="M47" s="3184">
        <v>0</v>
      </c>
      <c r="N47" s="3184" t="s">
        <v>3172</v>
      </c>
      <c r="O47" s="3184" t="s">
        <v>3099</v>
      </c>
    </row>
    <row r="48" spans="1:16">
      <c r="A48" s="3184" t="s">
        <v>3175</v>
      </c>
      <c r="B48" s="3184" t="s">
        <v>3093</v>
      </c>
      <c r="C48" s="3184" t="s">
        <v>3101</v>
      </c>
      <c r="D48" s="3184">
        <v>13895.94</v>
      </c>
      <c r="E48" s="3184">
        <v>31960.66</v>
      </c>
      <c r="F48" s="3213" t="s">
        <v>3110</v>
      </c>
      <c r="G48" s="3184" t="s">
        <v>3096</v>
      </c>
      <c r="H48" s="3184" t="s">
        <v>3176</v>
      </c>
      <c r="I48" s="3184">
        <v>2673</v>
      </c>
      <c r="J48" s="3184">
        <v>2673</v>
      </c>
      <c r="K48" s="3184">
        <v>836.34</v>
      </c>
      <c r="L48" s="3184">
        <f t="shared" si="0"/>
        <v>1923.583435161637</v>
      </c>
      <c r="M48" s="3184">
        <v>0</v>
      </c>
      <c r="N48" s="3184" t="s">
        <v>3177</v>
      </c>
      <c r="O48" s="3184" t="s">
        <v>3099</v>
      </c>
    </row>
    <row r="49" spans="1:15">
      <c r="A49" s="3184" t="s">
        <v>3178</v>
      </c>
      <c r="B49" s="3184" t="s">
        <v>3093</v>
      </c>
      <c r="C49" s="3184" t="s">
        <v>3101</v>
      </c>
      <c r="D49" s="3184">
        <v>26484.62</v>
      </c>
      <c r="E49" s="3184">
        <v>79453.86</v>
      </c>
      <c r="F49" s="3213" t="s">
        <v>3106</v>
      </c>
      <c r="G49" s="3184" t="s">
        <v>3096</v>
      </c>
      <c r="H49" s="3184" t="s">
        <v>3176</v>
      </c>
      <c r="I49" s="3184">
        <v>4807</v>
      </c>
      <c r="J49" s="3184">
        <v>4807</v>
      </c>
      <c r="K49" s="3184">
        <v>605</v>
      </c>
      <c r="L49" s="3184">
        <f t="shared" si="0"/>
        <v>1815.0156581442363</v>
      </c>
      <c r="M49" s="3184">
        <v>0</v>
      </c>
      <c r="N49" s="3184" t="s">
        <v>3179</v>
      </c>
      <c r="O49" s="3184" t="s">
        <v>3099</v>
      </c>
    </row>
    <row r="50" spans="1:15">
      <c r="A50" s="3184" t="s">
        <v>3180</v>
      </c>
      <c r="B50" s="3184" t="s">
        <v>3093</v>
      </c>
      <c r="C50" s="3184" t="s">
        <v>3101</v>
      </c>
      <c r="D50" s="3184">
        <v>1003.79</v>
      </c>
      <c r="E50" s="3184">
        <v>2208.34</v>
      </c>
      <c r="F50" s="3213" t="s">
        <v>3148</v>
      </c>
      <c r="G50" s="3184" t="s">
        <v>3096</v>
      </c>
      <c r="H50" s="3184" t="s">
        <v>3181</v>
      </c>
      <c r="I50" s="3184">
        <v>117</v>
      </c>
      <c r="J50" s="3184">
        <v>117</v>
      </c>
      <c r="K50" s="3184">
        <v>529.79999999999995</v>
      </c>
      <c r="L50" s="3184">
        <f t="shared" si="0"/>
        <v>1165.5824425427629</v>
      </c>
      <c r="M50" s="3184">
        <v>0</v>
      </c>
      <c r="N50" s="3184" t="s">
        <v>3182</v>
      </c>
      <c r="O50" s="3184" t="s">
        <v>3104</v>
      </c>
    </row>
    <row r="51" spans="1:15">
      <c r="A51" s="3184" t="s">
        <v>3183</v>
      </c>
      <c r="B51" s="3184" t="s">
        <v>3093</v>
      </c>
      <c r="C51" s="3184" t="s">
        <v>3101</v>
      </c>
      <c r="D51" s="3184">
        <v>11979.8</v>
      </c>
      <c r="E51" s="3184">
        <v>28751.52</v>
      </c>
      <c r="F51" s="3213" t="s">
        <v>3113</v>
      </c>
      <c r="G51" s="3184" t="s">
        <v>3096</v>
      </c>
      <c r="H51" s="3184" t="s">
        <v>3184</v>
      </c>
      <c r="I51" s="3184">
        <v>2313</v>
      </c>
      <c r="J51" s="3184">
        <v>2313</v>
      </c>
      <c r="K51" s="3184">
        <v>804.48</v>
      </c>
      <c r="L51" s="3184">
        <f t="shared" si="0"/>
        <v>1930.750095994925</v>
      </c>
      <c r="M51" s="3184">
        <v>0</v>
      </c>
      <c r="N51" s="3184" t="s">
        <v>3177</v>
      </c>
      <c r="O51" s="3184" t="s">
        <v>3099</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39" sqref="E3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8</v>
      </c>
    </row>
    <row r="2" spans="1:31" s="2023" customFormat="1" ht="18" customHeight="1">
      <c r="A2" s="2083" t="s">
        <v>467</v>
      </c>
      <c r="B2" s="2087">
        <f ca="1">C36</f>
        <v>24773</v>
      </c>
      <c r="C2" s="2086"/>
      <c r="D2" s="2086"/>
      <c r="E2" s="2086"/>
      <c r="F2" s="2086"/>
      <c r="G2" s="2086"/>
      <c r="H2" s="2086"/>
      <c r="I2" s="2086"/>
      <c r="J2" s="2086"/>
      <c r="K2" s="2086"/>
    </row>
    <row r="3" spans="1:31" s="2023" customFormat="1" ht="18" customHeight="1">
      <c r="A3" s="2088" t="s">
        <v>1684</v>
      </c>
      <c r="B3" s="2089">
        <f ca="1">ROUND(B2*10000/IF(B1="",'数据-汇总表'!E3,INDIRECT("'数据-取费表'!K"&amp;$K$1)),0)</f>
        <v>1963</v>
      </c>
      <c r="C3" s="2086"/>
      <c r="D3" s="2086"/>
      <c r="E3" s="2086"/>
      <c r="F3" s="2086"/>
      <c r="G3" s="2086"/>
      <c r="H3" s="2086"/>
      <c r="I3" s="2086"/>
      <c r="J3" s="2086"/>
      <c r="K3" s="2086"/>
    </row>
    <row r="4" spans="1:31" s="2023" customFormat="1" ht="18" customHeight="1">
      <c r="A4" s="425" t="s">
        <v>468</v>
      </c>
      <c r="B4" s="426">
        <f ca="1">ROUND(B2*10000/IF(B1="",'数据-汇总表'!D3,INDIRECT("'数据-取费表'!R"&amp;$K$1)),0)</f>
        <v>5496</v>
      </c>
      <c r="C4" s="427"/>
      <c r="D4" s="421"/>
      <c r="E4" s="421"/>
      <c r="F4" s="421"/>
      <c r="G4" s="421"/>
      <c r="H4" s="421"/>
      <c r="I4" s="421"/>
      <c r="J4" s="421"/>
      <c r="K4" s="421"/>
    </row>
    <row r="5" spans="1:31" s="2023" customFormat="1" ht="18" customHeight="1" thickBot="1">
      <c r="A5" s="428"/>
      <c r="B5" s="429">
        <f ca="1">ROUND(B2/(IF(B1="",'数据-汇总表'!D3,INDIRECT("'数据-取费表'!R"&amp;$K$1))/666.67),0)</f>
        <v>366</v>
      </c>
      <c r="C5" s="430" t="s">
        <v>469</v>
      </c>
      <c r="D5" s="421"/>
      <c r="E5" s="421"/>
      <c r="F5" s="421"/>
      <c r="G5" s="421"/>
      <c r="H5" s="421"/>
      <c r="I5" s="421"/>
      <c r="J5" s="421"/>
      <c r="K5" s="421"/>
    </row>
    <row r="6" spans="1:31" s="2093" customFormat="1" ht="16.5" customHeight="1">
      <c r="A6" s="2780" t="s">
        <v>1842</v>
      </c>
      <c r="B6" s="2781"/>
      <c r="C6" s="2782">
        <f>SUM(C10:K10)</f>
        <v>90049</v>
      </c>
      <c r="D6" s="2781"/>
      <c r="E6" s="2781"/>
      <c r="F6" s="2781"/>
      <c r="G6" s="2781"/>
      <c r="H6" s="2781"/>
      <c r="I6" s="2781"/>
      <c r="J6" s="2781"/>
      <c r="K6" s="2783"/>
    </row>
    <row r="7" spans="1:31" s="2095" customFormat="1" ht="15">
      <c r="A7" s="2784" t="s">
        <v>470</v>
      </c>
      <c r="B7" s="2785" t="s">
        <v>471</v>
      </c>
      <c r="C7" s="435" t="s">
        <v>923</v>
      </c>
      <c r="D7" s="435" t="s">
        <v>3006</v>
      </c>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f>'不动产比较法-住宅'!B3</f>
        <v>6106</v>
      </c>
      <c r="D8" s="2786">
        <f>典型户型修正!B21</f>
        <v>12962</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107286.59</v>
      </c>
      <c r="D9" s="440">
        <f>SUMIF('数据-汇总表'!$C19:$C33,'剩余法-待开发'!D7,'数据-汇总表'!$E19:$E33)</f>
        <v>18932.93</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'不动产比较法-住宅'!B2</f>
        <v>65509</v>
      </c>
      <c r="D10" s="2978">
        <f>典型户型修正!B20</f>
        <v>24540</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34079</v>
      </c>
      <c r="D13" s="2796"/>
      <c r="E13" s="2797"/>
      <c r="F13" s="2798"/>
      <c r="G13" s="2764"/>
      <c r="H13" s="2765"/>
      <c r="I13" s="2765"/>
      <c r="J13" s="2765"/>
      <c r="K13" s="2766"/>
    </row>
    <row r="14" spans="1:31" s="2098" customFormat="1" ht="13.5" customHeight="1">
      <c r="A14" s="2794" t="s">
        <v>1849</v>
      </c>
      <c r="B14" s="2795" t="s">
        <v>480</v>
      </c>
      <c r="C14" s="53">
        <f ca="1">ROUND(C13*F14,0)</f>
        <v>1363</v>
      </c>
      <c r="D14" s="2796"/>
      <c r="E14" s="2797"/>
      <c r="F14" s="2799">
        <f>'数据-取费表'!B33</f>
        <v>0.04</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1448</v>
      </c>
      <c r="D15" s="2796"/>
      <c r="E15" s="2797"/>
      <c r="F15" s="2799">
        <f>'数据-取费表'!B34</f>
        <v>0.05</v>
      </c>
      <c r="G15" s="2764" t="s">
        <v>483</v>
      </c>
      <c r="H15" s="2765"/>
      <c r="I15" s="2765"/>
      <c r="J15" s="2765"/>
      <c r="K15" s="2766"/>
    </row>
    <row r="16" spans="1:31" s="2099" customFormat="1" ht="13.5" customHeight="1">
      <c r="A16" s="2794" t="s">
        <v>1851</v>
      </c>
      <c r="B16" s="2795" t="s">
        <v>484</v>
      </c>
      <c r="C16" s="53">
        <f ca="1">ROUND(D16*E16/10000,0)</f>
        <v>2524</v>
      </c>
      <c r="D16" s="2796">
        <f ca="1">IF(B1="",'数据-汇总表'!E3,INDIRECT("'数据-取费表'!K"&amp;$K$1)+INDIRECT("'数据-取费表'!S"&amp;$K$1))</f>
        <v>126219.51999999999</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511</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39925</v>
      </c>
      <c r="D18" s="2805"/>
      <c r="E18" s="467"/>
      <c r="F18" s="467"/>
      <c r="G18" s="2768" t="s">
        <v>2430</v>
      </c>
      <c r="H18" s="2769"/>
      <c r="I18" s="2769"/>
      <c r="J18" s="2769"/>
      <c r="K18" s="2770"/>
    </row>
    <row r="19" spans="1:14" s="2098" customFormat="1" ht="13.5" customHeight="1">
      <c r="A19" s="2802" t="s">
        <v>1854</v>
      </c>
      <c r="B19" s="2803" t="s">
        <v>488</v>
      </c>
      <c r="C19" s="2760">
        <f ca="1">ROUND(D19*E19/10000,0)</f>
        <v>0</v>
      </c>
      <c r="D19" s="2806">
        <f ca="1">D16</f>
        <v>126219.51999999999</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698</v>
      </c>
      <c r="D20" s="2806"/>
      <c r="E20" s="2760"/>
      <c r="F20" s="2807"/>
      <c r="G20" s="3037"/>
      <c r="H20" s="2762"/>
      <c r="I20" s="2763" t="s">
        <v>2651</v>
      </c>
      <c r="J20" s="2769"/>
      <c r="K20" s="2770"/>
    </row>
    <row r="21" spans="1:14" s="2098" customFormat="1" ht="13.5" customHeight="1">
      <c r="A21" s="2794" t="s">
        <v>1856</v>
      </c>
      <c r="B21" s="2795" t="s">
        <v>491</v>
      </c>
      <c r="C21" s="53">
        <f ca="1">ROUND(D21*E21/10000,0)</f>
        <v>432</v>
      </c>
      <c r="D21" s="2796">
        <f ca="1">IF(B1="",'数据-汇总表'!E5,IF(INDIRECT("'数据-取费表'!c"&amp;$K$1)="住宅",INDIRECT("'数据-取费表'!k"&amp;$K$1),0))</f>
        <v>107286.59</v>
      </c>
      <c r="E21" s="53">
        <f>'数据-取费表'!B27</f>
        <v>40.270000000000003</v>
      </c>
      <c r="F21" s="2799"/>
      <c r="G21" s="26"/>
      <c r="H21" s="51"/>
      <c r="I21" s="51"/>
      <c r="J21" s="51"/>
      <c r="K21" s="2771"/>
    </row>
    <row r="22" spans="1:14" s="2098" customFormat="1" ht="13.5" customHeight="1">
      <c r="A22" s="2794" t="s">
        <v>1857</v>
      </c>
      <c r="B22" s="2795" t="s">
        <v>492</v>
      </c>
      <c r="C22" s="53">
        <f ca="1">ROUND(D22*E22/10000,0)</f>
        <v>266</v>
      </c>
      <c r="D22" s="2796">
        <f ca="1">IF(B1="",'数据-汇总表'!E6,IF(INDIRECT("'数据-取费表'!c"&amp;$K$1)="住宅",INDIRECT("'数据-取费表'!s"&amp;$K$1),INDIRECT("'数据-取费表'!k"&amp;$K$1)+INDIRECT("'数据-取费表'!s"&amp;$K$1)))</f>
        <v>18932.929999999993</v>
      </c>
      <c r="E22" s="53">
        <f>'数据-取费表'!B28</f>
        <v>140.27000000000001</v>
      </c>
      <c r="F22" s="2799"/>
      <c r="G22" s="26"/>
      <c r="H22" s="51"/>
      <c r="I22" s="51"/>
      <c r="J22" s="51"/>
      <c r="K22" s="2771"/>
    </row>
    <row r="23" spans="1:14" s="2098" customFormat="1" ht="13.5" customHeight="1">
      <c r="A23" s="2802" t="s">
        <v>1858</v>
      </c>
      <c r="B23" s="2984" t="s">
        <v>2833</v>
      </c>
      <c r="C23" s="2804">
        <f ca="1">ROUND((C18+C19+C20)*F23,0)</f>
        <v>812</v>
      </c>
      <c r="D23" s="467"/>
      <c r="E23" s="467"/>
      <c r="F23" s="2808">
        <f>'数据-取费表'!B37</f>
        <v>0.02</v>
      </c>
      <c r="G23" s="2764" t="s">
        <v>2431</v>
      </c>
      <c r="H23" s="2765"/>
      <c r="I23" s="2765"/>
      <c r="J23" s="2765"/>
      <c r="K23" s="2766"/>
      <c r="L23" s="2100"/>
      <c r="M23" s="2100"/>
      <c r="N23" s="2100"/>
    </row>
    <row r="24" spans="1:14" s="2098" customFormat="1" ht="13.5" customHeight="1">
      <c r="A24" s="2802" t="s">
        <v>1859</v>
      </c>
      <c r="B24" s="2984" t="s">
        <v>2836</v>
      </c>
      <c r="C24" s="2804">
        <f>ROUND(C6*F24,0)</f>
        <v>1801</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4" t="s">
        <v>2834</v>
      </c>
      <c r="C25" s="466">
        <f>ROUND(F25/(1+'数据-取费表'!C42),4)</f>
        <v>3.8600000000000002E-2</v>
      </c>
      <c r="D25" s="461" t="s">
        <v>2828</v>
      </c>
      <c r="E25" s="468"/>
      <c r="F25" s="2808">
        <f>IF(项目基本情况!B8="出让",0,'数据-取费表'!B48+'数据-取费表'!B49)</f>
        <v>4.0500000000000001E-2</v>
      </c>
      <c r="G25" s="2772" t="s">
        <v>2289</v>
      </c>
      <c r="H25" s="2765"/>
      <c r="I25" s="2765"/>
      <c r="J25" s="2765"/>
      <c r="K25" s="2766"/>
    </row>
    <row r="26" spans="1:14" s="2100" customFormat="1" ht="13.5" customHeight="1">
      <c r="A26" s="2802" t="s">
        <v>1861</v>
      </c>
      <c r="B26" s="2985" t="s">
        <v>2835</v>
      </c>
      <c r="C26" s="2809">
        <f ca="1">C28</f>
        <v>2054</v>
      </c>
      <c r="D26" s="466">
        <f ca="1">C27</f>
        <v>0.10100000000000001</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0.10100000000000001</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2837</v>
      </c>
      <c r="C28" s="2812">
        <f ca="1">ROUND(IF('数据-取费表'!B22&lt;=1,(C18+C19+C20+C23+C24)*F26*'数据-取费表'!B24/2,(C18+C19+C20+C23+C24)*(POWER((1+F26),'数据-取费表'!B24/2)-1)),0)</f>
        <v>2054</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ROUND(C6*F29/(1+'数据-取费表'!C42),0)</f>
        <v>4803</v>
      </c>
      <c r="D29" s="467"/>
      <c r="E29" s="467"/>
      <c r="F29" s="2986">
        <f>'数据-取费表'!B41</f>
        <v>5.6000000000000001E-2</v>
      </c>
      <c r="G29" s="2773" t="s">
        <v>498</v>
      </c>
      <c r="H29" s="2765"/>
      <c r="I29" s="2765"/>
      <c r="J29" s="2765"/>
      <c r="K29" s="2766"/>
    </row>
    <row r="30" spans="1:14" s="2103" customFormat="1" ht="13.5" customHeight="1">
      <c r="A30" s="1617" t="s">
        <v>1863</v>
      </c>
      <c r="B30" s="2814" t="s">
        <v>500</v>
      </c>
      <c r="C30" s="2809">
        <f ca="1">C31</f>
        <v>50093</v>
      </c>
      <c r="D30" s="476">
        <f ca="1">C32</f>
        <v>0.1396</v>
      </c>
      <c r="E30" s="468" t="s">
        <v>495</v>
      </c>
      <c r="F30" s="470"/>
      <c r="G30" s="2772" t="s">
        <v>2971</v>
      </c>
      <c r="H30" s="2765"/>
      <c r="I30" s="2765"/>
      <c r="J30" s="2765"/>
      <c r="K30" s="2766"/>
    </row>
    <row r="31" spans="1:14" s="2102" customFormat="1" ht="13.5" customHeight="1">
      <c r="A31" s="802" t="s">
        <v>1856</v>
      </c>
      <c r="B31" s="2810"/>
      <c r="C31" s="449">
        <f ca="1">C18+C19+C20+C23+C24+C26+C29</f>
        <v>50093</v>
      </c>
      <c r="D31" s="471"/>
      <c r="E31" s="472"/>
      <c r="F31" s="473"/>
      <c r="G31" s="260"/>
      <c r="H31" s="2767"/>
      <c r="I31" s="2767"/>
      <c r="J31" s="2767"/>
      <c r="K31" s="278"/>
    </row>
    <row r="32" spans="1:14" s="2102" customFormat="1" ht="13.5" customHeight="1">
      <c r="A32" s="802" t="s">
        <v>1857</v>
      </c>
      <c r="B32" s="2810"/>
      <c r="C32" s="53">
        <f ca="1">ROUND(C25+D26,4)</f>
        <v>0.1396</v>
      </c>
      <c r="D32" s="471"/>
      <c r="E32" s="472"/>
      <c r="F32" s="473"/>
      <c r="G32" s="260"/>
      <c r="H32" s="2767"/>
      <c r="I32" s="2767"/>
      <c r="J32" s="2767"/>
      <c r="K32" s="278"/>
    </row>
    <row r="33" spans="1:11" s="2104" customFormat="1" ht="13.5" customHeight="1">
      <c r="A33" s="2983" t="s">
        <v>2832</v>
      </c>
      <c r="B33" s="2981" t="s">
        <v>2830</v>
      </c>
      <c r="C33" s="477">
        <f ca="1">C35</f>
        <v>7350</v>
      </c>
      <c r="D33" s="466">
        <f ca="1">C34</f>
        <v>0.17660000000000001</v>
      </c>
      <c r="E33" s="468" t="s">
        <v>495</v>
      </c>
      <c r="F33" s="478">
        <f ca="1">IF(B1="",'数据-取费表'!Q16,INDIRECT("'数据-取费表'!q"&amp;$K$1))</f>
        <v>0.17</v>
      </c>
      <c r="G33" s="2768"/>
      <c r="H33" s="2769"/>
      <c r="I33" s="2769"/>
      <c r="J33" s="2769"/>
      <c r="K33" s="2770"/>
    </row>
    <row r="34" spans="1:11" s="2105" customFormat="1" ht="13.5" customHeight="1">
      <c r="A34" s="374" t="s">
        <v>1856</v>
      </c>
      <c r="B34" s="2815" t="s">
        <v>501</v>
      </c>
      <c r="C34" s="471">
        <f ca="1">ROUND((1+C25)*F33,4)</f>
        <v>0.17660000000000001</v>
      </c>
      <c r="D34" s="471"/>
      <c r="E34" s="472"/>
      <c r="F34" s="479"/>
      <c r="G34" s="260" t="s">
        <v>2290</v>
      </c>
      <c r="H34" s="2767"/>
      <c r="I34" s="2767"/>
      <c r="J34" s="2767"/>
      <c r="K34" s="278"/>
    </row>
    <row r="35" spans="1:11" s="2105" customFormat="1" ht="13.5" customHeight="1" thickBot="1">
      <c r="A35" s="1618" t="s">
        <v>1857</v>
      </c>
      <c r="B35" s="2982" t="s">
        <v>2838</v>
      </c>
      <c r="C35" s="1610">
        <f ca="1">ROUND((C18+C19+C20+C23+C24)*F33,0)</f>
        <v>7350</v>
      </c>
      <c r="D35" s="1611"/>
      <c r="E35" s="2816"/>
      <c r="F35" s="1612"/>
      <c r="G35" s="2774"/>
      <c r="H35" s="2775"/>
      <c r="I35" s="2775"/>
      <c r="J35" s="2775"/>
      <c r="K35" s="2776"/>
    </row>
    <row r="36" spans="1:11" s="2067" customFormat="1" ht="13.5" customHeight="1" thickBot="1">
      <c r="A36" s="283" t="s">
        <v>1844</v>
      </c>
      <c r="B36" s="2778"/>
      <c r="C36" s="2817">
        <f ca="1">ROUND((C6-C30-C33)/(1+D30+D33),0)</f>
        <v>24773</v>
      </c>
      <c r="D36" s="2778"/>
      <c r="E36" s="2778"/>
      <c r="F36" s="2778"/>
      <c r="G36" s="2777" t="s">
        <v>2839</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8</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2652</v>
      </c>
      <c r="B6" s="432"/>
      <c r="C6" s="1605">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1848</v>
      </c>
      <c r="B13" s="448" t="s">
        <v>479</v>
      </c>
      <c r="C13" s="449">
        <f ca="1">IF(B1="",'数据-取费表'!M16,INDIRECT("'数据-取费表'!M"&amp;$K$1)+INDIRECT("'数据-取费表'!t"&amp;$K$1))</f>
        <v>34079</v>
      </c>
      <c r="D13" s="450"/>
      <c r="E13" s="364"/>
      <c r="F13" s="451"/>
      <c r="G13" s="443"/>
      <c r="H13" s="446"/>
      <c r="I13" s="446"/>
      <c r="J13" s="446"/>
      <c r="K13" s="447"/>
    </row>
    <row r="14" spans="1:41" s="2098" customFormat="1" ht="13.5" customHeight="1">
      <c r="A14" s="1615" t="s">
        <v>1849</v>
      </c>
      <c r="B14" s="448" t="s">
        <v>480</v>
      </c>
      <c r="C14" s="53">
        <f ca="1">ROUND(C13*F14,0)</f>
        <v>1363</v>
      </c>
      <c r="D14" s="450"/>
      <c r="E14" s="364"/>
      <c r="F14" s="452">
        <f>'数据-取费表'!B33</f>
        <v>0.04</v>
      </c>
      <c r="G14" s="443" t="s">
        <v>502</v>
      </c>
      <c r="H14" s="446"/>
      <c r="I14" s="446"/>
      <c r="J14" s="446"/>
      <c r="K14" s="447"/>
    </row>
    <row r="15" spans="1:41" s="2098" customFormat="1" ht="13.5" customHeight="1">
      <c r="A15" s="1615" t="s">
        <v>1850</v>
      </c>
      <c r="B15" s="448" t="s">
        <v>482</v>
      </c>
      <c r="C15" s="53">
        <f ca="1">ROUND(IF(B1="",SUMIF('数据-取费表'!C:C,"住宅",'数据-取费表'!M:M)*F15,IF(INDIRECT("'数据-取费表'!c"&amp;$K$1)="住宅",INDIRECT("'数据-取费表'!M"&amp;$K$1)*F15,0)),0)</f>
        <v>1448</v>
      </c>
      <c r="D15" s="450"/>
      <c r="E15" s="364"/>
      <c r="F15" s="452">
        <f>'数据-取费表'!B34</f>
        <v>0.05</v>
      </c>
      <c r="G15" s="443" t="s">
        <v>502</v>
      </c>
      <c r="H15" s="446"/>
      <c r="I15" s="446"/>
      <c r="J15" s="446"/>
      <c r="K15" s="447"/>
    </row>
    <row r="16" spans="1:41" s="2099" customFormat="1" ht="13.5" customHeight="1">
      <c r="A16" s="1615" t="s">
        <v>1851</v>
      </c>
      <c r="B16" s="448" t="s">
        <v>484</v>
      </c>
      <c r="C16" s="53">
        <f ca="1">ROUND(D16*E16/10000,0)</f>
        <v>2524</v>
      </c>
      <c r="D16" s="450">
        <f ca="1">IF(B1="",'数据-汇总表'!E3,INDIRECT("'数据-取费表'!K"&amp;$K$1)+INDIRECT("'数据-取费表'!S"&amp;$K$1))</f>
        <v>126219.51999999999</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8" t="s">
        <v>485</v>
      </c>
      <c r="C17" s="453">
        <f ca="1">ROUND(C13*F17,0)</f>
        <v>511</v>
      </c>
      <c r="D17" s="454"/>
      <c r="E17" s="453"/>
      <c r="F17" s="455">
        <f>'数据-取费表'!B36</f>
        <v>1.4999999999999999E-2</v>
      </c>
      <c r="G17" s="443" t="s">
        <v>502</v>
      </c>
      <c r="H17" s="456"/>
      <c r="I17" s="456"/>
      <c r="J17" s="456"/>
      <c r="K17" s="457"/>
    </row>
    <row r="18" spans="1:14" s="2101" customFormat="1" ht="13.5" customHeight="1">
      <c r="A18" s="1616" t="s">
        <v>1853</v>
      </c>
      <c r="B18" s="458" t="s">
        <v>487</v>
      </c>
      <c r="C18" s="459">
        <f ca="1">SUM(C13:C17)</f>
        <v>39925</v>
      </c>
      <c r="D18" s="460"/>
      <c r="E18" s="461"/>
      <c r="F18" s="461"/>
      <c r="G18" s="1320" t="s">
        <v>2432</v>
      </c>
      <c r="H18" s="446"/>
      <c r="I18" s="446"/>
      <c r="J18" s="446"/>
      <c r="K18" s="447"/>
    </row>
    <row r="19" spans="1:14" s="2101" customFormat="1" ht="13.5" customHeight="1">
      <c r="A19" s="1616" t="s">
        <v>1854</v>
      </c>
      <c r="B19" s="458" t="s">
        <v>493</v>
      </c>
      <c r="C19" s="459">
        <f ca="1">ROUND(C18*F19,0)</f>
        <v>799</v>
      </c>
      <c r="D19" s="461"/>
      <c r="E19" s="461"/>
      <c r="F19" s="465">
        <f>'数据-取费表'!B37</f>
        <v>0.02</v>
      </c>
      <c r="G19" s="443" t="s">
        <v>503</v>
      </c>
      <c r="H19" s="446"/>
      <c r="I19" s="446"/>
      <c r="J19" s="446"/>
      <c r="K19" s="447"/>
      <c r="L19" s="2103"/>
      <c r="M19" s="2103"/>
      <c r="N19" s="2103"/>
    </row>
    <row r="20" spans="1:14" s="2101" customFormat="1" ht="13.5" customHeight="1">
      <c r="A20" s="1616" t="s">
        <v>1855</v>
      </c>
      <c r="B20" s="458" t="s">
        <v>504</v>
      </c>
      <c r="C20" s="2979">
        <f>F20</f>
        <v>0.02</v>
      </c>
      <c r="D20" s="468" t="s">
        <v>505</v>
      </c>
      <c r="E20" s="468"/>
      <c r="F20" s="485">
        <f>'数据-取费表'!B38</f>
        <v>0.02</v>
      </c>
      <c r="G20" s="1320" t="s">
        <v>506</v>
      </c>
      <c r="H20" s="446"/>
      <c r="I20" s="446"/>
      <c r="J20" s="446"/>
      <c r="K20" s="447"/>
      <c r="L20" s="2103"/>
      <c r="M20" s="2103"/>
      <c r="N20" s="2103"/>
    </row>
    <row r="21" spans="1:14" s="2103" customFormat="1" ht="13.5" customHeight="1">
      <c r="A21" s="1616" t="s">
        <v>1858</v>
      </c>
      <c r="B21" s="460" t="s">
        <v>494</v>
      </c>
      <c r="C21" s="469">
        <f ca="1">C22</f>
        <v>1934</v>
      </c>
      <c r="D21" s="466">
        <f ca="1">C23</f>
        <v>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0" t="s">
        <v>2454</v>
      </c>
    </row>
    <row r="22" spans="1:14" s="2102" customFormat="1" ht="13.5" customHeight="1">
      <c r="A22" s="1615" t="s">
        <v>1848</v>
      </c>
      <c r="B22" s="1321" t="s">
        <v>2435</v>
      </c>
      <c r="C22" s="486">
        <f ca="1">ROUND(IF('数据-取费表'!B22&lt;=1,(C18+C19)*F21*'数据-取费表'!B20/2,(C18+C19)*(POWER((1+F21),'数据-取费表'!B20/2)-1)),0)</f>
        <v>1934</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1849</v>
      </c>
      <c r="B23" s="1321" t="s">
        <v>508</v>
      </c>
      <c r="C23" s="487">
        <f ca="1">ROUND(IF('数据-取费表'!B22&lt;=1,F20*F21*'数据-取费表'!B20/2,F20*(POWER((1+F21),'数据-取费表'!B20/2)-1)),4)</f>
        <v>1E-3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1859</v>
      </c>
      <c r="B24" s="2981" t="s">
        <v>2831</v>
      </c>
      <c r="C24" s="477">
        <f ca="1">C25</f>
        <v>6923</v>
      </c>
      <c r="D24" s="488">
        <f ca="1">C26</f>
        <v>3.3999999999999998E-3</v>
      </c>
      <c r="E24" s="468" t="s">
        <v>507</v>
      </c>
      <c r="F24" s="478">
        <f ca="1">IF(B1="",'数据-取费表'!Q16,INDIRECT("'数据-取费表'!q"&amp;$K$1))</f>
        <v>0.17</v>
      </c>
      <c r="G24" s="443"/>
      <c r="H24" s="446"/>
      <c r="I24" s="446"/>
      <c r="J24" s="446"/>
      <c r="K24" s="447"/>
    </row>
    <row r="25" spans="1:14" s="2102" customFormat="1" ht="13.5" customHeight="1">
      <c r="A25" s="1615" t="s">
        <v>1848</v>
      </c>
      <c r="B25" s="1321" t="s">
        <v>2436</v>
      </c>
      <c r="C25" s="489">
        <f ca="1">ROUND((C18+C19)*F24,0)</f>
        <v>6923</v>
      </c>
      <c r="D25" s="471"/>
      <c r="E25" s="472"/>
      <c r="F25" s="479"/>
      <c r="G25" s="1319" t="s">
        <v>2433</v>
      </c>
      <c r="H25" s="456"/>
      <c r="I25" s="456"/>
      <c r="J25" s="456"/>
      <c r="K25" s="457"/>
    </row>
    <row r="26" spans="1:14" s="2102" customFormat="1" ht="13.5" customHeight="1">
      <c r="A26" s="1615" t="s">
        <v>1849</v>
      </c>
      <c r="B26" s="1321" t="s">
        <v>509</v>
      </c>
      <c r="C26" s="490">
        <f ca="1">ROUND(F20*F24,4)</f>
        <v>3.3999999999999998E-3</v>
      </c>
      <c r="D26" s="471"/>
      <c r="E26" s="480"/>
      <c r="F26" s="479"/>
      <c r="G26" s="1319" t="s">
        <v>510</v>
      </c>
      <c r="H26" s="456"/>
      <c r="I26" s="456"/>
      <c r="J26" s="456"/>
      <c r="K26" s="457"/>
    </row>
    <row r="27" spans="1:14" s="2102" customFormat="1" ht="13.5" customHeight="1">
      <c r="A27" s="1619" t="s">
        <v>1867</v>
      </c>
      <c r="B27" s="458" t="s">
        <v>511</v>
      </c>
      <c r="C27" s="2980">
        <f>ROUND(F27/(1+'数据-取费表'!C42),4)</f>
        <v>5.33E-2</v>
      </c>
      <c r="D27" s="461" t="s">
        <v>2829</v>
      </c>
      <c r="E27" s="461"/>
      <c r="F27" s="465">
        <f>'数据-取费表'!B41</f>
        <v>5.6000000000000001E-2</v>
      </c>
      <c r="G27" s="1942" t="s">
        <v>2291</v>
      </c>
      <c r="H27" s="446"/>
      <c r="I27" s="446"/>
      <c r="J27" s="446"/>
      <c r="K27" s="447"/>
    </row>
    <row r="28" spans="1:14" s="2103" customFormat="1" ht="13.5" customHeight="1">
      <c r="A28" s="1619" t="s">
        <v>1868</v>
      </c>
      <c r="B28" s="475" t="s">
        <v>512</v>
      </c>
      <c r="C28" s="469">
        <f ca="1">ROUND((C18+C19+C21+C24)/(1-C20-D21-D24-C27),0)</f>
        <v>53758</v>
      </c>
      <c r="D28" s="476"/>
      <c r="E28" s="468"/>
      <c r="F28" s="470"/>
      <c r="G28" s="1320" t="s">
        <v>2434</v>
      </c>
      <c r="H28" s="446"/>
      <c r="I28" s="446"/>
      <c r="J28" s="446"/>
      <c r="K28" s="447"/>
    </row>
    <row r="29" spans="1:14" s="2103" customFormat="1" ht="13.5" customHeight="1">
      <c r="A29" s="1619"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2" t="s">
        <v>515</v>
      </c>
      <c r="H30" s="495"/>
      <c r="I30" s="495"/>
      <c r="J30" s="446"/>
      <c r="K30" s="447"/>
    </row>
    <row r="31" spans="1:14" s="2108" customFormat="1" ht="13.5" customHeight="1">
      <c r="A31" s="2443" t="s">
        <v>1865</v>
      </c>
      <c r="B31" s="1323"/>
      <c r="C31" s="499">
        <f>ROUND(C6*F31/(1+'数据-取费表'!C42),0)</f>
        <v>0</v>
      </c>
      <c r="D31" s="1324"/>
      <c r="E31" s="1324"/>
      <c r="F31" s="500">
        <f>'数据-取费表'!B41</f>
        <v>5.6000000000000001E-2</v>
      </c>
      <c r="G31" s="1325"/>
      <c r="H31" s="1325"/>
      <c r="I31" s="1325"/>
      <c r="J31" s="1326"/>
      <c r="K31" s="1327"/>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1685</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29"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29"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5">
      <c r="A6" s="511" t="s">
        <v>521</v>
      </c>
      <c r="B6" s="512"/>
      <c r="C6" s="3404" t="s">
        <v>522</v>
      </c>
      <c r="D6" s="3405"/>
      <c r="E6" s="3428" t="s">
        <v>523</v>
      </c>
      <c r="F6" s="3429"/>
      <c r="G6" s="3404" t="s">
        <v>524</v>
      </c>
      <c r="H6" s="3405"/>
      <c r="I6" s="3404" t="s">
        <v>525</v>
      </c>
      <c r="J6" s="3405"/>
      <c r="K6" s="513" t="s">
        <v>526</v>
      </c>
      <c r="L6" s="2115"/>
      <c r="M6" s="2116"/>
      <c r="N6" s="2116"/>
      <c r="O6" s="2116"/>
      <c r="P6" s="3406" t="s">
        <v>527</v>
      </c>
      <c r="Q6" s="3407"/>
      <c r="R6" s="3392" t="s">
        <v>523</v>
      </c>
      <c r="S6" s="3393"/>
      <c r="T6" s="3392" t="s">
        <v>524</v>
      </c>
      <c r="U6" s="3393"/>
      <c r="V6" s="3412" t="s">
        <v>525</v>
      </c>
      <c r="W6" s="3412"/>
      <c r="X6" s="1550"/>
      <c r="Y6" s="3392" t="s">
        <v>527</v>
      </c>
      <c r="Z6" s="3393"/>
      <c r="AA6" s="3387" t="s">
        <v>523</v>
      </c>
      <c r="AB6" s="3388" t="s">
        <v>524</v>
      </c>
      <c r="AC6" s="3387" t="s">
        <v>525</v>
      </c>
    </row>
    <row r="7" spans="1:29" ht="15">
      <c r="A7" s="514"/>
      <c r="B7" s="515"/>
      <c r="C7" s="3415" t="s">
        <v>2929</v>
      </c>
      <c r="D7" s="3416"/>
      <c r="E7" s="3430" t="s">
        <v>2930</v>
      </c>
      <c r="F7" s="3431"/>
      <c r="G7" s="3415" t="s">
        <v>2931</v>
      </c>
      <c r="H7" s="3416"/>
      <c r="I7" s="3415" t="s">
        <v>2932</v>
      </c>
      <c r="J7" s="3416"/>
      <c r="K7" s="513"/>
      <c r="L7" s="2115"/>
      <c r="M7" s="2116"/>
      <c r="N7" s="2116"/>
      <c r="O7" s="2116"/>
      <c r="P7" s="3408"/>
      <c r="Q7" s="3409"/>
      <c r="R7" s="3394"/>
      <c r="S7" s="3395"/>
      <c r="T7" s="3394"/>
      <c r="U7" s="3395"/>
      <c r="V7" s="3412"/>
      <c r="W7" s="3412"/>
      <c r="X7" s="1550"/>
      <c r="Y7" s="3394"/>
      <c r="Z7" s="3395"/>
      <c r="AA7" s="3388"/>
      <c r="AB7" s="3388"/>
      <c r="AC7" s="3388"/>
    </row>
    <row r="8" spans="1:29" ht="15.75" thickBot="1">
      <c r="A8" s="516"/>
      <c r="B8" s="517"/>
      <c r="C8" s="3413" t="s">
        <v>2933</v>
      </c>
      <c r="D8" s="3414"/>
      <c r="E8" s="3432" t="s">
        <v>2933</v>
      </c>
      <c r="F8" s="3433"/>
      <c r="G8" s="3413" t="s">
        <v>2933</v>
      </c>
      <c r="H8" s="3414"/>
      <c r="I8" s="3413" t="s">
        <v>2933</v>
      </c>
      <c r="J8" s="3414"/>
      <c r="K8" s="513" t="s">
        <v>528</v>
      </c>
      <c r="L8" s="2115"/>
      <c r="M8" s="2116"/>
      <c r="N8" s="2116"/>
      <c r="O8" s="2116"/>
      <c r="P8" s="3410"/>
      <c r="Q8" s="3411"/>
      <c r="R8" s="3394"/>
      <c r="S8" s="3395"/>
      <c r="T8" s="3396"/>
      <c r="U8" s="3397"/>
      <c r="V8" s="3412"/>
      <c r="W8" s="3412"/>
      <c r="X8" s="1550"/>
      <c r="Y8" s="3396"/>
      <c r="Z8" s="3397"/>
      <c r="AA8" s="3389"/>
      <c r="AB8" s="3389"/>
      <c r="AC8" s="3389"/>
    </row>
    <row r="9" spans="1:29" s="1213" customFormat="1" ht="15.75" thickBot="1">
      <c r="A9" s="2864"/>
      <c r="B9" s="2871" t="s">
        <v>529</v>
      </c>
      <c r="C9" s="518">
        <f>'数据-取费表'!B2</f>
        <v>43815</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390" t="s">
        <v>530</v>
      </c>
      <c r="Q9" s="3399"/>
      <c r="R9" s="1551" t="s">
        <v>8</v>
      </c>
      <c r="S9" s="1552">
        <f t="shared" ref="S9:S17" si="0">F9</f>
        <v>0</v>
      </c>
      <c r="T9" s="1551" t="s">
        <v>8</v>
      </c>
      <c r="U9" s="1552">
        <f t="shared" ref="U9:U17" si="1">H9</f>
        <v>0</v>
      </c>
      <c r="V9" s="1551" t="s">
        <v>8</v>
      </c>
      <c r="W9" s="1552">
        <f t="shared" ref="W9:W17" si="2">J9</f>
        <v>0</v>
      </c>
      <c r="X9" s="1553"/>
      <c r="Y9" s="3390" t="s">
        <v>530</v>
      </c>
      <c r="Z9" s="3391"/>
      <c r="AA9" s="1554" t="e">
        <f>D9/F9</f>
        <v>#DIV/0!</v>
      </c>
      <c r="AB9" s="1554" t="e">
        <f>D9/H9</f>
        <v>#DIV/0!</v>
      </c>
      <c r="AC9" s="1554" t="e">
        <f>D9/J9</f>
        <v>#DIV/0!</v>
      </c>
    </row>
    <row r="10" spans="1:29" s="1213"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390" t="s">
        <v>533</v>
      </c>
      <c r="Q10" s="3391"/>
      <c r="R10" s="1551" t="s">
        <v>8</v>
      </c>
      <c r="S10" s="1552">
        <f t="shared" si="0"/>
        <v>0</v>
      </c>
      <c r="T10" s="1551" t="s">
        <v>8</v>
      </c>
      <c r="U10" s="1552">
        <f t="shared" si="1"/>
        <v>0</v>
      </c>
      <c r="V10" s="1551" t="s">
        <v>8</v>
      </c>
      <c r="W10" s="1552">
        <f t="shared" si="2"/>
        <v>0</v>
      </c>
      <c r="X10" s="1553"/>
      <c r="Y10" s="3390" t="s">
        <v>533</v>
      </c>
      <c r="Z10" s="3391"/>
      <c r="AA10" s="1554" t="e">
        <f t="shared" ref="AA10:AA42" si="3">D10/F10</f>
        <v>#DIV/0!</v>
      </c>
      <c r="AB10" s="1554" t="e">
        <f t="shared" ref="AB10:AB42" si="4">D10/H10</f>
        <v>#DIV/0!</v>
      </c>
      <c r="AC10" s="1554" t="e">
        <f t="shared" ref="AC10:AC42" si="5">D10/J10</f>
        <v>#DIV/0!</v>
      </c>
    </row>
    <row r="11" spans="1:29" s="1213" customFormat="1" ht="15">
      <c r="A11" s="2866"/>
      <c r="B11" s="2873" t="s">
        <v>2756</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398" t="s">
        <v>535</v>
      </c>
      <c r="Q11" s="1144" t="str">
        <f t="shared" ref="Q11:Q17" si="6">B11</f>
        <v>用途</v>
      </c>
      <c r="R11" s="1551" t="s">
        <v>8</v>
      </c>
      <c r="S11" s="1552">
        <f t="shared" si="0"/>
        <v>100</v>
      </c>
      <c r="T11" s="1551" t="s">
        <v>8</v>
      </c>
      <c r="U11" s="1552">
        <f t="shared" si="1"/>
        <v>100</v>
      </c>
      <c r="V11" s="1551" t="s">
        <v>8</v>
      </c>
      <c r="W11" s="1552">
        <f t="shared" si="2"/>
        <v>100</v>
      </c>
      <c r="X11" s="1553"/>
      <c r="Y11" s="3355" t="s">
        <v>536</v>
      </c>
      <c r="Z11" s="1143" t="str">
        <f t="shared" ref="Z11:Z17" si="7">Q11</f>
        <v>用途</v>
      </c>
      <c r="AA11" s="1554">
        <f t="shared" si="3"/>
        <v>1</v>
      </c>
      <c r="AB11" s="1554">
        <f t="shared" si="4"/>
        <v>1</v>
      </c>
      <c r="AC11" s="1554">
        <f t="shared" si="5"/>
        <v>1</v>
      </c>
    </row>
    <row r="12" spans="1:29" s="1331" customFormat="1" ht="27">
      <c r="A12" s="2867"/>
      <c r="B12" s="2872" t="s">
        <v>2757</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398"/>
      <c r="Q12" s="1144" t="str">
        <f t="shared" si="6"/>
        <v>土地使用年限（年）</v>
      </c>
      <c r="R12" s="1551" t="s">
        <v>8</v>
      </c>
      <c r="S12" s="1552">
        <f t="shared" si="0"/>
        <v>100</v>
      </c>
      <c r="T12" s="1551" t="s">
        <v>8</v>
      </c>
      <c r="U12" s="1552">
        <f t="shared" si="1"/>
        <v>100</v>
      </c>
      <c r="V12" s="1551" t="s">
        <v>8</v>
      </c>
      <c r="W12" s="1552">
        <f t="shared" si="2"/>
        <v>100</v>
      </c>
      <c r="X12" s="1553"/>
      <c r="Y12" s="3355"/>
      <c r="Z12" s="1143" t="str">
        <f t="shared" si="7"/>
        <v>土地使用年限（年）</v>
      </c>
      <c r="AA12" s="1554">
        <f t="shared" si="3"/>
        <v>1</v>
      </c>
      <c r="AB12" s="1554">
        <f t="shared" si="4"/>
        <v>1</v>
      </c>
      <c r="AC12" s="1554">
        <f t="shared" si="5"/>
        <v>1</v>
      </c>
    </row>
    <row r="13" spans="1:29" ht="15">
      <c r="A13" s="2868"/>
      <c r="B13" s="287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398"/>
      <c r="Q13" s="1144" t="str">
        <f t="shared" si="6"/>
        <v>容积率</v>
      </c>
      <c r="R13" s="1551" t="s">
        <v>8</v>
      </c>
      <c r="S13" s="1552" t="e">
        <f t="shared" si="0"/>
        <v>#N/A</v>
      </c>
      <c r="T13" s="1551" t="s">
        <v>8</v>
      </c>
      <c r="U13" s="1552" t="e">
        <f t="shared" si="1"/>
        <v>#N/A</v>
      </c>
      <c r="V13" s="1551" t="s">
        <v>8</v>
      </c>
      <c r="W13" s="1552" t="e">
        <f t="shared" si="2"/>
        <v>#N/A</v>
      </c>
      <c r="X13" s="1553"/>
      <c r="Y13" s="3355"/>
      <c r="Z13" s="1143" t="str">
        <f t="shared" si="7"/>
        <v>容积率</v>
      </c>
      <c r="AA13" s="1554" t="e">
        <f t="shared" si="3"/>
        <v>#N/A</v>
      </c>
      <c r="AB13" s="1554" t="e">
        <f t="shared" si="4"/>
        <v>#N/A</v>
      </c>
      <c r="AC13" s="1554" t="e">
        <f t="shared" si="5"/>
        <v>#N/A</v>
      </c>
    </row>
    <row r="14" spans="1:29" s="1213"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98"/>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98"/>
      <c r="Q15" s="1144">
        <f t="shared" si="6"/>
        <v>111</v>
      </c>
      <c r="R15" s="1551" t="s">
        <v>8</v>
      </c>
      <c r="S15" s="1552">
        <f t="shared" si="0"/>
        <v>100</v>
      </c>
      <c r="T15" s="1551" t="s">
        <v>8</v>
      </c>
      <c r="U15" s="1552">
        <f t="shared" si="1"/>
        <v>100</v>
      </c>
      <c r="V15" s="1551" t="s">
        <v>8</v>
      </c>
      <c r="W15" s="1552">
        <f t="shared" si="2"/>
        <v>100</v>
      </c>
      <c r="X15" s="1553"/>
      <c r="Y15" s="3355"/>
      <c r="Z15" s="1143">
        <f t="shared" si="7"/>
        <v>111</v>
      </c>
      <c r="AA15" s="1554">
        <f t="shared" si="3"/>
        <v>1</v>
      </c>
      <c r="AB15" s="1554">
        <f t="shared" si="4"/>
        <v>1</v>
      </c>
      <c r="AC15" s="1554">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98"/>
      <c r="Q16" s="1144">
        <f t="shared" si="6"/>
        <v>111</v>
      </c>
      <c r="R16" s="1551" t="s">
        <v>8</v>
      </c>
      <c r="S16" s="1552">
        <f t="shared" si="0"/>
        <v>100</v>
      </c>
      <c r="T16" s="1551" t="s">
        <v>8</v>
      </c>
      <c r="U16" s="1552">
        <f t="shared" si="1"/>
        <v>100</v>
      </c>
      <c r="V16" s="1551" t="s">
        <v>8</v>
      </c>
      <c r="W16" s="1552">
        <f t="shared" si="2"/>
        <v>100</v>
      </c>
      <c r="X16" s="1553"/>
      <c r="Y16" s="3355"/>
      <c r="Z16" s="1143">
        <f t="shared" si="7"/>
        <v>111</v>
      </c>
      <c r="AA16" s="1554">
        <f t="shared" si="3"/>
        <v>1</v>
      </c>
      <c r="AB16" s="1554">
        <f t="shared" si="4"/>
        <v>1</v>
      </c>
      <c r="AC16" s="1554">
        <f t="shared" si="5"/>
        <v>1</v>
      </c>
    </row>
    <row r="17" spans="1:29" ht="57">
      <c r="A17" s="2862" t="s">
        <v>2754</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00" t="s">
        <v>540</v>
      </c>
      <c r="Q17" s="1555" t="str">
        <f t="shared" si="6"/>
        <v>产业集聚程度</v>
      </c>
      <c r="R17" s="1556" t="s">
        <v>8</v>
      </c>
      <c r="S17" s="1557">
        <f t="shared" si="0"/>
        <v>100</v>
      </c>
      <c r="T17" s="1556" t="s">
        <v>8</v>
      </c>
      <c r="U17" s="1557">
        <f t="shared" si="1"/>
        <v>100</v>
      </c>
      <c r="V17" s="1556" t="s">
        <v>8</v>
      </c>
      <c r="W17" s="1557">
        <f t="shared" si="2"/>
        <v>100</v>
      </c>
      <c r="X17" s="1550"/>
      <c r="Y17" s="3400"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01"/>
      <c r="Q18" s="1555"/>
      <c r="R18" s="1556"/>
      <c r="S18" s="1557"/>
      <c r="T18" s="1556"/>
      <c r="U18" s="1557"/>
      <c r="V18" s="1556"/>
      <c r="W18" s="1557"/>
      <c r="X18" s="1550"/>
      <c r="Y18" s="3401"/>
      <c r="Z18" s="1558"/>
      <c r="AA18" s="1559">
        <v>1</v>
      </c>
      <c r="AB18" s="1559">
        <v>1</v>
      </c>
      <c r="AC18" s="1559">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01"/>
      <c r="Q19" s="1555" t="str">
        <f>B19</f>
        <v>交通便捷度</v>
      </c>
      <c r="R19" s="1556" t="s">
        <v>8</v>
      </c>
      <c r="S19" s="1557">
        <f>F19</f>
        <v>100</v>
      </c>
      <c r="T19" s="1556" t="s">
        <v>8</v>
      </c>
      <c r="U19" s="1557">
        <f>H19</f>
        <v>100</v>
      </c>
      <c r="V19" s="1556" t="s">
        <v>8</v>
      </c>
      <c r="W19" s="1557">
        <f>J19</f>
        <v>100</v>
      </c>
      <c r="X19" s="1550"/>
      <c r="Y19" s="3401"/>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01"/>
      <c r="Q20" s="1555"/>
      <c r="R20" s="1556"/>
      <c r="S20" s="1557"/>
      <c r="T20" s="1556"/>
      <c r="U20" s="1557"/>
      <c r="V20" s="1556"/>
      <c r="W20" s="1557"/>
      <c r="X20" s="1550"/>
      <c r="Y20" s="3401"/>
      <c r="Z20" s="1558"/>
      <c r="AA20" s="1559">
        <v>1</v>
      </c>
      <c r="AB20" s="1559">
        <v>1</v>
      </c>
      <c r="AC20" s="1559">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4"/>
      <c r="M21" s="2116"/>
      <c r="N21" s="2116"/>
      <c r="O21" s="2123"/>
      <c r="P21" s="3401"/>
      <c r="Q21" s="1555" t="str">
        <f t="shared" ref="Q21:Q35" si="8">B21</f>
        <v>区域土地利用方向</v>
      </c>
      <c r="R21" s="1556" t="s">
        <v>8</v>
      </c>
      <c r="S21" s="1557">
        <f>F21</f>
        <v>100</v>
      </c>
      <c r="T21" s="1556" t="s">
        <v>8</v>
      </c>
      <c r="U21" s="1557">
        <f>H21</f>
        <v>100</v>
      </c>
      <c r="V21" s="1556" t="s">
        <v>8</v>
      </c>
      <c r="W21" s="1557">
        <f>J21</f>
        <v>100</v>
      </c>
      <c r="X21" s="1550"/>
      <c r="Y21" s="3401"/>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1"/>
      <c r="L22" s="2124"/>
      <c r="M22" s="2116"/>
      <c r="N22" s="2116"/>
      <c r="O22" s="2123"/>
      <c r="P22" s="3401"/>
      <c r="Q22" s="1555"/>
      <c r="R22" s="1556"/>
      <c r="S22" s="1557"/>
      <c r="T22" s="1556"/>
      <c r="U22" s="1557"/>
      <c r="V22" s="1556"/>
      <c r="W22" s="1557"/>
      <c r="X22" s="1550"/>
      <c r="Y22" s="3401"/>
      <c r="Z22" s="1558"/>
      <c r="AA22" s="1559"/>
      <c r="AB22" s="1559"/>
      <c r="AC22" s="1559"/>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01"/>
      <c r="Q23" s="1555" t="str">
        <f t="shared" si="8"/>
        <v>环境状况</v>
      </c>
      <c r="R23" s="1556" t="s">
        <v>8</v>
      </c>
      <c r="S23" s="1557">
        <f>F23</f>
        <v>100</v>
      </c>
      <c r="T23" s="1556" t="s">
        <v>8</v>
      </c>
      <c r="U23" s="1557">
        <f>H23</f>
        <v>100</v>
      </c>
      <c r="V23" s="1556" t="s">
        <v>8</v>
      </c>
      <c r="W23" s="1557">
        <f>J23</f>
        <v>100</v>
      </c>
      <c r="X23" s="1550"/>
      <c r="Y23" s="3401"/>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01"/>
      <c r="Q24" s="1555"/>
      <c r="R24" s="1556"/>
      <c r="S24" s="1557"/>
      <c r="T24" s="1556"/>
      <c r="U24" s="1557"/>
      <c r="V24" s="1556"/>
      <c r="W24" s="1557"/>
      <c r="X24" s="1550"/>
      <c r="Y24" s="3401"/>
      <c r="Z24" s="1558"/>
      <c r="AA24" s="1559">
        <v>1</v>
      </c>
      <c r="AB24" s="1559">
        <v>1</v>
      </c>
      <c r="AC24" s="1559">
        <v>1</v>
      </c>
    </row>
    <row r="25" spans="1:29" s="1213" customFormat="1" ht="42.75">
      <c r="A25" s="576"/>
      <c r="B25" s="255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01"/>
      <c r="Q25" s="1144" t="str">
        <f t="shared" si="8"/>
        <v>公共配套设施</v>
      </c>
      <c r="R25" s="1551" t="s">
        <v>8</v>
      </c>
      <c r="S25" s="1552">
        <f>F25</f>
        <v>100</v>
      </c>
      <c r="T25" s="1551" t="s">
        <v>8</v>
      </c>
      <c r="U25" s="1552">
        <f>H25</f>
        <v>100</v>
      </c>
      <c r="V25" s="1551" t="s">
        <v>8</v>
      </c>
      <c r="W25" s="1552">
        <f>J25</f>
        <v>100</v>
      </c>
      <c r="X25" s="1553"/>
      <c r="Y25" s="3401"/>
      <c r="Z25" s="1143" t="str">
        <f>Q25</f>
        <v>公共配套设施</v>
      </c>
      <c r="AA25" s="1559">
        <f>D25/F25</f>
        <v>1</v>
      </c>
      <c r="AB25" s="1559">
        <f>D25/H25</f>
        <v>1</v>
      </c>
      <c r="AC25" s="1559">
        <f>D25/J25</f>
        <v>1</v>
      </c>
    </row>
    <row r="26" spans="1:29" s="1213" customFormat="1" ht="15">
      <c r="A26" s="576"/>
      <c r="B26" s="594"/>
      <c r="C26" s="2553"/>
      <c r="D26" s="554"/>
      <c r="E26" s="553"/>
      <c r="F26" s="554"/>
      <c r="G26" s="553"/>
      <c r="H26" s="554"/>
      <c r="I26" s="575"/>
      <c r="J26" s="554"/>
      <c r="K26" s="530"/>
      <c r="L26" s="2117"/>
      <c r="M26" s="2118"/>
      <c r="N26" s="2118"/>
      <c r="O26" s="2119"/>
      <c r="P26" s="3401"/>
      <c r="Q26" s="1144"/>
      <c r="R26" s="1551"/>
      <c r="S26" s="1552"/>
      <c r="T26" s="1551"/>
      <c r="U26" s="1552"/>
      <c r="V26" s="1551"/>
      <c r="W26" s="1552"/>
      <c r="X26" s="1553"/>
      <c r="Y26" s="3401"/>
      <c r="Z26" s="1143"/>
      <c r="AA26" s="1554">
        <v>1</v>
      </c>
      <c r="AB26" s="1554">
        <v>1</v>
      </c>
      <c r="AC26" s="1554">
        <v>1</v>
      </c>
    </row>
    <row r="27" spans="1:29" s="1213" customFormat="1" ht="28.5">
      <c r="A27" s="576"/>
      <c r="B27" s="255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01"/>
      <c r="Q27" s="2539" t="str">
        <f t="shared" ref="Q27" si="9">B27</f>
        <v>基础设施水平</v>
      </c>
      <c r="R27" s="1551" t="s">
        <v>8</v>
      </c>
      <c r="S27" s="1552">
        <f>F27</f>
        <v>100</v>
      </c>
      <c r="T27" s="1551" t="s">
        <v>8</v>
      </c>
      <c r="U27" s="1552">
        <f>H27</f>
        <v>100</v>
      </c>
      <c r="V27" s="1551" t="s">
        <v>8</v>
      </c>
      <c r="W27" s="1552">
        <f>J27</f>
        <v>100</v>
      </c>
      <c r="X27" s="1553"/>
      <c r="Y27" s="3401"/>
      <c r="Z27" s="2536" t="str">
        <f>Q27</f>
        <v>基础设施水平</v>
      </c>
      <c r="AA27" s="1559">
        <f>D27/F27</f>
        <v>1</v>
      </c>
      <c r="AB27" s="1559">
        <f>D27/H27</f>
        <v>1</v>
      </c>
      <c r="AC27" s="1559">
        <f>D27/J27</f>
        <v>1</v>
      </c>
    </row>
    <row r="28" spans="1:29" s="1213" customFormat="1" ht="15">
      <c r="A28" s="576"/>
      <c r="B28" s="594"/>
      <c r="C28" s="2553"/>
      <c r="D28" s="554"/>
      <c r="E28" s="578"/>
      <c r="F28" s="554"/>
      <c r="G28" s="578"/>
      <c r="H28" s="554"/>
      <c r="I28" s="578"/>
      <c r="J28" s="554"/>
      <c r="K28" s="530"/>
      <c r="L28" s="2117"/>
      <c r="M28" s="2118"/>
      <c r="N28" s="2118"/>
      <c r="O28" s="2119"/>
      <c r="P28" s="3401"/>
      <c r="Q28" s="2539"/>
      <c r="R28" s="1551"/>
      <c r="S28" s="1552"/>
      <c r="T28" s="1551"/>
      <c r="U28" s="1552"/>
      <c r="V28" s="1551"/>
      <c r="W28" s="1552"/>
      <c r="X28" s="1553"/>
      <c r="Y28" s="3401"/>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01"/>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01"/>
      <c r="Z29" s="1558" t="str">
        <f t="shared" ref="Z29:Z42" si="13">Q29</f>
        <v>临街状况</v>
      </c>
      <c r="AA29" s="1559">
        <f t="shared" si="3"/>
        <v>1</v>
      </c>
      <c r="AB29" s="1559">
        <f t="shared" si="4"/>
        <v>1</v>
      </c>
      <c r="AC29" s="1559">
        <f t="shared" si="5"/>
        <v>1</v>
      </c>
    </row>
    <row r="30" spans="1:29" ht="27">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01"/>
      <c r="Q30" s="1555" t="str">
        <f t="shared" si="8"/>
        <v>毗邻道路的类型与等级</v>
      </c>
      <c r="R30" s="1556" t="s">
        <v>8</v>
      </c>
      <c r="S30" s="1557">
        <f t="shared" si="10"/>
        <v>100</v>
      </c>
      <c r="T30" s="1556" t="s">
        <v>8</v>
      </c>
      <c r="U30" s="1557">
        <f t="shared" si="11"/>
        <v>100</v>
      </c>
      <c r="V30" s="1556" t="s">
        <v>8</v>
      </c>
      <c r="W30" s="1557">
        <f t="shared" si="12"/>
        <v>100</v>
      </c>
      <c r="X30" s="1550"/>
      <c r="Y30" s="3401"/>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01"/>
      <c r="Q31" s="1555"/>
      <c r="R31" s="1556"/>
      <c r="S31" s="1557"/>
      <c r="T31" s="1556"/>
      <c r="U31" s="1557"/>
      <c r="V31" s="1556"/>
      <c r="W31" s="1557"/>
      <c r="X31" s="1550"/>
      <c r="Y31" s="3401"/>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01"/>
      <c r="Q32" s="1555" t="str">
        <f t="shared" si="8"/>
        <v>土地级别</v>
      </c>
      <c r="R32" s="1556" t="s">
        <v>8</v>
      </c>
      <c r="S32" s="1557">
        <f t="shared" si="10"/>
        <v>100</v>
      </c>
      <c r="T32" s="1556" t="s">
        <v>8</v>
      </c>
      <c r="U32" s="1557">
        <f t="shared" si="11"/>
        <v>100</v>
      </c>
      <c r="V32" s="1556" t="s">
        <v>8</v>
      </c>
      <c r="W32" s="1557">
        <f t="shared" si="12"/>
        <v>100</v>
      </c>
      <c r="X32" s="1550"/>
      <c r="Y32" s="3401"/>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01"/>
      <c r="Q33" s="1555">
        <f t="shared" si="8"/>
        <v>111</v>
      </c>
      <c r="R33" s="1556" t="s">
        <v>8</v>
      </c>
      <c r="S33" s="1557">
        <f t="shared" si="10"/>
        <v>100</v>
      </c>
      <c r="T33" s="1556" t="s">
        <v>8</v>
      </c>
      <c r="U33" s="1557">
        <f t="shared" si="11"/>
        <v>100</v>
      </c>
      <c r="V33" s="1556" t="s">
        <v>8</v>
      </c>
      <c r="W33" s="1557">
        <f t="shared" si="12"/>
        <v>100</v>
      </c>
      <c r="X33" s="1550"/>
      <c r="Y33" s="3401"/>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02" t="s">
        <v>550</v>
      </c>
      <c r="Q34" s="1555">
        <f t="shared" si="8"/>
        <v>111</v>
      </c>
      <c r="R34" s="1556" t="s">
        <v>8</v>
      </c>
      <c r="S34" s="1557">
        <f t="shared" si="10"/>
        <v>100</v>
      </c>
      <c r="T34" s="1556" t="s">
        <v>8</v>
      </c>
      <c r="U34" s="1557">
        <f t="shared" si="11"/>
        <v>100</v>
      </c>
      <c r="V34" s="1556" t="s">
        <v>8</v>
      </c>
      <c r="W34" s="1557">
        <f t="shared" si="12"/>
        <v>100</v>
      </c>
      <c r="X34" s="1550"/>
      <c r="Y34" s="3403" t="s">
        <v>550</v>
      </c>
      <c r="Z34" s="1558">
        <f t="shared" si="13"/>
        <v>111</v>
      </c>
      <c r="AA34" s="1559">
        <f t="shared" si="3"/>
        <v>1</v>
      </c>
      <c r="AB34" s="1559">
        <f t="shared" si="4"/>
        <v>1</v>
      </c>
      <c r="AC34" s="1559">
        <f t="shared" si="5"/>
        <v>1</v>
      </c>
    </row>
    <row r="35" spans="1:29" s="1332"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03"/>
      <c r="Q35" s="1555">
        <f t="shared" si="8"/>
        <v>111</v>
      </c>
      <c r="R35" s="1560" t="s">
        <v>8</v>
      </c>
      <c r="S35" s="1561">
        <f t="shared" si="10"/>
        <v>100</v>
      </c>
      <c r="T35" s="1560" t="s">
        <v>8</v>
      </c>
      <c r="U35" s="1561">
        <f t="shared" si="11"/>
        <v>100</v>
      </c>
      <c r="V35" s="1560" t="s">
        <v>8</v>
      </c>
      <c r="W35" s="1561">
        <f t="shared" si="12"/>
        <v>100</v>
      </c>
      <c r="X35" s="1562"/>
      <c r="Y35" s="3403"/>
      <c r="Z35" s="1563">
        <f t="shared" si="13"/>
        <v>111</v>
      </c>
      <c r="AA35" s="1559">
        <f t="shared" si="3"/>
        <v>1</v>
      </c>
      <c r="AB35" s="1559">
        <f t="shared" si="4"/>
        <v>1</v>
      </c>
      <c r="AC35" s="1559">
        <f t="shared" si="5"/>
        <v>1</v>
      </c>
    </row>
    <row r="36" spans="1:29" ht="15">
      <c r="A36" s="2859"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03"/>
      <c r="Q36" s="1555" t="str">
        <f>B36</f>
        <v>宗地面积</v>
      </c>
      <c r="R36" s="1556" t="s">
        <v>8</v>
      </c>
      <c r="S36" s="1557" t="e">
        <f t="shared" si="10"/>
        <v>#N/A</v>
      </c>
      <c r="T36" s="1556" t="s">
        <v>8</v>
      </c>
      <c r="U36" s="1557" t="e">
        <f t="shared" si="11"/>
        <v>#N/A</v>
      </c>
      <c r="V36" s="1556" t="s">
        <v>8</v>
      </c>
      <c r="W36" s="1557" t="e">
        <f t="shared" si="12"/>
        <v>#N/A</v>
      </c>
      <c r="X36" s="1550"/>
      <c r="Y36" s="3403"/>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03"/>
      <c r="Q37" s="1555" t="str">
        <f t="shared" ref="Q37:Q42" si="14">B37</f>
        <v>宗地形状</v>
      </c>
      <c r="R37" s="1556" t="s">
        <v>8</v>
      </c>
      <c r="S37" s="1557">
        <f t="shared" si="10"/>
        <v>100</v>
      </c>
      <c r="T37" s="1556" t="s">
        <v>8</v>
      </c>
      <c r="U37" s="1557">
        <f t="shared" si="11"/>
        <v>100</v>
      </c>
      <c r="V37" s="1556" t="s">
        <v>8</v>
      </c>
      <c r="W37" s="1557">
        <f t="shared" si="12"/>
        <v>100</v>
      </c>
      <c r="X37" s="1550"/>
      <c r="Y37" s="3403"/>
      <c r="Z37" s="1558" t="str">
        <f t="shared" si="13"/>
        <v>宗地形状</v>
      </c>
      <c r="AA37" s="1559">
        <f t="shared" si="3"/>
        <v>1</v>
      </c>
      <c r="AB37" s="1559">
        <f t="shared" si="4"/>
        <v>1</v>
      </c>
      <c r="AC37" s="1559">
        <f t="shared" si="5"/>
        <v>1</v>
      </c>
    </row>
    <row r="38" spans="1:29" s="1213" customFormat="1" ht="15">
      <c r="A38" s="599"/>
      <c r="B38" s="1877"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03"/>
      <c r="Q38" s="1555" t="str">
        <f t="shared" si="14"/>
        <v>宗地开发程度</v>
      </c>
      <c r="R38" s="1551" t="s">
        <v>8</v>
      </c>
      <c r="S38" s="1552">
        <f t="shared" si="10"/>
        <v>100</v>
      </c>
      <c r="T38" s="1551" t="s">
        <v>8</v>
      </c>
      <c r="U38" s="1552">
        <f t="shared" si="11"/>
        <v>100</v>
      </c>
      <c r="V38" s="1551" t="s">
        <v>8</v>
      </c>
      <c r="W38" s="1552">
        <f t="shared" si="12"/>
        <v>100</v>
      </c>
      <c r="X38" s="1553"/>
      <c r="Y38" s="3403"/>
      <c r="Z38" s="1143"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03" t="s">
        <v>601</v>
      </c>
      <c r="Q39" s="1555" t="str">
        <f t="shared" si="14"/>
        <v>工程地质条件</v>
      </c>
      <c r="R39" s="1556" t="s">
        <v>8</v>
      </c>
      <c r="S39" s="1557">
        <f t="shared" si="10"/>
        <v>100</v>
      </c>
      <c r="T39" s="1556" t="s">
        <v>8</v>
      </c>
      <c r="U39" s="1557">
        <f t="shared" si="11"/>
        <v>100</v>
      </c>
      <c r="V39" s="1556" t="s">
        <v>8</v>
      </c>
      <c r="W39" s="1557">
        <f t="shared" si="12"/>
        <v>100</v>
      </c>
      <c r="X39" s="1550"/>
      <c r="Y39" s="3403"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03"/>
      <c r="Q40" s="1555">
        <f t="shared" si="14"/>
        <v>111</v>
      </c>
      <c r="R40" s="1556" t="s">
        <v>8</v>
      </c>
      <c r="S40" s="1557">
        <f t="shared" si="10"/>
        <v>100</v>
      </c>
      <c r="T40" s="1556" t="s">
        <v>8</v>
      </c>
      <c r="U40" s="1557">
        <f t="shared" si="11"/>
        <v>100</v>
      </c>
      <c r="V40" s="1556" t="s">
        <v>8</v>
      </c>
      <c r="W40" s="1557">
        <f t="shared" si="12"/>
        <v>100</v>
      </c>
      <c r="X40" s="1550"/>
      <c r="Y40" s="3403"/>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03"/>
      <c r="Q41" s="1555">
        <f t="shared" si="14"/>
        <v>111</v>
      </c>
      <c r="R41" s="1556" t="s">
        <v>8</v>
      </c>
      <c r="S41" s="1557">
        <f t="shared" si="10"/>
        <v>100</v>
      </c>
      <c r="T41" s="1556" t="s">
        <v>8</v>
      </c>
      <c r="U41" s="1557">
        <f t="shared" si="11"/>
        <v>100</v>
      </c>
      <c r="V41" s="1556" t="s">
        <v>8</v>
      </c>
      <c r="W41" s="1557">
        <f t="shared" si="12"/>
        <v>100</v>
      </c>
      <c r="X41" s="1550"/>
      <c r="Y41" s="3403"/>
      <c r="Z41" s="1558">
        <f t="shared" si="13"/>
        <v>111</v>
      </c>
      <c r="AA41" s="1559">
        <f t="shared" si="3"/>
        <v>1</v>
      </c>
      <c r="AB41" s="1559">
        <f t="shared" si="4"/>
        <v>1</v>
      </c>
      <c r="AC41" s="1559">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03"/>
      <c r="Q42" s="1555">
        <f t="shared" si="14"/>
        <v>111</v>
      </c>
      <c r="R42" s="1560" t="s">
        <v>8</v>
      </c>
      <c r="S42" s="1561">
        <f t="shared" si="10"/>
        <v>100</v>
      </c>
      <c r="T42" s="1560" t="s">
        <v>8</v>
      </c>
      <c r="U42" s="1561">
        <f t="shared" si="11"/>
        <v>100</v>
      </c>
      <c r="V42" s="1560" t="s">
        <v>8</v>
      </c>
      <c r="W42" s="1561">
        <f t="shared" si="12"/>
        <v>100</v>
      </c>
      <c r="X42" s="1562"/>
      <c r="Y42" s="3403"/>
      <c r="Z42" s="1563">
        <f t="shared" si="13"/>
        <v>111</v>
      </c>
      <c r="AA42" s="1559">
        <f t="shared" si="3"/>
        <v>1</v>
      </c>
      <c r="AB42" s="1559">
        <f t="shared" si="4"/>
        <v>1</v>
      </c>
      <c r="AC42" s="1559">
        <f t="shared" si="5"/>
        <v>1</v>
      </c>
    </row>
    <row r="43" spans="1:29" ht="15">
      <c r="A43" s="606" t="s">
        <v>556</v>
      </c>
      <c r="B43" s="607" t="s">
        <v>2934</v>
      </c>
      <c r="C43" s="608" t="s">
        <v>1</v>
      </c>
      <c r="D43" s="609"/>
      <c r="E43" s="610"/>
      <c r="F43" s="611"/>
      <c r="G43" s="612"/>
      <c r="H43" s="613"/>
      <c r="I43" s="610"/>
      <c r="J43" s="613"/>
      <c r="K43" s="1333"/>
      <c r="L43" s="2126"/>
      <c r="M43" s="2116"/>
      <c r="N43" s="2116"/>
      <c r="O43" s="2127"/>
      <c r="P43" s="3398" t="str">
        <f>A43</f>
        <v>成交单价</v>
      </c>
      <c r="Q43" s="3398"/>
      <c r="R43" s="3412">
        <f>E43</f>
        <v>0</v>
      </c>
      <c r="S43" s="3412"/>
      <c r="T43" s="3412">
        <f>G43</f>
        <v>0</v>
      </c>
      <c r="U43" s="3412"/>
      <c r="V43" s="3412">
        <f>I43</f>
        <v>0</v>
      </c>
      <c r="W43" s="3412"/>
      <c r="X43" s="1542"/>
      <c r="Y43" s="1564"/>
      <c r="Z43" s="1542"/>
      <c r="AA43" s="1542"/>
      <c r="AB43" s="1542"/>
      <c r="AC43" s="1542"/>
    </row>
    <row r="44" spans="1:29" ht="15.75" thickBot="1">
      <c r="A44" s="614" t="s">
        <v>2693</v>
      </c>
      <c r="B44" s="615"/>
      <c r="C44" s="616" t="e">
        <f>R45</f>
        <v>#DIV/0!</v>
      </c>
      <c r="D44" s="617"/>
      <c r="E44" s="616" t="e">
        <f>R44</f>
        <v>#DIV/0!</v>
      </c>
      <c r="F44" s="618"/>
      <c r="G44" s="619" t="e">
        <f>T44</f>
        <v>#DIV/0!</v>
      </c>
      <c r="H44" s="617"/>
      <c r="I44" s="616" t="e">
        <f>V44</f>
        <v>#DIV/0!</v>
      </c>
      <c r="J44" s="617"/>
      <c r="K44" s="1334"/>
      <c r="L44" s="2126"/>
      <c r="M44" s="2116"/>
      <c r="N44" s="2116"/>
      <c r="O44" s="2127"/>
      <c r="P44" s="3398" t="str">
        <f>A44</f>
        <v>比较价格（元/平方米）</v>
      </c>
      <c r="Q44" s="3398"/>
      <c r="R44" s="3422" t="e">
        <f>ROUND(PRODUCT(R43,AA9:AA42),0)</f>
        <v>#DIV/0!</v>
      </c>
      <c r="S44" s="3422"/>
      <c r="T44" s="3422" t="e">
        <f>ROUND(PRODUCT(T43,AB9:AB42),0)</f>
        <v>#DIV/0!</v>
      </c>
      <c r="U44" s="3422"/>
      <c r="V44" s="3422" t="e">
        <f>ROUND(PRODUCT(V43,AC9:AC42),0)</f>
        <v>#DIV/0!</v>
      </c>
      <c r="W44" s="3422"/>
      <c r="X44" s="1542"/>
      <c r="Y44" s="1542"/>
      <c r="Z44" s="1542"/>
      <c r="AA44" s="1542"/>
      <c r="AB44" s="1542"/>
      <c r="AC44" s="1542"/>
    </row>
    <row r="45" spans="1:29" ht="15.75" thickBot="1">
      <c r="A45" s="620" t="s">
        <v>2935</v>
      </c>
      <c r="B45" s="621"/>
      <c r="C45" s="622" t="e">
        <f>R45</f>
        <v>#DIV/0!</v>
      </c>
      <c r="D45" s="622"/>
      <c r="E45" s="622"/>
      <c r="F45" s="622"/>
      <c r="G45" s="622"/>
      <c r="H45" s="622"/>
      <c r="I45" s="622"/>
      <c r="J45" s="622"/>
      <c r="K45" s="1335"/>
      <c r="L45" s="2126"/>
      <c r="M45" s="2116"/>
      <c r="N45" s="2116"/>
      <c r="O45" s="2127"/>
      <c r="P45" s="3419" t="str">
        <f>A45</f>
        <v>估价对象XX用房的比较价格（楼面单价，元/平方米）</v>
      </c>
      <c r="Q45" s="3420"/>
      <c r="R45" s="3421" t="e">
        <f>ROUND(AVERAGE(R44:V44),0)</f>
        <v>#DIV/0!</v>
      </c>
      <c r="S45" s="3421"/>
      <c r="T45" s="3421"/>
      <c r="U45" s="3421"/>
      <c r="V45" s="3421"/>
      <c r="W45" s="3421"/>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3" t="s">
        <v>1724</v>
      </c>
      <c r="D52" s="2209" t="s">
        <v>2293</v>
      </c>
      <c r="E52" s="630" t="s">
        <v>562</v>
      </c>
      <c r="F52" s="1933" t="s">
        <v>563</v>
      </c>
      <c r="G52" s="3423" t="s">
        <v>2284</v>
      </c>
      <c r="H52" s="3424"/>
      <c r="I52" s="1934" t="s">
        <v>1945</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2" t="s">
        <v>564</v>
      </c>
      <c r="B53" s="633" t="e">
        <f>C45</f>
        <v>#DIV/0!</v>
      </c>
      <c r="C53" s="634">
        <v>1</v>
      </c>
      <c r="D53" s="2210">
        <v>1</v>
      </c>
      <c r="E53" s="634">
        <f>'数据-汇总表'!E8+'数据-汇总表'!E9</f>
        <v>126219.51999999999</v>
      </c>
      <c r="F53" s="1932" t="e">
        <f t="shared" ref="F53:F62" si="15">ROUND(B53*E53/10000,0)</f>
        <v>#DIV/0!</v>
      </c>
      <c r="G53" s="3425"/>
      <c r="H53" s="3426"/>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6" t="s">
        <v>565</v>
      </c>
      <c r="B54" s="637" t="e">
        <f>ROUND($C$45*C54*D54,0)</f>
        <v>#DIV/0!</v>
      </c>
      <c r="C54" s="377">
        <f t="shared" ref="C54:C62" si="16">IF($C$52="北京市系数",I54,J54)</f>
        <v>0</v>
      </c>
      <c r="D54" s="2211">
        <v>0.25</v>
      </c>
      <c r="E54" s="638"/>
      <c r="F54" s="1932" t="e">
        <f t="shared" si="15"/>
        <v>#DIV/0!</v>
      </c>
      <c r="G54" s="3427" t="s">
        <v>2285</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6" t="s">
        <v>566</v>
      </c>
      <c r="B55" s="637" t="e">
        <f t="shared" ref="B55:B62" si="17">ROUND($C$45*C55*D55,0)</f>
        <v>#DIV/0!</v>
      </c>
      <c r="C55" s="377">
        <f t="shared" si="16"/>
        <v>0</v>
      </c>
      <c r="D55" s="2211">
        <v>0.25</v>
      </c>
      <c r="E55" s="638"/>
      <c r="F55" s="1932" t="e">
        <f t="shared" si="15"/>
        <v>#DIV/0!</v>
      </c>
      <c r="G55" s="3427"/>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6" t="s">
        <v>567</v>
      </c>
      <c r="B56" s="637" t="e">
        <f t="shared" si="17"/>
        <v>#DIV/0!</v>
      </c>
      <c r="C56" s="377">
        <f t="shared" si="16"/>
        <v>0</v>
      </c>
      <c r="D56" s="2211">
        <v>0.25</v>
      </c>
      <c r="E56" s="638"/>
      <c r="F56" s="1932" t="e">
        <f t="shared" si="15"/>
        <v>#DIV/0!</v>
      </c>
      <c r="G56" s="3427"/>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6" t="s">
        <v>568</v>
      </c>
      <c r="B57" s="637" t="e">
        <f t="shared" si="17"/>
        <v>#DIV/0!</v>
      </c>
      <c r="C57" s="377">
        <f t="shared" si="16"/>
        <v>0</v>
      </c>
      <c r="D57" s="2211">
        <v>0.25</v>
      </c>
      <c r="E57" s="638"/>
      <c r="F57" s="1932" t="e">
        <f t="shared" si="15"/>
        <v>#DIV/0!</v>
      </c>
      <c r="G57" s="3427"/>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2328</v>
      </c>
      <c r="B58" s="637" t="e">
        <f t="shared" si="17"/>
        <v>#DIV/0!</v>
      </c>
      <c r="C58" s="377">
        <f t="shared" si="16"/>
        <v>0</v>
      </c>
      <c r="D58" s="2211">
        <v>0.25</v>
      </c>
      <c r="E58" s="640">
        <f>'数据-汇总表'!E11</f>
        <v>0</v>
      </c>
      <c r="F58" s="1932" t="e">
        <f t="shared" si="15"/>
        <v>#DIV/0!</v>
      </c>
      <c r="G58" s="1938" t="s">
        <v>2286</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6" t="s">
        <v>569</v>
      </c>
      <c r="B59" s="637" t="e">
        <f t="shared" si="17"/>
        <v>#DIV/0!</v>
      </c>
      <c r="C59" s="377">
        <f t="shared" si="16"/>
        <v>0</v>
      </c>
      <c r="D59" s="2211">
        <v>0.25</v>
      </c>
      <c r="E59" s="640">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6" t="s">
        <v>570</v>
      </c>
      <c r="B60" s="637" t="e">
        <f t="shared" si="17"/>
        <v>#DIV/0!</v>
      </c>
      <c r="C60" s="377">
        <f t="shared" si="16"/>
        <v>0</v>
      </c>
      <c r="D60" s="2211">
        <v>0.25</v>
      </c>
      <c r="E60" s="640">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6" t="s">
        <v>571</v>
      </c>
      <c r="B61" s="637" t="e">
        <f t="shared" si="17"/>
        <v>#DIV/0!</v>
      </c>
      <c r="C61" s="377">
        <f t="shared" si="16"/>
        <v>0</v>
      </c>
      <c r="D61" s="2211">
        <v>0.25</v>
      </c>
      <c r="E61" s="640">
        <f>'数据-汇总表'!E14</f>
        <v>0</v>
      </c>
      <c r="F61" s="1932" t="e">
        <f t="shared" si="15"/>
        <v>#DIV/0!</v>
      </c>
      <c r="G61" s="1938" t="s">
        <v>2285</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6" t="s">
        <v>572</v>
      </c>
      <c r="B62" s="637" t="e">
        <f t="shared" si="17"/>
        <v>#DIV/0!</v>
      </c>
      <c r="C62" s="377">
        <f t="shared" si="16"/>
        <v>0</v>
      </c>
      <c r="D62" s="2211">
        <v>0.25</v>
      </c>
      <c r="E62" s="640">
        <f>'数据-汇总表'!E15</f>
        <v>0</v>
      </c>
      <c r="F62" s="1932" t="e">
        <f t="shared" si="15"/>
        <v>#DIV/0!</v>
      </c>
      <c r="G62" s="1939" t="s">
        <v>2286</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1" t="s">
        <v>573</v>
      </c>
      <c r="B63" s="642" t="s">
        <v>17</v>
      </c>
      <c r="C63" s="642" t="s">
        <v>18</v>
      </c>
      <c r="D63" s="642" t="s">
        <v>2294</v>
      </c>
      <c r="E63" s="642">
        <f>IF(B43="楼面地价",SUM(E53:E62),'数据-汇总表'!D3)</f>
        <v>45078.46</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2019-12-1</v>
      </c>
      <c r="D65" s="2751">
        <f>EDATE(C65,-3)</f>
        <v>43709</v>
      </c>
      <c r="E65" s="2751">
        <f t="shared" ref="E65:N65" si="18">EDATE(D65,-3)</f>
        <v>43617</v>
      </c>
      <c r="F65" s="2751">
        <f t="shared" si="18"/>
        <v>43525</v>
      </c>
      <c r="G65" s="2751">
        <f t="shared" si="18"/>
        <v>43435</v>
      </c>
      <c r="H65" s="2751">
        <f t="shared" si="18"/>
        <v>43344</v>
      </c>
      <c r="I65" s="2751">
        <f t="shared" si="18"/>
        <v>43252</v>
      </c>
      <c r="J65" s="2751">
        <f t="shared" si="18"/>
        <v>43160</v>
      </c>
      <c r="K65" s="2751">
        <f t="shared" si="18"/>
        <v>43070</v>
      </c>
      <c r="L65" s="2751">
        <f t="shared" si="18"/>
        <v>42979</v>
      </c>
      <c r="M65" s="2751">
        <f t="shared" si="18"/>
        <v>42887</v>
      </c>
      <c r="N65" s="2751">
        <f t="shared" si="18"/>
        <v>42795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2533</v>
      </c>
      <c r="B67" s="645"/>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2649</v>
      </c>
      <c r="B68" s="478" t="str">
        <f>"北京市平均增长率"&amp;TEXT(基准地价!P24,"0.00%")</f>
        <v>北京市平均增长率1.38%</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6"/>
      <c r="B93" s="1878" t="s">
        <v>2548</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6"/>
      <c r="B95" s="2558" t="s">
        <v>2550</v>
      </c>
      <c r="C95" s="2559" t="s">
        <v>2551</v>
      </c>
      <c r="D95" s="2559" t="s">
        <v>2552</v>
      </c>
      <c r="E95" s="2559" t="s">
        <v>2553</v>
      </c>
      <c r="F95" s="2559" t="s">
        <v>2554</v>
      </c>
      <c r="G95" s="2559" t="s">
        <v>2555</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7"/>
      <c r="B114" s="1878" t="s">
        <v>2425</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2426</v>
      </c>
      <c r="D1" s="1505">
        <f>SUM(D29:D30,D33:D39)</f>
        <v>0</v>
      </c>
      <c r="E1" s="1399" t="s">
        <v>2427</v>
      </c>
      <c r="F1" s="2413"/>
      <c r="G1" s="1394"/>
      <c r="H1" s="1394"/>
      <c r="I1" s="1394"/>
      <c r="J1" s="1394"/>
      <c r="K1" s="1394"/>
      <c r="L1" s="1864" t="s">
        <v>2238</v>
      </c>
      <c r="M1" s="1865">
        <f>SUMPRODUCT((区片价!B5:B9=I2)*(区片价!C3:F3=E2)*(区片价!C5:F9))</f>
        <v>0</v>
      </c>
      <c r="N1" s="1866">
        <f>SUMPRODUCT((因素修正幅度!B5:B9=I2)*(因素修正幅度!C3:F3=E2)*(因素修正幅度!C5:F9))</f>
        <v>0</v>
      </c>
      <c r="O1" s="1394"/>
      <c r="P1" s="1394"/>
      <c r="Q1" s="2171"/>
      <c r="R1" s="2888" t="s">
        <v>2762</v>
      </c>
      <c r="S1" s="2888" t="s">
        <v>2763</v>
      </c>
      <c r="T1" s="2888" t="s">
        <v>2784</v>
      </c>
      <c r="U1" s="2888" t="s">
        <v>2785</v>
      </c>
      <c r="V1" s="2888" t="s">
        <v>2786</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2239</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1687</v>
      </c>
      <c r="B3" s="1035" t="e">
        <f>ROUND(B2*10000/D1,0)</f>
        <v>#DIV/0!</v>
      </c>
      <c r="C3" s="1400" t="s">
        <v>927</v>
      </c>
      <c r="D3" s="1401" t="s">
        <v>928</v>
      </c>
      <c r="E3" s="1405"/>
      <c r="F3" s="1406"/>
      <c r="G3" s="1036">
        <f>IF(F3="宗地容积率",'数据-汇总表'!I4,IF(F3="估价对象容积率",'数据-汇总表'!I6,'数据-汇总表'!I7))</f>
        <v>4</v>
      </c>
      <c r="H3" s="1407" t="s">
        <v>929</v>
      </c>
      <c r="I3" s="1037">
        <v>8</v>
      </c>
      <c r="J3" s="1403" t="s">
        <v>930</v>
      </c>
      <c r="K3" s="1403"/>
      <c r="L3" s="1867" t="s">
        <v>2240</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2280</v>
      </c>
      <c r="B4" s="2414" t="e">
        <f>ROUND(B2*10000/F1,0)</f>
        <v>#DIV/0!</v>
      </c>
      <c r="C4" s="1876" t="s">
        <v>2254</v>
      </c>
      <c r="D4" s="1876" t="e">
        <f>ROUND(B2/(F1/666.67),0)</f>
        <v>#DIV/0!</v>
      </c>
      <c r="E4" s="1876" t="s">
        <v>2255</v>
      </c>
      <c r="F4" s="1874"/>
      <c r="G4" s="1874"/>
      <c r="H4" s="1874"/>
      <c r="I4" s="1874"/>
      <c r="J4" s="1875"/>
      <c r="K4" s="3145"/>
      <c r="L4" s="1867" t="s">
        <v>2241</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1823</v>
      </c>
      <c r="B5" s="1408" t="s">
        <v>931</v>
      </c>
      <c r="C5" s="1038" t="e">
        <f>ROUND(IF(E2="商业",C6*C7+C16,(IF(E2="住宅",C6*C12+C16,C6+C16))),0)</f>
        <v>#DIV/0!</v>
      </c>
      <c r="D5" s="3069" t="e">
        <f>ROUND(C6+C16,0)</f>
        <v>#DIV/0!</v>
      </c>
      <c r="E5" s="3069"/>
      <c r="F5" s="1409"/>
      <c r="G5" s="1410"/>
      <c r="H5" s="1410"/>
      <c r="I5" s="1410"/>
      <c r="J5" s="1411"/>
      <c r="K5" s="3146"/>
      <c r="L5" s="1867" t="s">
        <v>2242</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39">
        <f>SUMIF(L1:L12,基准地价!G2,M1:M12)</f>
        <v>0</v>
      </c>
      <c r="D6" s="1416" t="s">
        <v>1695</v>
      </c>
      <c r="E6" s="1417"/>
      <c r="F6" s="1417"/>
      <c r="G6" s="1418"/>
      <c r="H6" s="1418"/>
      <c r="I6" s="1418"/>
      <c r="J6" s="1419"/>
      <c r="K6" s="1449"/>
      <c r="L6" s="1867" t="s">
        <v>2243</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35" t="str">
        <f>IF(E2="商业",IF(C8="不临58条商业街","",2),"")</f>
        <v/>
      </c>
      <c r="B7" s="1420" t="s">
        <v>932</v>
      </c>
      <c r="C7" s="1040" t="e">
        <f>IF(C8="不临58条商业街",1,ROUND(1+(1.6*E8+1.2*E9+0.8*E10+0.4*E11)*C9,4))</f>
        <v>#DIV/0!</v>
      </c>
      <c r="D7" s="1421" t="s">
        <v>933</v>
      </c>
      <c r="E7" s="1041"/>
      <c r="F7" s="1422"/>
      <c r="G7" s="1423"/>
      <c r="H7" s="1423"/>
      <c r="I7" s="1423"/>
      <c r="J7" s="1424"/>
      <c r="K7" s="1449"/>
      <c r="L7" s="1867" t="s">
        <v>2244</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2765</v>
      </c>
      <c r="X7" s="2879">
        <f>G2</f>
        <v>0</v>
      </c>
      <c r="Y7" s="2879" t="s">
        <v>2766</v>
      </c>
      <c r="Z7" s="2880">
        <f>G3</f>
        <v>4</v>
      </c>
      <c r="AA7" s="2174"/>
      <c r="AB7" s="2174"/>
      <c r="AC7" s="2175"/>
      <c r="AD7" s="2881"/>
      <c r="AE7" s="2881"/>
      <c r="AF7" s="2881"/>
      <c r="AG7" s="2881"/>
      <c r="AH7" s="2881"/>
      <c r="AI7" s="2881"/>
      <c r="AJ7" s="2882"/>
    </row>
    <row r="8" spans="1:39" ht="15">
      <c r="A8" s="3436"/>
      <c r="B8" s="1407" t="s">
        <v>934</v>
      </c>
      <c r="C8" s="1513"/>
      <c r="D8" s="1042" t="s">
        <v>935</v>
      </c>
      <c r="E8" s="1043" t="e">
        <f>ROUND(C11/E7,4)</f>
        <v>#DIV/0!</v>
      </c>
      <c r="F8" s="1425" t="s">
        <v>936</v>
      </c>
      <c r="G8" s="1426"/>
      <c r="H8" s="1426"/>
      <c r="I8" s="1426"/>
      <c r="J8" s="1427"/>
      <c r="K8" s="1449"/>
      <c r="L8" s="1867" t="s">
        <v>2245</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46" t="s">
        <v>2783</v>
      </c>
      <c r="X8" s="3447"/>
      <c r="Y8" s="1831" t="s">
        <v>2767</v>
      </c>
      <c r="Z8" s="1831" t="s">
        <v>2768</v>
      </c>
      <c r="AA8" s="1831" t="s">
        <v>2769</v>
      </c>
      <c r="AB8" s="1831" t="s">
        <v>2770</v>
      </c>
      <c r="AC8" s="1831" t="s">
        <v>2771</v>
      </c>
      <c r="AD8" s="1831" t="s">
        <v>2772</v>
      </c>
      <c r="AE8" s="1831" t="s">
        <v>2773</v>
      </c>
      <c r="AF8" s="1831" t="s">
        <v>2774</v>
      </c>
      <c r="AG8" s="1831" t="s">
        <v>2775</v>
      </c>
      <c r="AH8" s="1831" t="s">
        <v>2776</v>
      </c>
      <c r="AI8" s="1831" t="s">
        <v>2777</v>
      </c>
      <c r="AJ8" s="1831" t="s">
        <v>2778</v>
      </c>
    </row>
    <row r="9" spans="1:39" ht="15">
      <c r="A9" s="3436"/>
      <c r="B9" s="1407" t="s">
        <v>937</v>
      </c>
      <c r="C9" s="1044">
        <f>SUMIF(修正!C59:C119,C8,修正!E59:E119)</f>
        <v>0</v>
      </c>
      <c r="D9" s="1045" t="s">
        <v>938</v>
      </c>
      <c r="E9" s="1045" t="e">
        <f>ROUND(C11/E7,4)</f>
        <v>#DIV/0!</v>
      </c>
      <c r="F9" s="1425" t="s">
        <v>939</v>
      </c>
      <c r="G9" s="1426"/>
      <c r="H9" s="1426"/>
      <c r="I9" s="1426"/>
      <c r="J9" s="1427"/>
      <c r="K9" s="1449"/>
      <c r="L9" s="1867" t="s">
        <v>2246</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45" t="s">
        <v>2779</v>
      </c>
      <c r="X9" s="2883" t="s">
        <v>2780</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6"/>
      <c r="B10" s="1407" t="s">
        <v>940</v>
      </c>
      <c r="C10" s="1045">
        <f>SUMIF(修正!C59:C119,C8,修正!F59:F119)</f>
        <v>0</v>
      </c>
      <c r="D10" s="1045" t="s">
        <v>941</v>
      </c>
      <c r="E10" s="1045" t="e">
        <f>ROUND(C11/E7,4)</f>
        <v>#DIV/0!</v>
      </c>
      <c r="F10" s="1425" t="s">
        <v>942</v>
      </c>
      <c r="G10" s="1426"/>
      <c r="H10" s="1426"/>
      <c r="I10" s="1426"/>
      <c r="J10" s="1427"/>
      <c r="K10" s="1449"/>
      <c r="L10" s="1867" t="s">
        <v>2247</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45"/>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6"/>
      <c r="B11" s="1428" t="s">
        <v>943</v>
      </c>
      <c r="C11" s="1046">
        <f>C10/4</f>
        <v>0</v>
      </c>
      <c r="D11" s="1046" t="s">
        <v>944</v>
      </c>
      <c r="E11" s="1046" t="e">
        <f>ROUND(C11/E7,4)</f>
        <v>#DIV/0!</v>
      </c>
      <c r="F11" s="1429" t="s">
        <v>945</v>
      </c>
      <c r="G11" s="1430"/>
      <c r="H11" s="1430"/>
      <c r="I11" s="1430"/>
      <c r="J11" s="1431"/>
      <c r="K11" s="1449"/>
      <c r="L11" s="1867" t="s">
        <v>2248</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45" t="s">
        <v>2781</v>
      </c>
      <c r="X11" s="1045" t="s">
        <v>2766</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5" thickBot="1">
      <c r="A12" s="3435" t="s">
        <v>1871</v>
      </c>
      <c r="B12" s="1432" t="s">
        <v>946</v>
      </c>
      <c r="C12" s="1040">
        <f>ROUND(C15*D15*E15*F15*G15*H15*I15*J15,4)</f>
        <v>1</v>
      </c>
      <c r="D12" s="1433" t="s">
        <v>947</v>
      </c>
      <c r="E12" s="1434"/>
      <c r="F12" s="1434"/>
      <c r="G12" s="1435"/>
      <c r="H12" s="1435"/>
      <c r="I12" s="1435"/>
      <c r="J12" s="1436"/>
      <c r="K12" s="1449"/>
      <c r="L12" s="1870" t="s">
        <v>2249</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45"/>
      <c r="X12" s="2886" t="s">
        <v>2782</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7"/>
      <c r="B13" s="1437" t="s">
        <v>1696</v>
      </c>
      <c r="C13" s="1438" t="s">
        <v>1697</v>
      </c>
      <c r="D13" s="1082" t="s">
        <v>1698</v>
      </c>
      <c r="E13" s="1082" t="s">
        <v>1699</v>
      </c>
      <c r="F13" s="1439" t="s">
        <v>948</v>
      </c>
      <c r="G13" s="1440" t="s">
        <v>1642</v>
      </c>
      <c r="H13" s="1441" t="s">
        <v>1642</v>
      </c>
      <c r="I13" s="1442" t="s">
        <v>1642</v>
      </c>
      <c r="J13" s="1443" t="s">
        <v>1642</v>
      </c>
      <c r="K13" s="3161"/>
      <c r="L13" s="3161"/>
      <c r="M13" s="3161"/>
      <c r="N13" s="3161"/>
      <c r="O13" s="3161"/>
      <c r="P13" s="1394"/>
      <c r="Q13" s="2171"/>
      <c r="R13" s="2889">
        <v>12</v>
      </c>
      <c r="S13" s="2878"/>
      <c r="T13" s="2889" t="e">
        <f t="shared" si="0"/>
        <v>#DIV/0!</v>
      </c>
      <c r="U13" s="2878"/>
      <c r="V13" s="2889" t="e">
        <f t="shared" si="1"/>
        <v>#DIV/0!</v>
      </c>
      <c r="W13" s="3445"/>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37"/>
      <c r="B14" s="1444"/>
      <c r="C14" s="1445"/>
      <c r="D14" s="1446"/>
      <c r="E14" s="1446"/>
      <c r="F14" s="1447"/>
      <c r="G14" s="1448" t="s">
        <v>949</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38"/>
      <c r="B15" s="3166" t="s">
        <v>1700</v>
      </c>
      <c r="C15" s="1046">
        <f>IF(C14="有",1.1,1)</f>
        <v>1</v>
      </c>
      <c r="D15" s="1046">
        <f>IF(D14="有",1.1,1)</f>
        <v>1</v>
      </c>
      <c r="E15" s="1046">
        <f>IF(E14="有",1.1,1)</f>
        <v>1</v>
      </c>
      <c r="F15" s="1046">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35" t="s">
        <v>1838</v>
      </c>
      <c r="B16" s="1420" t="s">
        <v>950</v>
      </c>
      <c r="C16" s="1049" t="e">
        <f>ROUND(IF(F17="与级别开发程度一致",0,(G17-E17)/C17),0)</f>
        <v>#DIV/0!</v>
      </c>
      <c r="D16" s="3453" t="s">
        <v>954</v>
      </c>
      <c r="E16" s="3454"/>
      <c r="F16" s="3453" t="s">
        <v>951</v>
      </c>
      <c r="G16" s="3454"/>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39"/>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0">
        <f>ROUND(IF(H19="按公示增长率计算",SUMPRODUCT((地价!A3:A28=YEAR(G19)&amp;"-"&amp;ROUNDUP(MONTH(G19)/3,0))*(地价!X2:AB2=E2)*(地价!X3:AB28)),IF(H19="地价指数",M20/M19,(1+I19)^O19)),4)</f>
        <v>0</v>
      </c>
      <c r="D19" s="1459" t="s">
        <v>957</v>
      </c>
      <c r="E19" s="1051">
        <v>41640</v>
      </c>
      <c r="F19" s="1459" t="s">
        <v>958</v>
      </c>
      <c r="G19" s="1052">
        <f>'数据-取费表'!B2</f>
        <v>43815</v>
      </c>
      <c r="H19" s="1460" t="s">
        <v>2993</v>
      </c>
      <c r="I19" s="2737" t="str">
        <f>IF(H19="季度增幅（自定义）",SUMIF(N21:N24,E2,O21:O24),"")</f>
        <v/>
      </c>
      <c r="J19" s="1456"/>
      <c r="K19" s="3146"/>
      <c r="L19" s="2989" t="s">
        <v>2840</v>
      </c>
      <c r="M19" s="2990">
        <f>ROUND(SUMIF(地价!B2:F2,E2,地价!B28:F28),0)</f>
        <v>0</v>
      </c>
      <c r="N19" s="2739" t="s">
        <v>1676</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2841</v>
      </c>
      <c r="M20" s="3155">
        <f>ROUND(SUMPRODUCT((地价!A4:A28=YEAR(G19)&amp;"-"&amp;ROUNDUP(MONTH(G19)/3,0))*(地价!B2:F2=E2)*(地价!B4:F28)),0)</f>
        <v>0</v>
      </c>
      <c r="N20" s="2742" t="s">
        <v>2645</v>
      </c>
      <c r="O20" s="2740" t="s">
        <v>2644</v>
      </c>
      <c r="P20" s="2741" t="s">
        <v>2650</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2761</v>
      </c>
      <c r="C21" s="1151">
        <f>IF(B21="容积率修正",IF(G3&lt;=10,D22,J22),C23)</f>
        <v>0</v>
      </c>
      <c r="D21" s="1466"/>
      <c r="E21" s="1466"/>
      <c r="F21" s="1466"/>
      <c r="G21" s="1466"/>
      <c r="H21" s="1466"/>
      <c r="I21" s="1466"/>
      <c r="J21" s="1467"/>
      <c r="K21" s="3146"/>
      <c r="L21" s="1466"/>
      <c r="M21" s="1466"/>
      <c r="N21" s="1463" t="s">
        <v>975</v>
      </c>
      <c r="O21" s="1526"/>
      <c r="P21" s="2729">
        <f>SUMPRODUCT((地价!A3:A28=YEAR(G19)&amp;"-"&amp;ROUNDUP(MONTH(G19)/3,0))*(地价!AD2:AH2=N21)*(地价!AD3:AH28))</f>
        <v>1.41E-2</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3" t="s">
        <v>1702</v>
      </c>
      <c r="D22" s="1053" t="b">
        <f>IF(E22=G22,F22,IF(G3&lt;=10,ROUND(F22+(H22-F22)*(G3-E22)/(G22-E22),4),"——"))</f>
        <v>0</v>
      </c>
      <c r="E22" s="1036">
        <f>ROUNDDOWN(G3,1)</f>
        <v>4</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4</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9"/>
      <c r="L22" s="1466"/>
      <c r="M22" s="1466"/>
      <c r="N22" s="1463" t="s">
        <v>978</v>
      </c>
      <c r="O22" s="1526"/>
      <c r="P22" s="2729">
        <f>SUMPRODUCT((地价!A3:A28=YEAR(G19)&amp;"-"&amp;ROUNDUP(MONTH(G19)/3,0))*(地价!AD2:AH2=N22)*(地价!AD3:AH28))</f>
        <v>1.41E-2</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923</v>
      </c>
      <c r="O23" s="1526"/>
      <c r="P23" s="2729">
        <f>SUMPRODUCT((地价!A3:A28=YEAR(G19)&amp;"-"&amp;ROUNDUP(MONTH(G19)/3,0))*(地价!AD2:AH2=N23)*(地价!AD3:AH28))</f>
        <v>2.1600000000000001E-2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5">
        <f>SUMIF(A44:A87,E2,B44:B87)</f>
        <v>0</v>
      </c>
      <c r="D24" s="1519"/>
      <c r="E24" s="1520"/>
      <c r="F24" s="1520"/>
      <c r="G24" s="1520"/>
      <c r="H24" s="1520"/>
      <c r="I24" s="1520"/>
      <c r="J24" s="1520"/>
      <c r="K24" s="3150"/>
      <c r="L24" s="1466"/>
      <c r="M24" s="1466"/>
      <c r="N24" s="1463" t="s">
        <v>981</v>
      </c>
      <c r="O24" s="3154"/>
      <c r="P24" s="2729">
        <f>SUMPRODUCT((地价!A3:A28=YEAR(G19)&amp;"-"&amp;ROUNDUP(MONTH(G19)/3,0))*(地价!AD2:AH2=N24)*(地价!AD3:AH28))</f>
        <v>1.38E-2</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6" t="s">
        <v>2648</v>
      </c>
      <c r="O25" s="3157"/>
      <c r="P25" s="2408">
        <f>SUMPRODUCT((地价!A3:A28=YEAR(G19)&amp;"-"&amp;ROUNDUP(MONTH(G19)/3,0))*(地价!AD2:AH2=N25)*(地价!AD3:AH28))</f>
        <v>1.9800000000000002E-2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1701</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2" t="s">
        <v>2960</v>
      </c>
      <c r="B33" s="1508" t="s">
        <v>999</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3"/>
      <c r="B34" s="1438" t="s">
        <v>1000</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3"/>
      <c r="B35" s="1438" t="s">
        <v>1001</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4"/>
      <c r="B36" s="1438" t="s">
        <v>1002</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4" t="s">
        <v>2987</v>
      </c>
      <c r="C41" s="838" t="e">
        <f>ROUND(POWER(1+E41,H41-G41)*(POWER(1+E41,G41)-1)/(POWER(1+E41,H41)-1),4)</f>
        <v>#DIV/0!</v>
      </c>
      <c r="D41" s="377" t="s">
        <v>2985</v>
      </c>
      <c r="E41" s="3143">
        <f>G20</f>
        <v>0</v>
      </c>
      <c r="F41" s="377" t="s">
        <v>2986</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2250</v>
      </c>
      <c r="G46" s="2392" t="s">
        <v>1014</v>
      </c>
      <c r="H46" s="2375" t="s">
        <v>2418</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6" t="s">
        <v>2937</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5" t="s">
        <v>2936</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2251</v>
      </c>
      <c r="G57" s="2392" t="s">
        <v>1014</v>
      </c>
      <c r="H57" s="2375" t="s">
        <v>2418</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6" t="s">
        <v>2938</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5" t="s">
        <v>2936</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2252</v>
      </c>
      <c r="G68" s="2392" t="s">
        <v>1014</v>
      </c>
      <c r="H68" s="2375" t="s">
        <v>2418</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5" t="s">
        <v>2936</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2253</v>
      </c>
      <c r="G79" s="2392" t="s">
        <v>1014</v>
      </c>
      <c r="H79" s="2375" t="s">
        <v>2418</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1022</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1034</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1026</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1027</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1025</v>
      </c>
      <c r="B86" s="3045" t="s">
        <v>2936</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0" t="s">
        <v>1633</v>
      </c>
      <c r="B90" s="3440"/>
      <c r="C90" s="3440"/>
      <c r="D90" s="3440"/>
      <c r="E90" s="3440"/>
      <c r="F90" s="3440"/>
      <c r="G90" s="3440"/>
      <c r="H90" s="3440"/>
      <c r="I90" s="3440"/>
      <c r="J90" s="3440"/>
      <c r="K90" s="2411"/>
      <c r="L90" s="2411"/>
      <c r="M90" s="2411"/>
      <c r="N90" s="2411"/>
    </row>
    <row r="91" spans="1:40">
      <c r="A91" s="3441" t="s">
        <v>1443</v>
      </c>
      <c r="B91" s="3441" t="s">
        <v>1634</v>
      </c>
      <c r="C91" s="1133" t="s">
        <v>1635</v>
      </c>
      <c r="D91" s="1134"/>
      <c r="E91" s="1134"/>
      <c r="F91" s="1134"/>
      <c r="G91" s="1134"/>
      <c r="H91" s="1134"/>
      <c r="I91" s="1134"/>
      <c r="J91" s="1135"/>
      <c r="K91" s="1127"/>
      <c r="L91" s="1127"/>
      <c r="M91" s="1127"/>
      <c r="N91" s="1127"/>
    </row>
    <row r="92" spans="1:40">
      <c r="A92" s="3441"/>
      <c r="B92" s="3441"/>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48" t="s">
        <v>2764</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9"/>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5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8" t="s">
        <v>1637</v>
      </c>
      <c r="B101" s="1140" t="s">
        <v>906</v>
      </c>
      <c r="C101" s="1141">
        <f>$G$3</f>
        <v>4</v>
      </c>
      <c r="D101" s="1141">
        <f t="shared" ref="D101:N101" si="31">$G$3</f>
        <v>4</v>
      </c>
      <c r="E101" s="1141">
        <f t="shared" si="31"/>
        <v>4</v>
      </c>
      <c r="F101" s="1141">
        <f t="shared" si="31"/>
        <v>4</v>
      </c>
      <c r="G101" s="1141">
        <f t="shared" si="31"/>
        <v>4</v>
      </c>
      <c r="H101" s="1141">
        <f t="shared" si="31"/>
        <v>4</v>
      </c>
      <c r="I101" s="1141">
        <f t="shared" si="31"/>
        <v>4</v>
      </c>
      <c r="J101" s="1141">
        <f t="shared" si="31"/>
        <v>4</v>
      </c>
      <c r="K101" s="1141">
        <f t="shared" si="31"/>
        <v>4</v>
      </c>
      <c r="L101" s="1141">
        <f t="shared" si="31"/>
        <v>4</v>
      </c>
      <c r="M101" s="1141">
        <f t="shared" si="31"/>
        <v>4</v>
      </c>
      <c r="N101" s="1141">
        <f t="shared" si="31"/>
        <v>4</v>
      </c>
    </row>
    <row r="102" spans="1:14">
      <c r="A102" s="3449"/>
      <c r="B102" s="1136">
        <v>1</v>
      </c>
      <c r="C102" s="1137">
        <f>1.9362/C101</f>
        <v>0.48404999999999998</v>
      </c>
      <c r="D102" s="1137">
        <f>1.9362/D101</f>
        <v>0.48404999999999998</v>
      </c>
      <c r="E102" s="1137">
        <f>1.8629/E101</f>
        <v>0.465725</v>
      </c>
      <c r="F102" s="1137">
        <f>1.8629/F101</f>
        <v>0.465725</v>
      </c>
      <c r="G102" s="1137">
        <f>1.8629/G101</f>
        <v>0.465725</v>
      </c>
      <c r="H102" s="1137">
        <f>1.8629/H101</f>
        <v>0.465725</v>
      </c>
      <c r="I102" s="1137">
        <f>1.8629/I101</f>
        <v>0.465725</v>
      </c>
      <c r="J102" s="1137">
        <f>1.942/J101</f>
        <v>0.48549999999999999</v>
      </c>
      <c r="K102" s="1137">
        <f>1.942/K101</f>
        <v>0.48549999999999999</v>
      </c>
      <c r="L102" s="1137">
        <f>1.942/L101</f>
        <v>0.48549999999999999</v>
      </c>
      <c r="M102" s="1137">
        <f>1.942/M101</f>
        <v>0.48549999999999999</v>
      </c>
      <c r="N102" s="1137">
        <f>1.942/N101</f>
        <v>0.48549999999999999</v>
      </c>
    </row>
    <row r="103" spans="1:14">
      <c r="A103" s="3449"/>
      <c r="B103" s="1136">
        <v>2</v>
      </c>
      <c r="C103" s="1137">
        <f>1.4198/C101</f>
        <v>0.35494999999999999</v>
      </c>
      <c r="D103" s="1137">
        <f>1.4198/D101</f>
        <v>0.35494999999999999</v>
      </c>
      <c r="E103" s="1137">
        <f>1.3372/E101</f>
        <v>0.33429999999999999</v>
      </c>
      <c r="F103" s="1137">
        <f>1.3372/F101</f>
        <v>0.33429999999999999</v>
      </c>
      <c r="G103" s="1137">
        <f>1.3372/G101</f>
        <v>0.33429999999999999</v>
      </c>
      <c r="H103" s="1137">
        <f>1.3372/H101</f>
        <v>0.33429999999999999</v>
      </c>
      <c r="I103" s="1137">
        <f>1.3372/I101</f>
        <v>0.33429999999999999</v>
      </c>
      <c r="J103" s="1137">
        <f>1.2799/J101</f>
        <v>0.31997500000000001</v>
      </c>
      <c r="K103" s="1137">
        <f>1.2799/K101</f>
        <v>0.31997500000000001</v>
      </c>
      <c r="L103" s="1137">
        <f>1.2799/L101</f>
        <v>0.31997500000000001</v>
      </c>
      <c r="M103" s="1137">
        <f>1.2799/M101</f>
        <v>0.31997500000000001</v>
      </c>
      <c r="N103" s="1137">
        <f>1.2799/N101</f>
        <v>0.31997500000000001</v>
      </c>
    </row>
    <row r="104" spans="1:14">
      <c r="A104" s="3449"/>
      <c r="B104" s="1136">
        <v>3</v>
      </c>
      <c r="C104" s="1137">
        <f>1.1594/C101</f>
        <v>0.28985</v>
      </c>
      <c r="D104" s="1137">
        <f>1.1594/D101</f>
        <v>0.28985</v>
      </c>
      <c r="E104" s="1137">
        <f>1.0788/E101</f>
        <v>0.2697</v>
      </c>
      <c r="F104" s="1137">
        <f>1.0788/F101</f>
        <v>0.2697</v>
      </c>
      <c r="G104" s="1137">
        <f>1.0788/G101</f>
        <v>0.2697</v>
      </c>
      <c r="H104" s="1137">
        <f>1.0788/H101</f>
        <v>0.2697</v>
      </c>
      <c r="I104" s="1137">
        <f>1.0788/I101</f>
        <v>0.2697</v>
      </c>
      <c r="J104" s="1137">
        <f>1.0072/J101</f>
        <v>0.25180000000000002</v>
      </c>
      <c r="K104" s="1137">
        <f>1.0072/K101</f>
        <v>0.25180000000000002</v>
      </c>
      <c r="L104" s="1137">
        <f>1.0072/L101</f>
        <v>0.25180000000000002</v>
      </c>
      <c r="M104" s="1137">
        <f>1.0072/M101</f>
        <v>0.25180000000000002</v>
      </c>
      <c r="N104" s="1137">
        <f>1.0072/N101</f>
        <v>0.25180000000000002</v>
      </c>
    </row>
    <row r="105" spans="1:14">
      <c r="A105" s="3449"/>
      <c r="B105" s="1136">
        <v>4</v>
      </c>
      <c r="C105" s="1137">
        <f>0.9622/C101</f>
        <v>0.24055000000000001</v>
      </c>
      <c r="D105" s="1137">
        <f>0.9622/D101</f>
        <v>0.24055000000000001</v>
      </c>
      <c r="E105" s="1137">
        <f>0.8656/E101</f>
        <v>0.21640000000000001</v>
      </c>
      <c r="F105" s="1137">
        <f>0.8656/F101</f>
        <v>0.21640000000000001</v>
      </c>
      <c r="G105" s="1137">
        <f>0.8656/G101</f>
        <v>0.21640000000000001</v>
      </c>
      <c r="H105" s="1137">
        <f>0.8656/H101</f>
        <v>0.21640000000000001</v>
      </c>
      <c r="I105" s="1137">
        <f>0.8656/I101</f>
        <v>0.21640000000000001</v>
      </c>
      <c r="J105" s="1137">
        <f>0.7525/J101</f>
        <v>0.18812499999999999</v>
      </c>
      <c r="K105" s="1137">
        <f>0.7525/K101</f>
        <v>0.18812499999999999</v>
      </c>
      <c r="L105" s="1137">
        <f>0.7525/L101</f>
        <v>0.18812499999999999</v>
      </c>
      <c r="M105" s="1137">
        <f>0.7525/M101</f>
        <v>0.18812499999999999</v>
      </c>
      <c r="N105" s="1137">
        <f>0.7525/N101</f>
        <v>0.18812499999999999</v>
      </c>
    </row>
    <row r="106" spans="1:14">
      <c r="A106" s="3449"/>
      <c r="B106" s="1136">
        <v>5</v>
      </c>
      <c r="C106" s="1137">
        <f>0.8417/C101</f>
        <v>0.210425</v>
      </c>
      <c r="D106" s="1137">
        <f>0.8417/D101</f>
        <v>0.210425</v>
      </c>
      <c r="E106" s="1137">
        <f>0.7371/E101</f>
        <v>0.18427499999999999</v>
      </c>
      <c r="F106" s="1137">
        <f>0.7371/F101</f>
        <v>0.18427499999999999</v>
      </c>
      <c r="G106" s="1137">
        <f>0.7371/G101</f>
        <v>0.18427499999999999</v>
      </c>
      <c r="H106" s="1137">
        <f>0.7371/H101</f>
        <v>0.18427499999999999</v>
      </c>
      <c r="I106" s="1137">
        <f>0.7371/I101</f>
        <v>0.18427499999999999</v>
      </c>
      <c r="J106" s="1137">
        <f>0.5659/J101</f>
        <v>0.14147499999999999</v>
      </c>
      <c r="K106" s="1137">
        <f>0.5659/K101</f>
        <v>0.14147499999999999</v>
      </c>
      <c r="L106" s="1137">
        <f>0.5659/L101</f>
        <v>0.14147499999999999</v>
      </c>
      <c r="M106" s="1137">
        <f>0.5659/M101</f>
        <v>0.14147499999999999</v>
      </c>
      <c r="N106" s="1137">
        <f>0.5659/N101</f>
        <v>0.14147499999999999</v>
      </c>
    </row>
    <row r="107" spans="1:14">
      <c r="A107" s="3449"/>
      <c r="B107" s="1136">
        <v>6</v>
      </c>
      <c r="C107" s="1137">
        <f>0.7608/C101</f>
        <v>0.19020000000000001</v>
      </c>
      <c r="D107" s="1137">
        <f>0.7608/D101</f>
        <v>0.19020000000000001</v>
      </c>
      <c r="E107" s="1137">
        <f>0.6482/E101</f>
        <v>0.16205</v>
      </c>
      <c r="F107" s="1137">
        <f>0.6482/F101</f>
        <v>0.16205</v>
      </c>
      <c r="G107" s="1137">
        <f>0.6482/G101</f>
        <v>0.16205</v>
      </c>
      <c r="H107" s="1137">
        <f>0.6482/H101</f>
        <v>0.16205</v>
      </c>
      <c r="I107" s="1137">
        <f>0.6482/I101</f>
        <v>0.16205</v>
      </c>
      <c r="J107" s="1137">
        <f>0.4525/J101</f>
        <v>0.113125</v>
      </c>
      <c r="K107" s="1137">
        <f>0.4525/K101</f>
        <v>0.113125</v>
      </c>
      <c r="L107" s="1137">
        <f>0.4525/L101</f>
        <v>0.113125</v>
      </c>
      <c r="M107" s="1137">
        <f>0.4525/M101</f>
        <v>0.113125</v>
      </c>
      <c r="N107" s="1137">
        <f>0.4525/N101</f>
        <v>0.113125</v>
      </c>
    </row>
    <row r="108" spans="1:14">
      <c r="A108" s="3449"/>
      <c r="B108" s="3451"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50"/>
      <c r="B109" s="3452"/>
      <c r="C109" s="1139">
        <f>(-0.163*(C108^2)-0.59*C108+7617)*(10^(-4))/C101</f>
        <v>0.1900462</v>
      </c>
      <c r="D109" s="1139">
        <f>(-0.163*(D108^2)-0.59*D108+7617)*(10^(-4))/D101</f>
        <v>0.1900462</v>
      </c>
      <c r="E109" s="1139">
        <f>(-0.161*(E108^2)-7.509*E108+6533)*(10^(-4))/E101</f>
        <v>0.1615656</v>
      </c>
      <c r="F109" s="1139">
        <f>(-0.161*(F108^2)-7.509*F108+6533)*(10^(-4))/F101</f>
        <v>0.1615656</v>
      </c>
      <c r="G109" s="1139">
        <f>(-0.161*(G108^2)-7.509*G108+6533)*(10^(-4))/G101</f>
        <v>0.1615656</v>
      </c>
      <c r="H109" s="1139">
        <f>(-0.161*(H108^2)-7.509*H108+6533)*(10^(-4))/H101</f>
        <v>0.1615656</v>
      </c>
      <c r="I109" s="1139">
        <f>(-0.161*(I108^2)-7.509*I108+6533)*(10^(-4))/I101</f>
        <v>0.1615656</v>
      </c>
      <c r="J109" s="1139">
        <f>(-0.214*(J108^2)-21.991*J108+4665)*(10^(-4))/J101</f>
        <v>0.11188440000000001</v>
      </c>
      <c r="K109" s="1139">
        <f>(-0.214*(K108^2)-21.991*K108+4665)*(10^(-4))/K101</f>
        <v>0.11188440000000001</v>
      </c>
      <c r="L109" s="1139">
        <f>(-0.214*(L108^2)-21.991*L108+4665)*(10^(-4))/L101</f>
        <v>0.11188440000000001</v>
      </c>
      <c r="M109" s="1139">
        <f>(-0.214*(M108^2)-21.991*M108+4665)*(10^(-4))/M101</f>
        <v>0.11188440000000001</v>
      </c>
      <c r="N109" s="1139">
        <f>(-0.214*(N108^2)-21.991*N108+4665)*(10^(-4))/N101</f>
        <v>0.11188440000000001</v>
      </c>
    </row>
    <row r="110" spans="1:14">
      <c r="A110" s="3434" t="s">
        <v>1639</v>
      </c>
      <c r="B110" s="3434"/>
      <c r="C110" s="3434"/>
      <c r="D110" s="3434"/>
      <c r="E110" s="3434"/>
      <c r="F110" s="3434"/>
      <c r="G110" s="3434"/>
      <c r="H110" s="3434"/>
      <c r="I110" s="3434"/>
      <c r="J110" s="3434"/>
      <c r="K110" s="2409"/>
      <c r="L110" s="2409"/>
      <c r="M110" s="2409"/>
      <c r="N110" s="2409"/>
    </row>
    <row r="112" spans="1:14" ht="12.75" thickBot="1"/>
    <row r="113" spans="1:13" ht="25.5" thickBot="1">
      <c r="A113" s="1013" t="s">
        <v>896</v>
      </c>
      <c r="B113" s="2412">
        <f>G3</f>
        <v>4</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0.89590000000000003</v>
      </c>
      <c r="C115" s="1027">
        <f>B115</f>
        <v>0.89590000000000003</v>
      </c>
      <c r="D115" s="1027">
        <f>ROUND(0.8331-0.0109*B113,4)</f>
        <v>0.78949999999999998</v>
      </c>
      <c r="E115" s="1027">
        <f>D115</f>
        <v>0.78949999999999998</v>
      </c>
      <c r="F115" s="1027">
        <f>E115</f>
        <v>0.78949999999999998</v>
      </c>
      <c r="G115" s="1027">
        <f>F115</f>
        <v>0.78949999999999998</v>
      </c>
      <c r="H115" s="1027">
        <f>G115</f>
        <v>0.78949999999999998</v>
      </c>
      <c r="I115" s="1027">
        <f>ROUND(0.689-0.0155*B113,4)</f>
        <v>0.627</v>
      </c>
      <c r="J115" s="1027">
        <f t="shared" ref="J115:M118" si="33">I115</f>
        <v>0.627</v>
      </c>
      <c r="K115" s="1027">
        <f t="shared" si="33"/>
        <v>0.627</v>
      </c>
      <c r="L115" s="1027">
        <f t="shared" si="33"/>
        <v>0.627</v>
      </c>
      <c r="M115" s="1028">
        <f t="shared" si="33"/>
        <v>0.627</v>
      </c>
    </row>
    <row r="116" spans="1:13" ht="12.75">
      <c r="A116" s="1026" t="s">
        <v>901</v>
      </c>
      <c r="B116" s="1027">
        <f>ROUND(0.949-0.012*B113,4)</f>
        <v>0.90100000000000002</v>
      </c>
      <c r="C116" s="1027">
        <f>B116</f>
        <v>0.90100000000000002</v>
      </c>
      <c r="D116" s="1027">
        <f>ROUND(0.8567-0.013*B113,4)</f>
        <v>0.80469999999999997</v>
      </c>
      <c r="E116" s="1027">
        <f t="shared" ref="E116:H117" si="34">D116</f>
        <v>0.80469999999999997</v>
      </c>
      <c r="F116" s="1027">
        <f t="shared" si="34"/>
        <v>0.80469999999999997</v>
      </c>
      <c r="G116" s="1027">
        <f t="shared" si="34"/>
        <v>0.80469999999999997</v>
      </c>
      <c r="H116" s="1027">
        <f t="shared" si="34"/>
        <v>0.80469999999999997</v>
      </c>
      <c r="I116" s="1027">
        <f>ROUND(0.7694-0.014*B113,4)</f>
        <v>0.71340000000000003</v>
      </c>
      <c r="J116" s="1027">
        <f t="shared" si="33"/>
        <v>0.71340000000000003</v>
      </c>
      <c r="K116" s="1027">
        <f t="shared" si="33"/>
        <v>0.71340000000000003</v>
      </c>
      <c r="L116" s="1027">
        <f t="shared" si="33"/>
        <v>0.71340000000000003</v>
      </c>
      <c r="M116" s="1028">
        <f t="shared" si="33"/>
        <v>0.71340000000000003</v>
      </c>
    </row>
    <row r="117" spans="1:13" ht="12.75">
      <c r="A117" s="1029" t="s">
        <v>902</v>
      </c>
      <c r="B117" s="1027">
        <f>ROUND(0.8808-0.006*B113,4)</f>
        <v>0.85680000000000001</v>
      </c>
      <c r="C117" s="1027">
        <f>B117</f>
        <v>0.85680000000000001</v>
      </c>
      <c r="D117" s="1027">
        <f>ROUND(0.8748-0.008*B113,4)</f>
        <v>0.84279999999999999</v>
      </c>
      <c r="E117" s="1027">
        <f t="shared" si="34"/>
        <v>0.84279999999999999</v>
      </c>
      <c r="F117" s="1027">
        <f t="shared" si="34"/>
        <v>0.84279999999999999</v>
      </c>
      <c r="G117" s="1027">
        <f t="shared" si="34"/>
        <v>0.84279999999999999</v>
      </c>
      <c r="H117" s="1027">
        <f t="shared" si="34"/>
        <v>0.84279999999999999</v>
      </c>
      <c r="I117" s="1027">
        <f>ROUND(0.7412-0.0095*B113,4)</f>
        <v>0.70320000000000005</v>
      </c>
      <c r="J117" s="1027">
        <f t="shared" si="33"/>
        <v>0.70320000000000005</v>
      </c>
      <c r="K117" s="1027">
        <f t="shared" si="33"/>
        <v>0.70320000000000005</v>
      </c>
      <c r="L117" s="1027">
        <f t="shared" si="33"/>
        <v>0.70320000000000005</v>
      </c>
      <c r="M117" s="1028">
        <f t="shared" si="33"/>
        <v>0.70320000000000005</v>
      </c>
    </row>
    <row r="118" spans="1:13" ht="13.5" thickBot="1">
      <c r="A118" s="1030" t="s">
        <v>903</v>
      </c>
      <c r="B118" s="1031">
        <f>ROUND(0.7275-0.01*B113,4)</f>
        <v>0.6875</v>
      </c>
      <c r="C118" s="1031">
        <f>B118</f>
        <v>0.6875</v>
      </c>
      <c r="D118" s="1031">
        <f>ROUND(0.7043-0.012*B113,4)</f>
        <v>0.65629999999999999</v>
      </c>
      <c r="E118" s="1031">
        <f>D118</f>
        <v>0.65629999999999999</v>
      </c>
      <c r="F118" s="1031">
        <f>E118</f>
        <v>0.65629999999999999</v>
      </c>
      <c r="G118" s="1031">
        <f>ROUND(0.6299-0.0122*B113,4)</f>
        <v>0.58109999999999995</v>
      </c>
      <c r="H118" s="1031">
        <f>G118</f>
        <v>0.58109999999999995</v>
      </c>
      <c r="I118" s="1031">
        <f>ROUND(0.5667-0.0136*B113,4)</f>
        <v>0.51229999999999998</v>
      </c>
      <c r="J118" s="1031">
        <f t="shared" si="33"/>
        <v>0.51229999999999998</v>
      </c>
      <c r="K118" s="1031">
        <f t="shared" si="33"/>
        <v>0.51229999999999998</v>
      </c>
      <c r="L118" s="1031">
        <f t="shared" si="33"/>
        <v>0.51229999999999998</v>
      </c>
      <c r="M118" s="1032">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3" t="s">
        <v>2990</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41" t="s">
        <v>1007</v>
      </c>
      <c r="B18" s="1147" t="s">
        <v>1446</v>
      </c>
      <c r="C18" s="1124" t="s">
        <v>1447</v>
      </c>
      <c r="D18" s="1125"/>
      <c r="E18" s="1147">
        <v>1</v>
      </c>
      <c r="F18" s="1126" t="s">
        <v>1448</v>
      </c>
      <c r="G18" s="1127"/>
      <c r="H18" s="1098"/>
      <c r="I18" s="1098"/>
    </row>
    <row r="19" spans="1:9" s="1581" customFormat="1" ht="19.5" customHeight="1">
      <c r="A19" s="3441"/>
      <c r="B19" s="3441" t="s">
        <v>1449</v>
      </c>
      <c r="C19" s="1124" t="s">
        <v>1450</v>
      </c>
      <c r="D19" s="1125"/>
      <c r="E19" s="1147">
        <v>0.9</v>
      </c>
      <c r="F19" s="1126" t="s">
        <v>1451</v>
      </c>
      <c r="G19" s="1127"/>
      <c r="H19" s="1098"/>
      <c r="I19" s="1098"/>
    </row>
    <row r="20" spans="1:9" s="1581" customFormat="1" ht="19.5" customHeight="1">
      <c r="A20" s="3441"/>
      <c r="B20" s="3441"/>
      <c r="C20" s="1124" t="s">
        <v>1452</v>
      </c>
      <c r="D20" s="1125"/>
      <c r="E20" s="1147">
        <v>1.1000000000000001</v>
      </c>
      <c r="F20" s="1126" t="s">
        <v>1453</v>
      </c>
      <c r="G20" s="1127"/>
      <c r="H20" s="1098"/>
      <c r="I20" s="1098"/>
    </row>
    <row r="21" spans="1:9" s="1581" customFormat="1" ht="19.5" customHeight="1">
      <c r="A21" s="3441"/>
      <c r="B21" s="3441"/>
      <c r="C21" s="1124" t="s">
        <v>1454</v>
      </c>
      <c r="D21" s="1125"/>
      <c r="E21" s="1147">
        <v>0.8</v>
      </c>
      <c r="F21" s="1126" t="s">
        <v>1455</v>
      </c>
      <c r="G21" s="1127"/>
      <c r="H21" s="1098"/>
      <c r="I21" s="1098"/>
    </row>
    <row r="22" spans="1:9" s="1581" customFormat="1" ht="19.5" customHeight="1">
      <c r="A22" s="3441"/>
      <c r="B22" s="3441"/>
      <c r="C22" s="1124" t="s">
        <v>1456</v>
      </c>
      <c r="D22" s="1125"/>
      <c r="E22" s="1147">
        <v>0.5</v>
      </c>
      <c r="F22" s="1126"/>
      <c r="G22" s="1127"/>
      <c r="H22" s="1098"/>
      <c r="I22" s="1098"/>
    </row>
    <row r="23" spans="1:9" s="1581" customFormat="1" ht="19.5" customHeight="1">
      <c r="A23" s="3441" t="s">
        <v>1029</v>
      </c>
      <c r="B23" s="1147" t="s">
        <v>1446</v>
      </c>
      <c r="C23" s="1124" t="s">
        <v>1457</v>
      </c>
      <c r="D23" s="1125"/>
      <c r="E23" s="1147">
        <v>1</v>
      </c>
      <c r="F23" s="1126" t="s">
        <v>1458</v>
      </c>
      <c r="G23" s="1127"/>
      <c r="H23" s="1098"/>
      <c r="I23" s="1098"/>
    </row>
    <row r="24" spans="1:9" s="1581" customFormat="1" ht="19.5" customHeight="1">
      <c r="A24" s="3441"/>
      <c r="B24" s="3441" t="s">
        <v>1449</v>
      </c>
      <c r="C24" s="1124" t="s">
        <v>1459</v>
      </c>
      <c r="D24" s="1125"/>
      <c r="E24" s="1147">
        <v>0.5</v>
      </c>
      <c r="F24" s="1126"/>
      <c r="G24" s="1127"/>
      <c r="H24" s="1098"/>
      <c r="I24" s="1098"/>
    </row>
    <row r="25" spans="1:9" s="1581" customFormat="1" ht="19.5" customHeight="1">
      <c r="A25" s="3441"/>
      <c r="B25" s="3441"/>
      <c r="C25" s="1124" t="s">
        <v>1460</v>
      </c>
      <c r="D25" s="1125"/>
      <c r="E25" s="1147">
        <v>1.1000000000000001</v>
      </c>
      <c r="F25" s="1126"/>
      <c r="G25" s="1127"/>
      <c r="H25" s="1098"/>
      <c r="I25" s="1098"/>
    </row>
    <row r="26" spans="1:9" s="1581" customFormat="1" ht="19.5" customHeight="1">
      <c r="A26" s="3441"/>
      <c r="B26" s="3441"/>
      <c r="C26" s="1124" t="s">
        <v>1461</v>
      </c>
      <c r="D26" s="1125"/>
      <c r="E26" s="1147">
        <v>1.1000000000000001</v>
      </c>
      <c r="F26" s="1126"/>
      <c r="G26" s="1127"/>
      <c r="H26" s="1098"/>
      <c r="I26" s="1098"/>
    </row>
    <row r="27" spans="1:9" s="1581" customFormat="1" ht="19.5" customHeight="1">
      <c r="A27" s="3441"/>
      <c r="B27" s="3441"/>
      <c r="C27" s="1124" t="s">
        <v>1462</v>
      </c>
      <c r="D27" s="1125"/>
      <c r="E27" s="1147">
        <v>0.9</v>
      </c>
      <c r="F27" s="1126" t="s">
        <v>1463</v>
      </c>
      <c r="G27" s="1127"/>
      <c r="H27" s="1098"/>
      <c r="I27" s="1098"/>
    </row>
    <row r="28" spans="1:9" s="1581" customFormat="1" ht="19.5" customHeight="1">
      <c r="A28" s="3441"/>
      <c r="B28" s="3441"/>
      <c r="C28" s="1124" t="s">
        <v>1464</v>
      </c>
      <c r="D28" s="1125"/>
      <c r="E28" s="1147">
        <v>0.9</v>
      </c>
      <c r="F28" s="1126" t="s">
        <v>1465</v>
      </c>
      <c r="G28" s="1127"/>
      <c r="H28" s="1098"/>
      <c r="I28" s="1098"/>
    </row>
    <row r="29" spans="1:9" s="1581" customFormat="1" ht="19.5" customHeight="1">
      <c r="A29" s="3441"/>
      <c r="B29" s="3441"/>
      <c r="C29" s="1124" t="s">
        <v>1466</v>
      </c>
      <c r="D29" s="1125"/>
      <c r="E29" s="1147">
        <v>0.9</v>
      </c>
      <c r="F29" s="1126" t="s">
        <v>1467</v>
      </c>
      <c r="G29" s="1127"/>
      <c r="H29" s="1098"/>
      <c r="I29" s="1098"/>
    </row>
    <row r="30" spans="1:9" s="1581" customFormat="1" ht="19.5" customHeight="1">
      <c r="A30" s="3441"/>
      <c r="B30" s="3441"/>
      <c r="C30" s="1124" t="s">
        <v>1468</v>
      </c>
      <c r="D30" s="1125"/>
      <c r="E30" s="1147">
        <v>0.9</v>
      </c>
      <c r="F30" s="1126" t="s">
        <v>1469</v>
      </c>
      <c r="G30" s="1127"/>
      <c r="H30" s="1098"/>
      <c r="I30" s="1098"/>
    </row>
    <row r="31" spans="1:9" s="1581" customFormat="1" ht="19.5" customHeight="1">
      <c r="A31" s="3441"/>
      <c r="B31" s="3441"/>
      <c r="C31" s="1124" t="s">
        <v>1470</v>
      </c>
      <c r="D31" s="1125"/>
      <c r="E31" s="1147">
        <v>0.8</v>
      </c>
      <c r="F31" s="1126" t="s">
        <v>1471</v>
      </c>
      <c r="G31" s="1127"/>
      <c r="H31" s="1098"/>
      <c r="I31" s="1098"/>
    </row>
    <row r="32" spans="1:9" s="1581" customFormat="1" ht="19.5" customHeight="1">
      <c r="A32" s="3441"/>
      <c r="B32" s="3441"/>
      <c r="C32" s="1124" t="s">
        <v>1472</v>
      </c>
      <c r="D32" s="1125"/>
      <c r="E32" s="1147">
        <v>0.8</v>
      </c>
      <c r="F32" s="1126" t="s">
        <v>1473</v>
      </c>
      <c r="G32" s="1127"/>
      <c r="H32" s="1098"/>
      <c r="I32" s="1098"/>
    </row>
    <row r="33" spans="1:9" s="1581" customFormat="1" ht="19.5" customHeight="1">
      <c r="A33" s="3441" t="s">
        <v>1474</v>
      </c>
      <c r="B33" s="1147" t="s">
        <v>1446</v>
      </c>
      <c r="C33" s="1124" t="s">
        <v>1475</v>
      </c>
      <c r="D33" s="1125"/>
      <c r="E33" s="1147">
        <v>1</v>
      </c>
      <c r="F33" s="1126" t="s">
        <v>1476</v>
      </c>
      <c r="G33" s="1127"/>
      <c r="H33" s="1098"/>
      <c r="I33" s="1098"/>
    </row>
    <row r="34" spans="1:9" s="1581" customFormat="1" ht="19.5" customHeight="1">
      <c r="A34" s="3441"/>
      <c r="B34" s="1147" t="s">
        <v>1449</v>
      </c>
      <c r="C34" s="1124" t="s">
        <v>1477</v>
      </c>
      <c r="D34" s="1125"/>
      <c r="E34" s="1147">
        <v>1.5</v>
      </c>
      <c r="F34" s="1126" t="s">
        <v>1478</v>
      </c>
      <c r="G34" s="1127"/>
      <c r="H34" s="1098"/>
      <c r="I34" s="1098"/>
    </row>
    <row r="35" spans="1:9" s="1581" customFormat="1" ht="19.5" customHeight="1">
      <c r="A35" s="3441" t="s">
        <v>1432</v>
      </c>
      <c r="B35" s="1147" t="s">
        <v>1446</v>
      </c>
      <c r="C35" s="1124" t="s">
        <v>1479</v>
      </c>
      <c r="D35" s="1125"/>
      <c r="E35" s="1147">
        <v>1</v>
      </c>
      <c r="F35" s="1126" t="s">
        <v>1480</v>
      </c>
      <c r="G35" s="1127"/>
      <c r="H35" s="1098"/>
      <c r="I35" s="1098"/>
    </row>
    <row r="36" spans="1:9" s="1581" customFormat="1" ht="19.5" customHeight="1">
      <c r="A36" s="3441"/>
      <c r="B36" s="3441" t="s">
        <v>1449</v>
      </c>
      <c r="C36" s="1124" t="s">
        <v>1481</v>
      </c>
      <c r="D36" s="1125"/>
      <c r="E36" s="1147">
        <v>1</v>
      </c>
      <c r="F36" s="1126" t="s">
        <v>1482</v>
      </c>
      <c r="G36" s="1127"/>
      <c r="H36" s="1098"/>
      <c r="I36" s="1098"/>
    </row>
    <row r="37" spans="1:9" s="1581" customFormat="1" ht="19.5" customHeight="1">
      <c r="A37" s="3441"/>
      <c r="B37" s="3441"/>
      <c r="C37" s="1124" t="s">
        <v>1483</v>
      </c>
      <c r="D37" s="1125"/>
      <c r="E37" s="1147">
        <v>1.5</v>
      </c>
      <c r="F37" s="1126" t="s">
        <v>1484</v>
      </c>
      <c r="G37" s="1127"/>
      <c r="H37" s="1098"/>
      <c r="I37" s="1098"/>
    </row>
    <row r="38" spans="1:9" s="1581" customFormat="1" ht="19.5" customHeight="1">
      <c r="A38" s="3441"/>
      <c r="B38" s="3441"/>
      <c r="C38" s="1124" t="s">
        <v>1485</v>
      </c>
      <c r="D38" s="1125"/>
      <c r="E38" s="1147">
        <v>1</v>
      </c>
      <c r="F38" s="1126" t="s">
        <v>1486</v>
      </c>
      <c r="G38" s="1127"/>
      <c r="H38" s="1098"/>
      <c r="I38" s="1098"/>
    </row>
    <row r="39" spans="1:9" s="1581" customFormat="1" ht="19.5" customHeight="1">
      <c r="A39" s="3441"/>
      <c r="B39" s="3441"/>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1" t="s">
        <v>1501</v>
      </c>
      <c r="C61" s="1061" t="s">
        <v>1502</v>
      </c>
      <c r="D61" s="1061" t="s">
        <v>1503</v>
      </c>
      <c r="E61" s="1132">
        <v>0.5</v>
      </c>
      <c r="F61" s="1147">
        <v>80</v>
      </c>
      <c r="H61" s="1098">
        <f>SUMIF(C59:C119,基准地价!C8,E59:E119)</f>
        <v>0</v>
      </c>
    </row>
    <row r="62" spans="1:8" s="1098" customFormat="1" ht="24">
      <c r="A62" s="1147">
        <v>2</v>
      </c>
      <c r="B62" s="3441"/>
      <c r="C62" s="1061" t="s">
        <v>1504</v>
      </c>
      <c r="D62" s="1061" t="s">
        <v>1505</v>
      </c>
      <c r="E62" s="1132">
        <v>0.5</v>
      </c>
      <c r="F62" s="1147">
        <v>80</v>
      </c>
    </row>
    <row r="63" spans="1:8" s="1098" customFormat="1" ht="36">
      <c r="A63" s="1147">
        <v>3</v>
      </c>
      <c r="B63" s="3441"/>
      <c r="C63" s="1061" t="s">
        <v>1506</v>
      </c>
      <c r="D63" s="1061" t="s">
        <v>1507</v>
      </c>
      <c r="E63" s="1132">
        <v>0.5</v>
      </c>
      <c r="F63" s="1147">
        <v>80</v>
      </c>
    </row>
    <row r="64" spans="1:8" s="1098" customFormat="1" ht="36">
      <c r="A64" s="1147">
        <v>4</v>
      </c>
      <c r="B64" s="3441"/>
      <c r="C64" s="1061" t="s">
        <v>1508</v>
      </c>
      <c r="D64" s="1061" t="s">
        <v>1509</v>
      </c>
      <c r="E64" s="1132">
        <v>0.4</v>
      </c>
      <c r="F64" s="1147">
        <v>60</v>
      </c>
    </row>
    <row r="65" spans="1:6" s="1098" customFormat="1" ht="36">
      <c r="A65" s="1147">
        <v>5</v>
      </c>
      <c r="B65" s="3441"/>
      <c r="C65" s="1061" t="s">
        <v>1510</v>
      </c>
      <c r="D65" s="1061" t="s">
        <v>1511</v>
      </c>
      <c r="E65" s="1132">
        <v>0.2</v>
      </c>
      <c r="F65" s="1147">
        <v>30</v>
      </c>
    </row>
    <row r="66" spans="1:6" s="1098" customFormat="1" ht="36">
      <c r="A66" s="1147">
        <v>6</v>
      </c>
      <c r="B66" s="3441"/>
      <c r="C66" s="1061" t="s">
        <v>1512</v>
      </c>
      <c r="D66" s="1061" t="s">
        <v>1513</v>
      </c>
      <c r="E66" s="1132">
        <v>0.3</v>
      </c>
      <c r="F66" s="1147">
        <v>50</v>
      </c>
    </row>
    <row r="67" spans="1:6" s="1098" customFormat="1" ht="36">
      <c r="A67" s="1147">
        <v>7</v>
      </c>
      <c r="B67" s="3441"/>
      <c r="C67" s="1061" t="s">
        <v>1514</v>
      </c>
      <c r="D67" s="1061" t="s">
        <v>1515</v>
      </c>
      <c r="E67" s="1132">
        <v>0.2</v>
      </c>
      <c r="F67" s="1147">
        <v>30</v>
      </c>
    </row>
    <row r="68" spans="1:6" s="1098" customFormat="1" ht="36">
      <c r="A68" s="1147">
        <v>8</v>
      </c>
      <c r="B68" s="3441"/>
      <c r="C68" s="1061" t="s">
        <v>1516</v>
      </c>
      <c r="D68" s="1061" t="s">
        <v>1517</v>
      </c>
      <c r="E68" s="1132">
        <v>0.2</v>
      </c>
      <c r="F68" s="1147">
        <v>30</v>
      </c>
    </row>
    <row r="69" spans="1:6" s="1098" customFormat="1" ht="36">
      <c r="A69" s="1147">
        <v>9</v>
      </c>
      <c r="B69" s="3441"/>
      <c r="C69" s="1061" t="s">
        <v>1518</v>
      </c>
      <c r="D69" s="1061" t="s">
        <v>1519</v>
      </c>
      <c r="E69" s="1132">
        <v>0.2</v>
      </c>
      <c r="F69" s="1147">
        <v>30</v>
      </c>
    </row>
    <row r="70" spans="1:6" s="1098" customFormat="1" ht="48">
      <c r="A70" s="1147">
        <v>10</v>
      </c>
      <c r="B70" s="3441"/>
      <c r="C70" s="1061" t="s">
        <v>1520</v>
      </c>
      <c r="D70" s="1061" t="s">
        <v>1521</v>
      </c>
      <c r="E70" s="1132">
        <v>0.2</v>
      </c>
      <c r="F70" s="1147">
        <v>30</v>
      </c>
    </row>
    <row r="71" spans="1:6" s="1098" customFormat="1" ht="48">
      <c r="A71" s="1147">
        <v>11</v>
      </c>
      <c r="B71" s="3441"/>
      <c r="C71" s="1061" t="s">
        <v>1522</v>
      </c>
      <c r="D71" s="1061" t="s">
        <v>1523</v>
      </c>
      <c r="E71" s="1132">
        <v>0.2</v>
      </c>
      <c r="F71" s="1147">
        <v>30</v>
      </c>
    </row>
    <row r="72" spans="1:6" s="1098" customFormat="1" ht="36">
      <c r="A72" s="1147">
        <v>12</v>
      </c>
      <c r="B72" s="3441"/>
      <c r="C72" s="1061" t="s">
        <v>1524</v>
      </c>
      <c r="D72" s="1061" t="s">
        <v>1525</v>
      </c>
      <c r="E72" s="1132">
        <v>0.5</v>
      </c>
      <c r="F72" s="1147">
        <v>80</v>
      </c>
    </row>
    <row r="73" spans="1:6" s="1098" customFormat="1" ht="24">
      <c r="A73" s="1147">
        <v>13</v>
      </c>
      <c r="B73" s="3441"/>
      <c r="C73" s="1061" t="s">
        <v>1526</v>
      </c>
      <c r="D73" s="1061" t="s">
        <v>1527</v>
      </c>
      <c r="E73" s="1132">
        <v>0.4</v>
      </c>
      <c r="F73" s="1147">
        <v>60</v>
      </c>
    </row>
    <row r="74" spans="1:6" s="1098" customFormat="1" ht="24">
      <c r="A74" s="1147">
        <v>14</v>
      </c>
      <c r="B74" s="3441"/>
      <c r="C74" s="1061" t="s">
        <v>1528</v>
      </c>
      <c r="D74" s="1061" t="s">
        <v>1529</v>
      </c>
      <c r="E74" s="1132">
        <v>0.2</v>
      </c>
      <c r="F74" s="1147">
        <v>30</v>
      </c>
    </row>
    <row r="75" spans="1:6" s="1098" customFormat="1" ht="24">
      <c r="A75" s="1147">
        <v>15</v>
      </c>
      <c r="B75" s="3441"/>
      <c r="C75" s="1061" t="s">
        <v>1530</v>
      </c>
      <c r="D75" s="1061" t="s">
        <v>1531</v>
      </c>
      <c r="E75" s="1132">
        <v>0.2</v>
      </c>
      <c r="F75" s="1147">
        <v>30</v>
      </c>
    </row>
    <row r="76" spans="1:6" s="1098" customFormat="1" ht="24">
      <c r="A76" s="1147">
        <v>16</v>
      </c>
      <c r="B76" s="3441" t="s">
        <v>1532</v>
      </c>
      <c r="C76" s="1061" t="s">
        <v>1533</v>
      </c>
      <c r="D76" s="1061" t="s">
        <v>1534</v>
      </c>
      <c r="E76" s="1132">
        <v>0.5</v>
      </c>
      <c r="F76" s="1147">
        <v>80</v>
      </c>
    </row>
    <row r="77" spans="1:6" s="1098" customFormat="1" ht="24">
      <c r="A77" s="1147">
        <v>17</v>
      </c>
      <c r="B77" s="3441"/>
      <c r="C77" s="1061" t="s">
        <v>1535</v>
      </c>
      <c r="D77" s="1061" t="s">
        <v>1536</v>
      </c>
      <c r="E77" s="1132">
        <v>0.5</v>
      </c>
      <c r="F77" s="1147">
        <v>80</v>
      </c>
    </row>
    <row r="78" spans="1:6" s="1098" customFormat="1" ht="24">
      <c r="A78" s="1147">
        <v>18</v>
      </c>
      <c r="B78" s="3441"/>
      <c r="C78" s="1061" t="s">
        <v>1537</v>
      </c>
      <c r="D78" s="1061" t="s">
        <v>1538</v>
      </c>
      <c r="E78" s="1132">
        <v>0.2</v>
      </c>
      <c r="F78" s="1147">
        <v>30</v>
      </c>
    </row>
    <row r="79" spans="1:6" s="1098" customFormat="1" ht="24">
      <c r="A79" s="1147">
        <v>19</v>
      </c>
      <c r="B79" s="3441"/>
      <c r="C79" s="1061" t="s">
        <v>1539</v>
      </c>
      <c r="D79" s="1061" t="s">
        <v>1540</v>
      </c>
      <c r="E79" s="1132">
        <v>0.5</v>
      </c>
      <c r="F79" s="1147">
        <v>80</v>
      </c>
    </row>
    <row r="80" spans="1:6" s="1098" customFormat="1" ht="36">
      <c r="A80" s="1147">
        <v>20</v>
      </c>
      <c r="B80" s="3441"/>
      <c r="C80" s="1061" t="s">
        <v>1541</v>
      </c>
      <c r="D80" s="1061" t="s">
        <v>1542</v>
      </c>
      <c r="E80" s="1132">
        <v>0.2</v>
      </c>
      <c r="F80" s="1147">
        <v>30</v>
      </c>
    </row>
    <row r="81" spans="1:6" s="1098" customFormat="1" ht="36">
      <c r="A81" s="1147">
        <v>21</v>
      </c>
      <c r="B81" s="3441"/>
      <c r="C81" s="1061" t="s">
        <v>1543</v>
      </c>
      <c r="D81" s="1061" t="s">
        <v>1544</v>
      </c>
      <c r="E81" s="1132">
        <v>0.2</v>
      </c>
      <c r="F81" s="1147">
        <v>30</v>
      </c>
    </row>
    <row r="82" spans="1:6" s="1098" customFormat="1" ht="48">
      <c r="A82" s="1147">
        <v>22</v>
      </c>
      <c r="B82" s="3441"/>
      <c r="C82" s="1061" t="s">
        <v>1545</v>
      </c>
      <c r="D82" s="1061" t="s">
        <v>1546</v>
      </c>
      <c r="E82" s="1132">
        <v>0.2</v>
      </c>
      <c r="F82" s="1147">
        <v>30</v>
      </c>
    </row>
    <row r="83" spans="1:6" s="1098" customFormat="1" ht="48">
      <c r="A83" s="1147">
        <v>23</v>
      </c>
      <c r="B83" s="3441"/>
      <c r="C83" s="1061" t="s">
        <v>1547</v>
      </c>
      <c r="D83" s="1061" t="s">
        <v>1548</v>
      </c>
      <c r="E83" s="1132">
        <v>0.2</v>
      </c>
      <c r="F83" s="1147">
        <v>30</v>
      </c>
    </row>
    <row r="84" spans="1:6" s="1098" customFormat="1" ht="36">
      <c r="A84" s="1147">
        <v>24</v>
      </c>
      <c r="B84" s="3441"/>
      <c r="C84" s="1061" t="s">
        <v>1549</v>
      </c>
      <c r="D84" s="1061" t="s">
        <v>1550</v>
      </c>
      <c r="E84" s="1132">
        <v>0.2</v>
      </c>
      <c r="F84" s="1147">
        <v>30</v>
      </c>
    </row>
    <row r="85" spans="1:6" s="1098" customFormat="1" ht="36">
      <c r="A85" s="1147">
        <v>25</v>
      </c>
      <c r="B85" s="3441"/>
      <c r="C85" s="1061" t="s">
        <v>1551</v>
      </c>
      <c r="D85" s="1061" t="s">
        <v>1552</v>
      </c>
      <c r="E85" s="1132">
        <v>0.5</v>
      </c>
      <c r="F85" s="1147">
        <v>80</v>
      </c>
    </row>
    <row r="86" spans="1:6" s="1098" customFormat="1" ht="36">
      <c r="A86" s="1147">
        <v>26</v>
      </c>
      <c r="B86" s="3441"/>
      <c r="C86" s="1061" t="s">
        <v>1553</v>
      </c>
      <c r="D86" s="1061" t="s">
        <v>1554</v>
      </c>
      <c r="E86" s="1132">
        <v>0.2</v>
      </c>
      <c r="F86" s="1147">
        <v>30</v>
      </c>
    </row>
    <row r="87" spans="1:6" s="1098" customFormat="1" ht="36">
      <c r="A87" s="1147">
        <v>27</v>
      </c>
      <c r="B87" s="3441"/>
      <c r="C87" s="1061" t="s">
        <v>1555</v>
      </c>
      <c r="D87" s="1061" t="s">
        <v>1556</v>
      </c>
      <c r="E87" s="1132">
        <v>0.2</v>
      </c>
      <c r="F87" s="1147">
        <v>30</v>
      </c>
    </row>
    <row r="88" spans="1:6" s="1098" customFormat="1" ht="36">
      <c r="A88" s="1147">
        <v>28</v>
      </c>
      <c r="B88" s="3441"/>
      <c r="C88" s="1061" t="s">
        <v>1557</v>
      </c>
      <c r="D88" s="1061" t="s">
        <v>1558</v>
      </c>
      <c r="E88" s="1132">
        <v>0.2</v>
      </c>
      <c r="F88" s="1147">
        <v>30</v>
      </c>
    </row>
    <row r="89" spans="1:6" s="1098" customFormat="1" ht="24">
      <c r="A89" s="1147">
        <v>29</v>
      </c>
      <c r="B89" s="3441"/>
      <c r="C89" s="1061" t="s">
        <v>1559</v>
      </c>
      <c r="D89" s="1061" t="s">
        <v>1560</v>
      </c>
      <c r="E89" s="1132">
        <v>0.2</v>
      </c>
      <c r="F89" s="1147">
        <v>30</v>
      </c>
    </row>
    <row r="90" spans="1:6" s="1098" customFormat="1" ht="24">
      <c r="A90" s="1147">
        <v>30</v>
      </c>
      <c r="B90" s="3441"/>
      <c r="C90" s="1061" t="s">
        <v>1561</v>
      </c>
      <c r="D90" s="1061" t="s">
        <v>1562</v>
      </c>
      <c r="E90" s="1132">
        <v>0.2</v>
      </c>
      <c r="F90" s="1147">
        <v>30</v>
      </c>
    </row>
    <row r="91" spans="1:6" s="1098" customFormat="1" ht="36">
      <c r="A91" s="1147">
        <v>31</v>
      </c>
      <c r="B91" s="3441"/>
      <c r="C91" s="1061" t="s">
        <v>1563</v>
      </c>
      <c r="D91" s="1061" t="s">
        <v>1564</v>
      </c>
      <c r="E91" s="1132">
        <v>0.2</v>
      </c>
      <c r="F91" s="1147">
        <v>30</v>
      </c>
    </row>
    <row r="92" spans="1:6" s="1098" customFormat="1" ht="24">
      <c r="A92" s="1147">
        <v>32</v>
      </c>
      <c r="B92" s="3441" t="s">
        <v>1565</v>
      </c>
      <c r="C92" s="1147" t="s">
        <v>1566</v>
      </c>
      <c r="D92" s="1061" t="s">
        <v>1567</v>
      </c>
      <c r="E92" s="1132">
        <v>0.2</v>
      </c>
      <c r="F92" s="1147">
        <v>30</v>
      </c>
    </row>
    <row r="93" spans="1:6" s="1098" customFormat="1" ht="36">
      <c r="A93" s="1147">
        <v>33</v>
      </c>
      <c r="B93" s="3441"/>
      <c r="C93" s="1147" t="s">
        <v>1568</v>
      </c>
      <c r="D93" s="1061" t="s">
        <v>1569</v>
      </c>
      <c r="E93" s="1132">
        <v>0.2</v>
      </c>
      <c r="F93" s="1147">
        <v>30</v>
      </c>
    </row>
    <row r="94" spans="1:6" s="1098" customFormat="1" ht="48">
      <c r="A94" s="1147">
        <v>34</v>
      </c>
      <c r="B94" s="3441"/>
      <c r="C94" s="1147" t="s">
        <v>1570</v>
      </c>
      <c r="D94" s="1061" t="s">
        <v>1571</v>
      </c>
      <c r="E94" s="1132">
        <v>0.2</v>
      </c>
      <c r="F94" s="1147">
        <v>30</v>
      </c>
    </row>
    <row r="95" spans="1:6" s="1098" customFormat="1" ht="36">
      <c r="A95" s="1147">
        <v>35</v>
      </c>
      <c r="B95" s="3441"/>
      <c r="C95" s="1147" t="s">
        <v>1572</v>
      </c>
      <c r="D95" s="1061" t="s">
        <v>1573</v>
      </c>
      <c r="E95" s="1132">
        <v>0.2</v>
      </c>
      <c r="F95" s="1147">
        <v>30</v>
      </c>
    </row>
    <row r="96" spans="1:6" s="1098" customFormat="1" ht="48">
      <c r="A96" s="1147">
        <v>36</v>
      </c>
      <c r="B96" s="3441"/>
      <c r="C96" s="1061" t="s">
        <v>1574</v>
      </c>
      <c r="D96" s="1061" t="s">
        <v>1575</v>
      </c>
      <c r="E96" s="1132">
        <v>0.2</v>
      </c>
      <c r="F96" s="1147">
        <v>30</v>
      </c>
    </row>
    <row r="97" spans="1:6" s="1098" customFormat="1" ht="36">
      <c r="A97" s="1147">
        <v>37</v>
      </c>
      <c r="B97" s="3441"/>
      <c r="C97" s="1147" t="s">
        <v>1576</v>
      </c>
      <c r="D97" s="1061" t="s">
        <v>1577</v>
      </c>
      <c r="E97" s="1132">
        <v>0.2</v>
      </c>
      <c r="F97" s="1147">
        <v>30</v>
      </c>
    </row>
    <row r="98" spans="1:6" s="1098" customFormat="1" ht="36">
      <c r="A98" s="1147">
        <v>38</v>
      </c>
      <c r="B98" s="3441"/>
      <c r="C98" s="1147" t="s">
        <v>1578</v>
      </c>
      <c r="D98" s="1061" t="s">
        <v>1579</v>
      </c>
      <c r="E98" s="1132">
        <v>0.2</v>
      </c>
      <c r="F98" s="1147">
        <v>30</v>
      </c>
    </row>
    <row r="99" spans="1:6" s="1098" customFormat="1" ht="36">
      <c r="A99" s="1147">
        <v>39</v>
      </c>
      <c r="B99" s="3441" t="s">
        <v>1580</v>
      </c>
      <c r="C99" s="1147" t="s">
        <v>1581</v>
      </c>
      <c r="D99" s="1061" t="s">
        <v>1582</v>
      </c>
      <c r="E99" s="1132">
        <v>0.3</v>
      </c>
      <c r="F99" s="1147">
        <v>50</v>
      </c>
    </row>
    <row r="100" spans="1:6" s="1098" customFormat="1" ht="24">
      <c r="A100" s="1147">
        <v>40</v>
      </c>
      <c r="B100" s="3441"/>
      <c r="C100" s="1147" t="s">
        <v>1583</v>
      </c>
      <c r="D100" s="1061" t="s">
        <v>1584</v>
      </c>
      <c r="E100" s="1132">
        <v>0.2</v>
      </c>
      <c r="F100" s="1147">
        <v>30</v>
      </c>
    </row>
    <row r="101" spans="1:6" s="1098" customFormat="1" ht="36">
      <c r="A101" s="1147">
        <v>41</v>
      </c>
      <c r="B101" s="3441"/>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1" t="s">
        <v>1595</v>
      </c>
      <c r="C105" s="1147" t="s">
        <v>1596</v>
      </c>
      <c r="D105" s="1061" t="s">
        <v>1597</v>
      </c>
      <c r="E105" s="1132">
        <v>0.2</v>
      </c>
      <c r="F105" s="1147">
        <v>30</v>
      </c>
    </row>
    <row r="106" spans="1:6" s="1098" customFormat="1" ht="36">
      <c r="A106" s="1147">
        <v>46</v>
      </c>
      <c r="B106" s="3441"/>
      <c r="C106" s="1147" t="s">
        <v>1598</v>
      </c>
      <c r="D106" s="1061" t="s">
        <v>1599</v>
      </c>
      <c r="E106" s="1132">
        <v>0.2</v>
      </c>
      <c r="F106" s="1147">
        <v>30</v>
      </c>
    </row>
    <row r="107" spans="1:6" s="1098" customFormat="1" ht="36">
      <c r="A107" s="1147">
        <v>47</v>
      </c>
      <c r="B107" s="3441" t="s">
        <v>1600</v>
      </c>
      <c r="C107" s="1147" t="s">
        <v>1601</v>
      </c>
      <c r="D107" s="1061" t="s">
        <v>1602</v>
      </c>
      <c r="E107" s="1132">
        <v>0.3</v>
      </c>
      <c r="F107" s="1147">
        <v>50</v>
      </c>
    </row>
    <row r="108" spans="1:6" s="1098" customFormat="1" ht="36">
      <c r="A108" s="1147">
        <v>48</v>
      </c>
      <c r="B108" s="3441"/>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1" t="s">
        <v>1611</v>
      </c>
      <c r="C111" s="1147" t="s">
        <v>1612</v>
      </c>
      <c r="D111" s="1061" t="s">
        <v>1613</v>
      </c>
      <c r="E111" s="1132">
        <v>0.2</v>
      </c>
      <c r="F111" s="1147">
        <v>30</v>
      </c>
    </row>
    <row r="112" spans="1:6" s="1098" customFormat="1" ht="24">
      <c r="A112" s="1147">
        <v>52</v>
      </c>
      <c r="B112" s="3441"/>
      <c r="C112" s="1147" t="s">
        <v>1614</v>
      </c>
      <c r="D112" s="1061" t="s">
        <v>1615</v>
      </c>
      <c r="E112" s="1132">
        <v>0.2</v>
      </c>
      <c r="F112" s="1147">
        <v>30</v>
      </c>
    </row>
    <row r="113" spans="1:14" s="1098" customFormat="1" ht="24">
      <c r="A113" s="1147">
        <v>53</v>
      </c>
      <c r="B113" s="3441"/>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1" t="s">
        <v>1624</v>
      </c>
      <c r="C116" s="1147" t="s">
        <v>1625</v>
      </c>
      <c r="D116" s="1061" t="s">
        <v>1626</v>
      </c>
      <c r="E116" s="1132">
        <v>0.2</v>
      </c>
      <c r="F116" s="1147">
        <v>30</v>
      </c>
    </row>
    <row r="117" spans="1:14" ht="36">
      <c r="A117" s="1147">
        <v>57</v>
      </c>
      <c r="B117" s="3441"/>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40" t="s">
        <v>1633</v>
      </c>
      <c r="B121" s="3440"/>
      <c r="C121" s="3440"/>
      <c r="D121" s="3440"/>
      <c r="E121" s="3440"/>
      <c r="F121" s="3440"/>
      <c r="G121" s="3440"/>
      <c r="H121" s="3440"/>
      <c r="I121" s="3440"/>
      <c r="J121" s="344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5" t="s">
        <v>1039</v>
      </c>
      <c r="B1" s="3455"/>
      <c r="C1" s="3455"/>
      <c r="D1" s="3455"/>
      <c r="E1" s="3455"/>
      <c r="F1" s="345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56" t="s">
        <v>1052</v>
      </c>
      <c r="B2" s="3456"/>
      <c r="C2" s="3456"/>
      <c r="D2" s="3456"/>
      <c r="E2" s="3456"/>
      <c r="F2" s="345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5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9" t="s">
        <v>2079</v>
      </c>
      <c r="B1" s="3459"/>
    </row>
    <row r="2" spans="1:6" ht="14.25" thickBot="1">
      <c r="A2" s="1833"/>
      <c r="B2" s="1833"/>
    </row>
    <row r="3" spans="1:6" ht="14.25" thickBot="1">
      <c r="A3" s="1833"/>
      <c r="B3" s="1833"/>
      <c r="C3" s="1834" t="s">
        <v>2080</v>
      </c>
      <c r="D3" s="1834" t="s">
        <v>2081</v>
      </c>
      <c r="E3" s="1834" t="s">
        <v>2082</v>
      </c>
      <c r="F3" s="1834" t="s">
        <v>2083</v>
      </c>
    </row>
    <row r="4" spans="1:6" ht="14.25" thickBot="1">
      <c r="A4" s="1835" t="s">
        <v>2084</v>
      </c>
      <c r="B4" s="1836" t="s">
        <v>2085</v>
      </c>
      <c r="C4" s="1834"/>
      <c r="D4" s="1834"/>
      <c r="E4" s="1834"/>
      <c r="F4" s="1834"/>
    </row>
    <row r="5" spans="1:6" ht="14.25" thickBot="1">
      <c r="A5" s="1837" t="s">
        <v>2086</v>
      </c>
      <c r="B5" s="1838" t="s">
        <v>2087</v>
      </c>
      <c r="C5" s="1839">
        <v>8.8999999999999996E-2</v>
      </c>
      <c r="D5" s="1839">
        <v>7.3999999999999996E-2</v>
      </c>
      <c r="E5" s="1839">
        <v>7.4999999999999997E-2</v>
      </c>
      <c r="F5" s="1840">
        <v>0.1</v>
      </c>
    </row>
    <row r="6" spans="1:6" ht="14.25" thickBot="1">
      <c r="A6" s="1837" t="s">
        <v>1096</v>
      </c>
      <c r="B6" s="1841" t="s">
        <v>2088</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2089</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2090</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2091</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2092</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2093</v>
      </c>
      <c r="C72" s="1851"/>
      <c r="D72" s="1851"/>
      <c r="E72" s="1851"/>
      <c r="F72" s="1843">
        <v>0.05</v>
      </c>
    </row>
    <row r="73" spans="1:6" ht="14.25" thickBot="1">
      <c r="A73" s="1837" t="s">
        <v>925</v>
      </c>
      <c r="B73" s="1841" t="s">
        <v>2094</v>
      </c>
      <c r="C73" s="1851"/>
      <c r="D73" s="1851"/>
      <c r="E73" s="1851"/>
      <c r="F73" s="1843">
        <v>0.05</v>
      </c>
    </row>
    <row r="74" spans="1:6" ht="14.25" thickBot="1">
      <c r="A74" s="1837" t="s">
        <v>925</v>
      </c>
      <c r="B74" s="1841" t="s">
        <v>2095</v>
      </c>
      <c r="C74" s="1851"/>
      <c r="D74" s="1851"/>
      <c r="E74" s="1851"/>
      <c r="F74" s="1843">
        <v>0.05</v>
      </c>
    </row>
    <row r="75" spans="1:6" ht="14.25" thickBot="1">
      <c r="A75" s="1845" t="s">
        <v>925</v>
      </c>
      <c r="B75" s="1852" t="s">
        <v>2096</v>
      </c>
      <c r="C75" s="1848"/>
      <c r="D75" s="1848"/>
      <c r="E75" s="1848"/>
      <c r="F75" s="1853">
        <v>0.05</v>
      </c>
    </row>
    <row r="76" spans="1:6" ht="14.25" thickBot="1">
      <c r="A76" s="1837" t="s">
        <v>1407</v>
      </c>
      <c r="B76" s="1838" t="s">
        <v>2097</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2098</v>
      </c>
      <c r="C102" s="1851"/>
      <c r="D102" s="1851"/>
      <c r="E102" s="1851"/>
      <c r="F102" s="1843">
        <v>0.05</v>
      </c>
    </row>
    <row r="103" spans="1:6" ht="24.75" thickBot="1">
      <c r="A103" s="1837" t="s">
        <v>1407</v>
      </c>
      <c r="B103" s="1841" t="s">
        <v>2099</v>
      </c>
      <c r="C103" s="1851"/>
      <c r="D103" s="1851"/>
      <c r="E103" s="1851"/>
      <c r="F103" s="1843">
        <v>0.05</v>
      </c>
    </row>
    <row r="104" spans="1:6" ht="14.25" thickBot="1">
      <c r="A104" s="1837" t="s">
        <v>1407</v>
      </c>
      <c r="B104" s="1841" t="s">
        <v>2100</v>
      </c>
      <c r="C104" s="1851"/>
      <c r="D104" s="1851"/>
      <c r="E104" s="1851"/>
      <c r="F104" s="1843">
        <v>0.05</v>
      </c>
    </row>
    <row r="105" spans="1:6" ht="14.25" thickBot="1">
      <c r="A105" s="1837" t="s">
        <v>1407</v>
      </c>
      <c r="B105" s="1841" t="s">
        <v>2101</v>
      </c>
      <c r="C105" s="1851"/>
      <c r="D105" s="1851"/>
      <c r="E105" s="1851"/>
      <c r="F105" s="1843">
        <v>0.05</v>
      </c>
    </row>
    <row r="106" spans="1:6" ht="14.25" thickBot="1">
      <c r="A106" s="1837" t="s">
        <v>1407</v>
      </c>
      <c r="B106" s="1841" t="s">
        <v>2102</v>
      </c>
      <c r="C106" s="1851"/>
      <c r="D106" s="1851"/>
      <c r="E106" s="1851"/>
      <c r="F106" s="1843">
        <v>0.05</v>
      </c>
    </row>
    <row r="107" spans="1:6" ht="24.75" thickBot="1">
      <c r="A107" s="1837" t="s">
        <v>1407</v>
      </c>
      <c r="B107" s="1841" t="s">
        <v>2103</v>
      </c>
      <c r="C107" s="1851"/>
      <c r="D107" s="1851"/>
      <c r="E107" s="1851"/>
      <c r="F107" s="1843">
        <v>0.05</v>
      </c>
    </row>
    <row r="108" spans="1:6" ht="24.75" thickBot="1">
      <c r="A108" s="1837" t="s">
        <v>1407</v>
      </c>
      <c r="B108" s="1841" t="s">
        <v>2104</v>
      </c>
      <c r="C108" s="1851"/>
      <c r="D108" s="1851"/>
      <c r="E108" s="1851"/>
      <c r="F108" s="1843">
        <v>0.05</v>
      </c>
    </row>
    <row r="109" spans="1:6" ht="24.75" thickBot="1">
      <c r="A109" s="1845" t="s">
        <v>1407</v>
      </c>
      <c r="B109" s="1852" t="s">
        <v>2105</v>
      </c>
      <c r="C109" s="1848"/>
      <c r="D109" s="1848"/>
      <c r="E109" s="1848"/>
      <c r="F109" s="1853">
        <v>0.05</v>
      </c>
    </row>
    <row r="110" spans="1:6" ht="14.25" thickBot="1">
      <c r="A110" s="1837" t="s">
        <v>1409</v>
      </c>
      <c r="B110" s="1838" t="s">
        <v>2106</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2107</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2108</v>
      </c>
      <c r="C138" s="1842">
        <v>0.105</v>
      </c>
      <c r="D138" s="1842">
        <v>0.125</v>
      </c>
      <c r="E138" s="1842">
        <v>0.112</v>
      </c>
      <c r="F138" s="1850"/>
    </row>
    <row r="139" spans="1:6" ht="14.25" thickBot="1">
      <c r="A139" s="1837" t="s">
        <v>1409</v>
      </c>
      <c r="B139" s="1841" t="s">
        <v>2109</v>
      </c>
      <c r="C139" s="1842">
        <v>0.127</v>
      </c>
      <c r="D139" s="1842">
        <v>0.127</v>
      </c>
      <c r="E139" s="1842">
        <v>0.122</v>
      </c>
      <c r="F139" s="1843">
        <v>0.13</v>
      </c>
    </row>
    <row r="140" spans="1:6" ht="14.25" thickBot="1">
      <c r="A140" s="1837" t="s">
        <v>1409</v>
      </c>
      <c r="B140" s="1841" t="s">
        <v>2110</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2111</v>
      </c>
      <c r="C144" s="1855">
        <v>0.126</v>
      </c>
      <c r="D144" s="1855">
        <v>0.126</v>
      </c>
      <c r="E144" s="1855">
        <v>0.121</v>
      </c>
      <c r="F144" s="1850"/>
    </row>
    <row r="145" spans="1:6" ht="14.25" thickBot="1">
      <c r="A145" s="1845" t="s">
        <v>1409</v>
      </c>
      <c r="B145" s="1856" t="s">
        <v>2112</v>
      </c>
      <c r="C145" s="1857"/>
      <c r="D145" s="1857"/>
      <c r="E145" s="1857"/>
      <c r="F145" s="1858">
        <v>0.05</v>
      </c>
    </row>
    <row r="146" spans="1:6" ht="24.75" thickBot="1">
      <c r="A146" s="1859" t="s">
        <v>1409</v>
      </c>
      <c r="B146" s="1844" t="s">
        <v>2113</v>
      </c>
      <c r="C146" s="1851"/>
      <c r="D146" s="1851"/>
      <c r="E146" s="1851"/>
      <c r="F146" s="1860">
        <v>0.05</v>
      </c>
    </row>
    <row r="147" spans="1:6" ht="24.75" thickBot="1">
      <c r="A147" s="1837" t="s">
        <v>1409</v>
      </c>
      <c r="B147" s="1841" t="s">
        <v>2114</v>
      </c>
      <c r="C147" s="1851"/>
      <c r="D147" s="1851"/>
      <c r="E147" s="1851"/>
      <c r="F147" s="1843">
        <v>0.05</v>
      </c>
    </row>
    <row r="148" spans="1:6" ht="24.75" thickBot="1">
      <c r="A148" s="1837" t="s">
        <v>1409</v>
      </c>
      <c r="B148" s="1841" t="s">
        <v>2115</v>
      </c>
      <c r="C148" s="1851"/>
      <c r="D148" s="1851"/>
      <c r="E148" s="1851"/>
      <c r="F148" s="1843">
        <v>0.05</v>
      </c>
    </row>
    <row r="149" spans="1:6" ht="24.75" thickBot="1">
      <c r="A149" s="1837" t="s">
        <v>1409</v>
      </c>
      <c r="B149" s="1841" t="s">
        <v>2116</v>
      </c>
      <c r="C149" s="1851"/>
      <c r="D149" s="1851"/>
      <c r="E149" s="1851"/>
      <c r="F149" s="1843">
        <v>0.05</v>
      </c>
    </row>
    <row r="150" spans="1:6" ht="24.75" thickBot="1">
      <c r="A150" s="1837" t="s">
        <v>1409</v>
      </c>
      <c r="B150" s="1841" t="s">
        <v>2117</v>
      </c>
      <c r="C150" s="1851"/>
      <c r="D150" s="1851"/>
      <c r="E150" s="1851"/>
      <c r="F150" s="1843">
        <v>0.05</v>
      </c>
    </row>
    <row r="151" spans="1:6" ht="24.75" thickBot="1">
      <c r="A151" s="1837" t="s">
        <v>1409</v>
      </c>
      <c r="B151" s="1841" t="s">
        <v>2118</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2119</v>
      </c>
      <c r="C153" s="1851"/>
      <c r="D153" s="1851"/>
      <c r="E153" s="1851"/>
      <c r="F153" s="1843">
        <v>0.05</v>
      </c>
    </row>
    <row r="154" spans="1:6" ht="14.25" thickBot="1">
      <c r="A154" s="1837" t="s">
        <v>1409</v>
      </c>
      <c r="B154" s="1841" t="s">
        <v>2120</v>
      </c>
      <c r="C154" s="1851"/>
      <c r="D154" s="1851"/>
      <c r="E154" s="1851"/>
      <c r="F154" s="1843">
        <v>0.05</v>
      </c>
    </row>
    <row r="155" spans="1:6" ht="24.75" thickBot="1">
      <c r="A155" s="1837" t="s">
        <v>1409</v>
      </c>
      <c r="B155" s="1841" t="s">
        <v>2121</v>
      </c>
      <c r="C155" s="1851"/>
      <c r="D155" s="1851"/>
      <c r="E155" s="1851"/>
      <c r="F155" s="1843">
        <v>0.05</v>
      </c>
    </row>
    <row r="156" spans="1:6" ht="24.75" thickBot="1">
      <c r="A156" s="1837" t="s">
        <v>1409</v>
      </c>
      <c r="B156" s="1841" t="s">
        <v>2122</v>
      </c>
      <c r="C156" s="1851"/>
      <c r="D156" s="1851"/>
      <c r="E156" s="1851"/>
      <c r="F156" s="1843">
        <v>0.05</v>
      </c>
    </row>
    <row r="157" spans="1:6" ht="14.25" thickBot="1">
      <c r="A157" s="1845" t="s">
        <v>1409</v>
      </c>
      <c r="B157" s="1852" t="s">
        <v>2123</v>
      </c>
      <c r="C157" s="1848"/>
      <c r="D157" s="1848"/>
      <c r="E157" s="1848"/>
      <c r="F157" s="1853">
        <v>0.05</v>
      </c>
    </row>
    <row r="158" spans="1:6" ht="14.25" thickBot="1">
      <c r="A158" s="1837" t="s">
        <v>1411</v>
      </c>
      <c r="B158" s="1838" t="s">
        <v>2124</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2125</v>
      </c>
      <c r="C171" s="1842">
        <v>0.127</v>
      </c>
      <c r="D171" s="1842">
        <v>0.126</v>
      </c>
      <c r="E171" s="1842">
        <v>0.126</v>
      </c>
      <c r="F171" s="1843">
        <v>0.11799999999999999</v>
      </c>
    </row>
    <row r="172" spans="1:6" ht="14.25" thickBot="1">
      <c r="A172" s="1837" t="s">
        <v>1411</v>
      </c>
      <c r="B172" s="1841" t="s">
        <v>2126</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2127</v>
      </c>
      <c r="C174" s="1842">
        <v>0.13</v>
      </c>
      <c r="D174" s="1842">
        <v>0.13</v>
      </c>
      <c r="E174" s="1842">
        <v>0.13</v>
      </c>
      <c r="F174" s="1843">
        <v>0.13</v>
      </c>
    </row>
    <row r="175" spans="1:6" ht="14.25" thickBot="1">
      <c r="A175" s="1837" t="s">
        <v>1411</v>
      </c>
      <c r="B175" s="1841" t="s">
        <v>2128</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2129</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2130</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2131</v>
      </c>
      <c r="C185" s="1842">
        <v>0.127</v>
      </c>
      <c r="D185" s="1842">
        <v>0.127</v>
      </c>
      <c r="E185" s="1842">
        <v>0.128</v>
      </c>
      <c r="F185" s="1843">
        <v>0.13</v>
      </c>
    </row>
    <row r="186" spans="1:6" ht="24.75" thickBot="1">
      <c r="A186" s="1837" t="s">
        <v>1411</v>
      </c>
      <c r="B186" s="1841" t="s">
        <v>2132</v>
      </c>
      <c r="C186" s="1851"/>
      <c r="D186" s="1851"/>
      <c r="E186" s="1851"/>
      <c r="F186" s="1843">
        <v>0.05</v>
      </c>
    </row>
    <row r="187" spans="1:6" ht="14.25" thickBot="1">
      <c r="A187" s="1837" t="s">
        <v>1411</v>
      </c>
      <c r="B187" s="1841" t="s">
        <v>2133</v>
      </c>
      <c r="C187" s="1851"/>
      <c r="D187" s="1851"/>
      <c r="E187" s="1851"/>
      <c r="F187" s="1843">
        <v>0.05</v>
      </c>
    </row>
    <row r="188" spans="1:6" ht="14.25" thickBot="1">
      <c r="A188" s="1837" t="s">
        <v>1411</v>
      </c>
      <c r="B188" s="1841" t="s">
        <v>2134</v>
      </c>
      <c r="C188" s="1851"/>
      <c r="D188" s="1851"/>
      <c r="E188" s="1851"/>
      <c r="F188" s="1843">
        <v>0.05</v>
      </c>
    </row>
    <row r="189" spans="1:6" ht="24.75" thickBot="1">
      <c r="A189" s="1837" t="s">
        <v>1411</v>
      </c>
      <c r="B189" s="1841" t="s">
        <v>2135</v>
      </c>
      <c r="C189" s="1851"/>
      <c r="D189" s="1851"/>
      <c r="E189" s="1851"/>
      <c r="F189" s="1843">
        <v>0.05</v>
      </c>
    </row>
    <row r="190" spans="1:6" ht="24.75" thickBot="1">
      <c r="A190" s="1837" t="s">
        <v>1411</v>
      </c>
      <c r="B190" s="1841" t="s">
        <v>2136</v>
      </c>
      <c r="C190" s="1851"/>
      <c r="D190" s="1851"/>
      <c r="E190" s="1851"/>
      <c r="F190" s="1843">
        <v>0.05</v>
      </c>
    </row>
    <row r="191" spans="1:6" ht="24.75" thickBot="1">
      <c r="A191" s="1837" t="s">
        <v>1411</v>
      </c>
      <c r="B191" s="1841" t="s">
        <v>2137</v>
      </c>
      <c r="C191" s="1851"/>
      <c r="D191" s="1851"/>
      <c r="E191" s="1851"/>
      <c r="F191" s="1843">
        <v>0.05</v>
      </c>
    </row>
    <row r="192" spans="1:6" ht="24.75" thickBot="1">
      <c r="A192" s="1837" t="s">
        <v>1411</v>
      </c>
      <c r="B192" s="1841" t="s">
        <v>2138</v>
      </c>
      <c r="C192" s="1851"/>
      <c r="D192" s="1851"/>
      <c r="E192" s="1851"/>
      <c r="F192" s="1843">
        <v>0.05</v>
      </c>
    </row>
    <row r="193" spans="1:6" ht="24.75" thickBot="1">
      <c r="A193" s="1837" t="s">
        <v>1411</v>
      </c>
      <c r="B193" s="1841" t="s">
        <v>2139</v>
      </c>
      <c r="C193" s="1851"/>
      <c r="D193" s="1851"/>
      <c r="E193" s="1851"/>
      <c r="F193" s="1843">
        <v>0.05</v>
      </c>
    </row>
    <row r="194" spans="1:6" ht="24.75" thickBot="1">
      <c r="A194" s="1837" t="s">
        <v>1411</v>
      </c>
      <c r="B194" s="1841" t="s">
        <v>2140</v>
      </c>
      <c r="C194" s="1851"/>
      <c r="D194" s="1851"/>
      <c r="E194" s="1851"/>
      <c r="F194" s="1843">
        <v>0.05</v>
      </c>
    </row>
    <row r="195" spans="1:6" ht="14.25" thickBot="1">
      <c r="A195" s="1837" t="s">
        <v>1411</v>
      </c>
      <c r="B195" s="1841" t="s">
        <v>2141</v>
      </c>
      <c r="C195" s="1851"/>
      <c r="D195" s="1851"/>
      <c r="E195" s="1851"/>
      <c r="F195" s="1843">
        <v>0.05</v>
      </c>
    </row>
    <row r="196" spans="1:6" ht="24.75" thickBot="1">
      <c r="A196" s="1837" t="s">
        <v>1411</v>
      </c>
      <c r="B196" s="1841" t="s">
        <v>2142</v>
      </c>
      <c r="C196" s="1851"/>
      <c r="D196" s="1851"/>
      <c r="E196" s="1851"/>
      <c r="F196" s="1843">
        <v>0.05</v>
      </c>
    </row>
    <row r="197" spans="1:6" ht="24.75" thickBot="1">
      <c r="A197" s="1837" t="s">
        <v>1411</v>
      </c>
      <c r="B197" s="1841" t="s">
        <v>2143</v>
      </c>
      <c r="C197" s="1851"/>
      <c r="D197" s="1851"/>
      <c r="E197" s="1851"/>
      <c r="F197" s="1843">
        <v>0.05</v>
      </c>
    </row>
    <row r="198" spans="1:6" ht="24.75" thickBot="1">
      <c r="A198" s="1837" t="s">
        <v>1411</v>
      </c>
      <c r="B198" s="1841" t="s">
        <v>2144</v>
      </c>
      <c r="C198" s="1851"/>
      <c r="D198" s="1851"/>
      <c r="E198" s="1851"/>
      <c r="F198" s="1843">
        <v>0.05</v>
      </c>
    </row>
    <row r="199" spans="1:6" ht="24.75" thickBot="1">
      <c r="A199" s="1837" t="s">
        <v>1411</v>
      </c>
      <c r="B199" s="1841" t="s">
        <v>2145</v>
      </c>
      <c r="C199" s="1851"/>
      <c r="D199" s="1851"/>
      <c r="E199" s="1851"/>
      <c r="F199" s="1843">
        <v>0.05</v>
      </c>
    </row>
    <row r="200" spans="1:6" ht="24.75" thickBot="1">
      <c r="A200" s="1837" t="s">
        <v>1411</v>
      </c>
      <c r="B200" s="1841" t="s">
        <v>2146</v>
      </c>
      <c r="C200" s="1851"/>
      <c r="D200" s="1851"/>
      <c r="E200" s="1851"/>
      <c r="F200" s="1843">
        <v>0.05</v>
      </c>
    </row>
    <row r="201" spans="1:6" ht="24.75" thickBot="1">
      <c r="A201" s="1837" t="s">
        <v>1411</v>
      </c>
      <c r="B201" s="1841" t="s">
        <v>2147</v>
      </c>
      <c r="C201" s="1851"/>
      <c r="D201" s="1851"/>
      <c r="E201" s="1851"/>
      <c r="F201" s="1843">
        <v>0.05</v>
      </c>
    </row>
    <row r="202" spans="1:6" ht="24.75" thickBot="1">
      <c r="A202" s="1837" t="s">
        <v>1411</v>
      </c>
      <c r="B202" s="1841" t="s">
        <v>2148</v>
      </c>
      <c r="C202" s="1851"/>
      <c r="D202" s="1851"/>
      <c r="E202" s="1851"/>
      <c r="F202" s="1843">
        <v>0.05</v>
      </c>
    </row>
    <row r="203" spans="1:6" ht="24.75" thickBot="1">
      <c r="A203" s="1837" t="s">
        <v>1411</v>
      </c>
      <c r="B203" s="1841" t="s">
        <v>2149</v>
      </c>
      <c r="C203" s="1851"/>
      <c r="D203" s="1851"/>
      <c r="E203" s="1851"/>
      <c r="F203" s="1843">
        <v>0.05</v>
      </c>
    </row>
    <row r="204" spans="1:6" ht="14.25" thickBot="1">
      <c r="A204" s="1837" t="s">
        <v>1411</v>
      </c>
      <c r="B204" s="1841" t="s">
        <v>2150</v>
      </c>
      <c r="C204" s="1851"/>
      <c r="D204" s="1851"/>
      <c r="E204" s="1851"/>
      <c r="F204" s="1843">
        <v>0.05</v>
      </c>
    </row>
    <row r="205" spans="1:6" ht="14.25" thickBot="1">
      <c r="A205" s="1845" t="s">
        <v>1411</v>
      </c>
      <c r="B205" s="1852" t="s">
        <v>2151</v>
      </c>
      <c r="C205" s="1848"/>
      <c r="D205" s="1848"/>
      <c r="E205" s="1848"/>
      <c r="F205" s="1853">
        <v>0.05</v>
      </c>
    </row>
    <row r="206" spans="1:6" ht="14.25" thickBot="1">
      <c r="A206" s="1837" t="s">
        <v>1413</v>
      </c>
      <c r="B206" s="1838" t="s">
        <v>2152</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2153</v>
      </c>
      <c r="C210" s="1842">
        <v>0.15</v>
      </c>
      <c r="D210" s="1842">
        <v>0.15</v>
      </c>
      <c r="E210" s="1842">
        <v>0.15</v>
      </c>
      <c r="F210" s="1843">
        <v>0.13800000000000001</v>
      </c>
    </row>
    <row r="211" spans="1:6" ht="14.25" thickBot="1">
      <c r="A211" s="1837" t="s">
        <v>1413</v>
      </c>
      <c r="B211" s="1841" t="s">
        <v>2154</v>
      </c>
      <c r="C211" s="1842">
        <v>0.13700000000000001</v>
      </c>
      <c r="D211" s="1842">
        <v>0.13500000000000001</v>
      </c>
      <c r="E211" s="1842">
        <v>0.13600000000000001</v>
      </c>
      <c r="F211" s="1843">
        <v>0.1</v>
      </c>
    </row>
    <row r="212" spans="1:6" ht="14.25" thickBot="1">
      <c r="A212" s="1837" t="s">
        <v>1413</v>
      </c>
      <c r="B212" s="1841" t="s">
        <v>2155</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2156</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2157</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2158</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2159</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2160</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2161</v>
      </c>
      <c r="C231" s="1842">
        <v>0.128</v>
      </c>
      <c r="D231" s="1842">
        <v>0.125</v>
      </c>
      <c r="E231" s="1842">
        <v>0.13200000000000001</v>
      </c>
      <c r="F231" s="1850"/>
    </row>
    <row r="232" spans="1:6" ht="14.25" thickBot="1">
      <c r="A232" s="1837" t="s">
        <v>1413</v>
      </c>
      <c r="B232" s="1841" t="s">
        <v>2162</v>
      </c>
      <c r="C232" s="1842">
        <v>0.14499999999999999</v>
      </c>
      <c r="D232" s="1842">
        <v>0.14399999999999999</v>
      </c>
      <c r="E232" s="1842">
        <v>0.14599999999999999</v>
      </c>
      <c r="F232" s="1843">
        <v>0.13800000000000001</v>
      </c>
    </row>
    <row r="233" spans="1:6" ht="14.25" thickBot="1">
      <c r="A233" s="1837" t="s">
        <v>1413</v>
      </c>
      <c r="B233" s="1841" t="s">
        <v>2163</v>
      </c>
      <c r="C233" s="1842">
        <v>0.14499999999999999</v>
      </c>
      <c r="D233" s="1842">
        <v>0.14299999999999999</v>
      </c>
      <c r="E233" s="1842">
        <v>0.14199999999999999</v>
      </c>
      <c r="F233" s="1850"/>
    </row>
    <row r="234" spans="1:6" ht="14.25" thickBot="1">
      <c r="A234" s="1837" t="s">
        <v>1413</v>
      </c>
      <c r="B234" s="1841" t="s">
        <v>2164</v>
      </c>
      <c r="C234" s="1842">
        <v>0.14000000000000001</v>
      </c>
      <c r="D234" s="1842">
        <v>0.14000000000000001</v>
      </c>
      <c r="E234" s="1842">
        <v>0.14399999999999999</v>
      </c>
      <c r="F234" s="1850"/>
    </row>
    <row r="235" spans="1:6" ht="14.25" thickBot="1">
      <c r="A235" s="1837" t="s">
        <v>1413</v>
      </c>
      <c r="B235" s="1841" t="s">
        <v>2165</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2166</v>
      </c>
      <c r="C237" s="1851"/>
      <c r="D237" s="1851"/>
      <c r="E237" s="1851"/>
      <c r="F237" s="1843">
        <v>0.05</v>
      </c>
    </row>
    <row r="238" spans="1:6" ht="24.75" thickBot="1">
      <c r="A238" s="1837" t="s">
        <v>1413</v>
      </c>
      <c r="B238" s="1841" t="s">
        <v>2167</v>
      </c>
      <c r="C238" s="1851"/>
      <c r="D238" s="1851"/>
      <c r="E238" s="1851"/>
      <c r="F238" s="1843">
        <v>0.05</v>
      </c>
    </row>
    <row r="239" spans="1:6" ht="24.75" thickBot="1">
      <c r="A239" s="1837" t="s">
        <v>1413</v>
      </c>
      <c r="B239" s="1841" t="s">
        <v>2168</v>
      </c>
      <c r="C239" s="1851"/>
      <c r="D239" s="1851"/>
      <c r="E239" s="1851"/>
      <c r="F239" s="1843">
        <v>0.05</v>
      </c>
    </row>
    <row r="240" spans="1:6" ht="24.75" thickBot="1">
      <c r="A240" s="1837" t="s">
        <v>1413</v>
      </c>
      <c r="B240" s="1841" t="s">
        <v>2169</v>
      </c>
      <c r="C240" s="1851"/>
      <c r="D240" s="1851"/>
      <c r="E240" s="1851"/>
      <c r="F240" s="1843">
        <v>0.05</v>
      </c>
    </row>
    <row r="241" spans="1:6" ht="24.75" thickBot="1">
      <c r="A241" s="1837" t="s">
        <v>1413</v>
      </c>
      <c r="B241" s="1841" t="s">
        <v>2170</v>
      </c>
      <c r="C241" s="1851"/>
      <c r="D241" s="1851"/>
      <c r="E241" s="1851"/>
      <c r="F241" s="1843">
        <v>0.05</v>
      </c>
    </row>
    <row r="242" spans="1:6" ht="24.75" thickBot="1">
      <c r="A242" s="1837" t="s">
        <v>1413</v>
      </c>
      <c r="B242" s="1841" t="s">
        <v>2171</v>
      </c>
      <c r="C242" s="1851"/>
      <c r="D242" s="1851"/>
      <c r="E242" s="1851"/>
      <c r="F242" s="1843">
        <v>0.05</v>
      </c>
    </row>
    <row r="243" spans="1:6" ht="24.75" thickBot="1">
      <c r="A243" s="1837" t="s">
        <v>1413</v>
      </c>
      <c r="B243" s="1841" t="s">
        <v>2172</v>
      </c>
      <c r="C243" s="1851"/>
      <c r="D243" s="1851"/>
      <c r="E243" s="1851"/>
      <c r="F243" s="1843">
        <v>0.05</v>
      </c>
    </row>
    <row r="244" spans="1:6" ht="24.75" thickBot="1">
      <c r="A244" s="1845" t="s">
        <v>1413</v>
      </c>
      <c r="B244" s="1852" t="s">
        <v>2173</v>
      </c>
      <c r="C244" s="1848"/>
      <c r="D244" s="1848"/>
      <c r="E244" s="1848"/>
      <c r="F244" s="1853">
        <v>0.05</v>
      </c>
    </row>
    <row r="245" spans="1:6" ht="14.25" thickBot="1">
      <c r="A245" s="1837" t="s">
        <v>1415</v>
      </c>
      <c r="B245" s="1838" t="s">
        <v>2174</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2175</v>
      </c>
      <c r="C247" s="1842">
        <v>0.15</v>
      </c>
      <c r="D247" s="1842">
        <v>0.15</v>
      </c>
      <c r="E247" s="1842">
        <v>0.15</v>
      </c>
      <c r="F247" s="1843">
        <v>0.15</v>
      </c>
    </row>
    <row r="248" spans="1:6" ht="14.25" thickBot="1">
      <c r="A248" s="1837" t="s">
        <v>1415</v>
      </c>
      <c r="B248" s="1841" t="s">
        <v>2176</v>
      </c>
      <c r="C248" s="1842">
        <v>0.15</v>
      </c>
      <c r="D248" s="1842">
        <v>0.15</v>
      </c>
      <c r="E248" s="1842">
        <v>0.15</v>
      </c>
      <c r="F248" s="1843">
        <v>0.14000000000000001</v>
      </c>
    </row>
    <row r="249" spans="1:6" ht="14.25" thickBot="1">
      <c r="A249" s="1837" t="s">
        <v>1415</v>
      </c>
      <c r="B249" s="1841" t="s">
        <v>2177</v>
      </c>
      <c r="C249" s="1842">
        <v>0.15</v>
      </c>
      <c r="D249" s="1842">
        <v>0.14899999999999999</v>
      </c>
      <c r="E249" s="1842">
        <v>0.15</v>
      </c>
      <c r="F249" s="1843">
        <v>0.1</v>
      </c>
    </row>
    <row r="250" spans="1:6" ht="14.25" thickBot="1">
      <c r="A250" s="1837" t="s">
        <v>1415</v>
      </c>
      <c r="B250" s="1841" t="s">
        <v>2178</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2179</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2180</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2181</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2182</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2183</v>
      </c>
      <c r="C273" s="1842">
        <v>0.14199999999999999</v>
      </c>
      <c r="D273" s="1842">
        <v>0.14299999999999999</v>
      </c>
      <c r="E273" s="1842">
        <v>0.15</v>
      </c>
      <c r="F273" s="1843">
        <v>0.1</v>
      </c>
    </row>
    <row r="274" spans="1:6" ht="14.25" thickBot="1">
      <c r="A274" s="1837" t="s">
        <v>1415</v>
      </c>
      <c r="B274" s="1841" t="s">
        <v>2184</v>
      </c>
      <c r="C274" s="1842">
        <v>0.14799999999999999</v>
      </c>
      <c r="D274" s="1842">
        <v>0.14799999999999999</v>
      </c>
      <c r="E274" s="1842">
        <v>0.15</v>
      </c>
      <c r="F274" s="1843">
        <v>6.7000000000000004E-2</v>
      </c>
    </row>
    <row r="275" spans="1:6" ht="14.25" thickBot="1">
      <c r="A275" s="1837" t="s">
        <v>1415</v>
      </c>
      <c r="B275" s="1841" t="s">
        <v>2185</v>
      </c>
      <c r="C275" s="1842">
        <v>0.15</v>
      </c>
      <c r="D275" s="1842">
        <v>0.15</v>
      </c>
      <c r="E275" s="1842">
        <v>0.15</v>
      </c>
      <c r="F275" s="1843">
        <v>0.15</v>
      </c>
    </row>
    <row r="276" spans="1:6" ht="14.25" thickBot="1">
      <c r="A276" s="1837" t="s">
        <v>1415</v>
      </c>
      <c r="B276" s="1841" t="s">
        <v>2186</v>
      </c>
      <c r="C276" s="1842">
        <v>0.14499999999999999</v>
      </c>
      <c r="D276" s="1842">
        <v>0.14299999999999999</v>
      </c>
      <c r="E276" s="1842">
        <v>0.15</v>
      </c>
      <c r="F276" s="1843">
        <v>5.8999999999999997E-2</v>
      </c>
    </row>
    <row r="277" spans="1:6" ht="14.25" thickBot="1">
      <c r="A277" s="1837" t="s">
        <v>1415</v>
      </c>
      <c r="B277" s="1841" t="s">
        <v>2187</v>
      </c>
      <c r="C277" s="1842">
        <v>0.15</v>
      </c>
      <c r="D277" s="1842">
        <v>0.15</v>
      </c>
      <c r="E277" s="1842">
        <v>0.15</v>
      </c>
      <c r="F277" s="1843">
        <v>0.121</v>
      </c>
    </row>
    <row r="278" spans="1:6" ht="14.25" thickBot="1">
      <c r="A278" s="1837" t="s">
        <v>1415</v>
      </c>
      <c r="B278" s="1841" t="s">
        <v>2188</v>
      </c>
      <c r="C278" s="1842">
        <v>0.15</v>
      </c>
      <c r="D278" s="1842">
        <v>0.15</v>
      </c>
      <c r="E278" s="1842">
        <v>0.15</v>
      </c>
      <c r="F278" s="1843">
        <v>0.13800000000000001</v>
      </c>
    </row>
    <row r="279" spans="1:6" ht="24.75" thickBot="1">
      <c r="A279" s="1837" t="s">
        <v>1415</v>
      </c>
      <c r="B279" s="1841" t="s">
        <v>2189</v>
      </c>
      <c r="C279" s="1851"/>
      <c r="D279" s="1851"/>
      <c r="E279" s="1851"/>
      <c r="F279" s="1843">
        <v>0.05</v>
      </c>
    </row>
    <row r="280" spans="1:6" ht="24.75" thickBot="1">
      <c r="A280" s="1837" t="s">
        <v>1415</v>
      </c>
      <c r="B280" s="1841" t="s">
        <v>2190</v>
      </c>
      <c r="C280" s="1851"/>
      <c r="D280" s="1851"/>
      <c r="E280" s="1851"/>
      <c r="F280" s="1843">
        <v>0.05</v>
      </c>
    </row>
    <row r="281" spans="1:6" ht="24.75" thickBot="1">
      <c r="A281" s="1837" t="s">
        <v>1415</v>
      </c>
      <c r="B281" s="1841" t="s">
        <v>2191</v>
      </c>
      <c r="C281" s="1851"/>
      <c r="D281" s="1851"/>
      <c r="E281" s="1851"/>
      <c r="F281" s="1843">
        <v>0.05</v>
      </c>
    </row>
    <row r="282" spans="1:6" ht="24.75" thickBot="1">
      <c r="A282" s="1837" t="s">
        <v>1415</v>
      </c>
      <c r="B282" s="1841" t="s">
        <v>2192</v>
      </c>
      <c r="C282" s="1851"/>
      <c r="D282" s="1851"/>
      <c r="E282" s="1851"/>
      <c r="F282" s="1843">
        <v>0.05</v>
      </c>
    </row>
    <row r="283" spans="1:6" ht="24.75" thickBot="1">
      <c r="A283" s="1837" t="s">
        <v>1415</v>
      </c>
      <c r="B283" s="1841" t="s">
        <v>2193</v>
      </c>
      <c r="C283" s="1851"/>
      <c r="D283" s="1851"/>
      <c r="E283" s="1851"/>
      <c r="F283" s="1843">
        <v>0.05</v>
      </c>
    </row>
    <row r="284" spans="1:6" ht="24.75" thickBot="1">
      <c r="A284" s="1837" t="s">
        <v>1415</v>
      </c>
      <c r="B284" s="1841" t="s">
        <v>2194</v>
      </c>
      <c r="C284" s="1851"/>
      <c r="D284" s="1851"/>
      <c r="E284" s="1851"/>
      <c r="F284" s="1843">
        <v>0.05</v>
      </c>
    </row>
    <row r="285" spans="1:6" ht="24.75" thickBot="1">
      <c r="A285" s="1837" t="s">
        <v>1415</v>
      </c>
      <c r="B285" s="1841" t="s">
        <v>2195</v>
      </c>
      <c r="C285" s="1851"/>
      <c r="D285" s="1851"/>
      <c r="E285" s="1851"/>
      <c r="F285" s="1843">
        <v>0.05</v>
      </c>
    </row>
    <row r="286" spans="1:6" ht="24.75" thickBot="1">
      <c r="A286" s="1837" t="s">
        <v>1415</v>
      </c>
      <c r="B286" s="1841" t="s">
        <v>2196</v>
      </c>
      <c r="C286" s="1851"/>
      <c r="D286" s="1851"/>
      <c r="E286" s="1851"/>
      <c r="F286" s="1843">
        <v>0.05</v>
      </c>
    </row>
    <row r="287" spans="1:6" ht="24.75" thickBot="1">
      <c r="A287" s="1837" t="s">
        <v>1415</v>
      </c>
      <c r="B287" s="1841" t="s">
        <v>2197</v>
      </c>
      <c r="C287" s="1851"/>
      <c r="D287" s="1851"/>
      <c r="E287" s="1851"/>
      <c r="F287" s="1843">
        <v>0.05</v>
      </c>
    </row>
    <row r="288" spans="1:6" ht="24.75" thickBot="1">
      <c r="A288" s="1837" t="s">
        <v>1415</v>
      </c>
      <c r="B288" s="1841" t="s">
        <v>2198</v>
      </c>
      <c r="C288" s="1851"/>
      <c r="D288" s="1851"/>
      <c r="E288" s="1851"/>
      <c r="F288" s="1843">
        <v>0.05</v>
      </c>
    </row>
    <row r="289" spans="1:6" ht="24.75" thickBot="1">
      <c r="A289" s="1845" t="s">
        <v>1415</v>
      </c>
      <c r="B289" s="1852" t="s">
        <v>2199</v>
      </c>
      <c r="C289" s="1848"/>
      <c r="D289" s="1848"/>
      <c r="E289" s="1848"/>
      <c r="F289" s="1853">
        <v>0.05</v>
      </c>
    </row>
    <row r="290" spans="1:6" ht="14.25" thickBot="1">
      <c r="A290" s="1837" t="s">
        <v>1419</v>
      </c>
      <c r="B290" s="1838" t="s">
        <v>2200</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2201</v>
      </c>
      <c r="C292" s="1842">
        <v>0.15</v>
      </c>
      <c r="D292" s="1842">
        <v>0.15</v>
      </c>
      <c r="E292" s="1842">
        <v>0.15</v>
      </c>
      <c r="F292" s="1843">
        <v>0.14699999999999999</v>
      </c>
    </row>
    <row r="293" spans="1:6" ht="14.25" thickBot="1">
      <c r="A293" s="1837" t="s">
        <v>1419</v>
      </c>
      <c r="B293" s="1841" t="s">
        <v>2202</v>
      </c>
      <c r="C293" s="1851"/>
      <c r="D293" s="1851"/>
      <c r="E293" s="1851"/>
      <c r="F293" s="1843">
        <v>0.1</v>
      </c>
    </row>
    <row r="294" spans="1:6" ht="14.25" thickBot="1">
      <c r="A294" s="1837" t="s">
        <v>1419</v>
      </c>
      <c r="B294" s="1841" t="s">
        <v>2203</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2204</v>
      </c>
      <c r="C296" s="1842">
        <v>0.15</v>
      </c>
      <c r="D296" s="1842">
        <v>0.15</v>
      </c>
      <c r="E296" s="1842">
        <v>0.15</v>
      </c>
      <c r="F296" s="1843">
        <v>0.15</v>
      </c>
    </row>
    <row r="297" spans="1:6" ht="14.25" thickBot="1">
      <c r="A297" s="1837" t="s">
        <v>1419</v>
      </c>
      <c r="B297" s="1841" t="s">
        <v>2205</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2206</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2207</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2208</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2209</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2210</v>
      </c>
      <c r="C310" s="1842">
        <v>0.15</v>
      </c>
      <c r="D310" s="1842">
        <v>0.15</v>
      </c>
      <c r="E310" s="1842">
        <v>0.15</v>
      </c>
      <c r="F310" s="1843">
        <v>0.13700000000000001</v>
      </c>
    </row>
    <row r="311" spans="1:6" ht="14.25" thickBot="1">
      <c r="A311" s="1837" t="s">
        <v>1419</v>
      </c>
      <c r="B311" s="1841" t="s">
        <v>2211</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2212</v>
      </c>
      <c r="C313" s="1842">
        <v>0.15</v>
      </c>
      <c r="D313" s="1842">
        <v>0.15</v>
      </c>
      <c r="E313" s="1842">
        <v>0.15</v>
      </c>
      <c r="F313" s="1843">
        <v>0.15</v>
      </c>
    </row>
    <row r="314" spans="1:6" ht="24.75" thickBot="1">
      <c r="A314" s="1837" t="s">
        <v>1419</v>
      </c>
      <c r="B314" s="1841" t="s">
        <v>2213</v>
      </c>
      <c r="C314" s="1851"/>
      <c r="D314" s="1851"/>
      <c r="E314" s="1851"/>
      <c r="F314" s="1843">
        <v>0.05</v>
      </c>
    </row>
    <row r="315" spans="1:6" ht="24.75" thickBot="1">
      <c r="A315" s="1837" t="s">
        <v>1419</v>
      </c>
      <c r="B315" s="1841" t="s">
        <v>2214</v>
      </c>
      <c r="C315" s="1851"/>
      <c r="D315" s="1851"/>
      <c r="E315" s="1851"/>
      <c r="F315" s="1843">
        <v>0.05</v>
      </c>
    </row>
    <row r="316" spans="1:6" ht="24.75" thickBot="1">
      <c r="A316" s="1845" t="s">
        <v>1419</v>
      </c>
      <c r="B316" s="1852" t="s">
        <v>2215</v>
      </c>
      <c r="C316" s="1848"/>
      <c r="D316" s="1848"/>
      <c r="E316" s="1848"/>
      <c r="F316" s="1853">
        <v>0.05</v>
      </c>
    </row>
    <row r="317" spans="1:6" ht="14.25" thickBot="1">
      <c r="A317" s="1837" t="s">
        <v>2216</v>
      </c>
      <c r="B317" s="1838" t="s">
        <v>2217</v>
      </c>
      <c r="C317" s="1839">
        <v>0.15</v>
      </c>
      <c r="D317" s="1839">
        <v>0.15</v>
      </c>
      <c r="E317" s="1839">
        <v>0.15</v>
      </c>
      <c r="F317" s="1840">
        <v>0.15</v>
      </c>
    </row>
    <row r="318" spans="1:6" ht="14.25" thickBot="1">
      <c r="A318" s="1837" t="s">
        <v>2216</v>
      </c>
      <c r="B318" s="1841" t="s">
        <v>2218</v>
      </c>
      <c r="C318" s="1842">
        <v>0.107</v>
      </c>
      <c r="D318" s="1842">
        <v>0.11</v>
      </c>
      <c r="E318" s="1842">
        <v>0.112</v>
      </c>
      <c r="F318" s="1850"/>
    </row>
    <row r="319" spans="1:6" ht="14.25" thickBot="1">
      <c r="A319" s="1837" t="s">
        <v>2216</v>
      </c>
      <c r="B319" s="1841" t="s">
        <v>2219</v>
      </c>
      <c r="C319" s="1842">
        <v>0.15</v>
      </c>
      <c r="D319" s="1842">
        <v>0.15</v>
      </c>
      <c r="E319" s="1842">
        <v>0.15</v>
      </c>
      <c r="F319" s="1843">
        <v>0.15</v>
      </c>
    </row>
    <row r="320" spans="1:6" ht="14.25" thickBot="1">
      <c r="A320" s="1837" t="s">
        <v>2216</v>
      </c>
      <c r="B320" s="1841" t="s">
        <v>1107</v>
      </c>
      <c r="C320" s="1842">
        <v>0.15</v>
      </c>
      <c r="D320" s="1842">
        <v>0.15</v>
      </c>
      <c r="E320" s="1842">
        <v>0.15</v>
      </c>
      <c r="F320" s="1850"/>
    </row>
    <row r="321" spans="1:6" ht="14.25" thickBot="1">
      <c r="A321" s="1837" t="s">
        <v>2216</v>
      </c>
      <c r="B321" s="1841" t="s">
        <v>2220</v>
      </c>
      <c r="C321" s="1842">
        <v>0.15</v>
      </c>
      <c r="D321" s="1842">
        <v>0.15</v>
      </c>
      <c r="E321" s="1842">
        <v>0.15</v>
      </c>
      <c r="F321" s="1850"/>
    </row>
    <row r="322" spans="1:6" ht="14.25" thickBot="1">
      <c r="A322" s="1837" t="s">
        <v>2216</v>
      </c>
      <c r="B322" s="1841" t="s">
        <v>2221</v>
      </c>
      <c r="C322" s="1842">
        <v>0.15</v>
      </c>
      <c r="D322" s="1842">
        <v>0.15</v>
      </c>
      <c r="E322" s="1842">
        <v>0.15</v>
      </c>
      <c r="F322" s="1843">
        <v>0.15</v>
      </c>
    </row>
    <row r="323" spans="1:6" ht="14.25" thickBot="1">
      <c r="A323" s="1837" t="s">
        <v>2216</v>
      </c>
      <c r="B323" s="1841" t="s">
        <v>2222</v>
      </c>
      <c r="C323" s="1842">
        <v>0.15</v>
      </c>
      <c r="D323" s="1842">
        <v>0.15</v>
      </c>
      <c r="E323" s="1842">
        <v>0.15</v>
      </c>
      <c r="F323" s="1850"/>
    </row>
    <row r="324" spans="1:6" ht="14.25" thickBot="1">
      <c r="A324" s="1837" t="s">
        <v>2216</v>
      </c>
      <c r="B324" s="1841" t="s">
        <v>2223</v>
      </c>
      <c r="C324" s="1842">
        <v>0.15</v>
      </c>
      <c r="D324" s="1842">
        <v>0.15</v>
      </c>
      <c r="E324" s="1842">
        <v>0.15</v>
      </c>
      <c r="F324" s="1850"/>
    </row>
    <row r="325" spans="1:6" ht="14.25" thickBot="1">
      <c r="A325" s="1837" t="s">
        <v>2216</v>
      </c>
      <c r="B325" s="1841" t="s">
        <v>2224</v>
      </c>
      <c r="C325" s="1842">
        <v>0.15</v>
      </c>
      <c r="D325" s="1842">
        <v>0.15</v>
      </c>
      <c r="E325" s="1842">
        <v>0.15</v>
      </c>
      <c r="F325" s="1843">
        <v>0.14699999999999999</v>
      </c>
    </row>
    <row r="326" spans="1:6" ht="14.25" thickBot="1">
      <c r="A326" s="1837" t="s">
        <v>2216</v>
      </c>
      <c r="B326" s="1841" t="s">
        <v>1176</v>
      </c>
      <c r="C326" s="1842">
        <v>0.15</v>
      </c>
      <c r="D326" s="1842">
        <v>0.15</v>
      </c>
      <c r="E326" s="1842">
        <v>0.15</v>
      </c>
      <c r="F326" s="1850"/>
    </row>
    <row r="327" spans="1:6" ht="14.25" thickBot="1">
      <c r="A327" s="1837" t="s">
        <v>2216</v>
      </c>
      <c r="B327" s="1841" t="s">
        <v>2225</v>
      </c>
      <c r="C327" s="1842">
        <v>0.15</v>
      </c>
      <c r="D327" s="1842">
        <v>0.15</v>
      </c>
      <c r="E327" s="1842">
        <v>0.15</v>
      </c>
      <c r="F327" s="1843">
        <v>0.15</v>
      </c>
    </row>
    <row r="328" spans="1:6" ht="14.25" thickBot="1">
      <c r="A328" s="1837" t="s">
        <v>2216</v>
      </c>
      <c r="B328" s="1841" t="s">
        <v>1196</v>
      </c>
      <c r="C328" s="1842">
        <v>0.15</v>
      </c>
      <c r="D328" s="1842">
        <v>0.15</v>
      </c>
      <c r="E328" s="1842">
        <v>0.15</v>
      </c>
      <c r="F328" s="1843">
        <v>0.14099999999999999</v>
      </c>
    </row>
    <row r="329" spans="1:6" ht="14.25" thickBot="1">
      <c r="A329" s="1837" t="s">
        <v>2216</v>
      </c>
      <c r="B329" s="1841" t="s">
        <v>1206</v>
      </c>
      <c r="C329" s="1842">
        <v>0.15</v>
      </c>
      <c r="D329" s="1842">
        <v>0.15</v>
      </c>
      <c r="E329" s="1842">
        <v>0.15</v>
      </c>
      <c r="F329" s="1843">
        <v>0.15</v>
      </c>
    </row>
    <row r="330" spans="1:6" ht="14.25" thickBot="1">
      <c r="A330" s="1837" t="s">
        <v>2216</v>
      </c>
      <c r="B330" s="1841" t="s">
        <v>1216</v>
      </c>
      <c r="C330" s="1842">
        <v>0.15</v>
      </c>
      <c r="D330" s="1842">
        <v>0.15</v>
      </c>
      <c r="E330" s="1842">
        <v>0.15</v>
      </c>
      <c r="F330" s="1850"/>
    </row>
    <row r="331" spans="1:6" ht="14.25" thickBot="1">
      <c r="A331" s="1837" t="s">
        <v>2216</v>
      </c>
      <c r="B331" s="1841" t="s">
        <v>2226</v>
      </c>
      <c r="C331" s="1842">
        <v>0.15</v>
      </c>
      <c r="D331" s="1842">
        <v>0.15</v>
      </c>
      <c r="E331" s="1842">
        <v>0.15</v>
      </c>
      <c r="F331" s="1843">
        <v>0.15</v>
      </c>
    </row>
    <row r="332" spans="1:6" ht="14.25" thickBot="1">
      <c r="A332" s="1837" t="s">
        <v>2216</v>
      </c>
      <c r="B332" s="1841" t="s">
        <v>1236</v>
      </c>
      <c r="C332" s="1842">
        <v>0.15</v>
      </c>
      <c r="D332" s="1842">
        <v>0.15</v>
      </c>
      <c r="E332" s="1842">
        <v>0.15</v>
      </c>
      <c r="F332" s="1843">
        <v>0.15</v>
      </c>
    </row>
    <row r="333" spans="1:6" ht="14.25" thickBot="1">
      <c r="A333" s="1837" t="s">
        <v>2216</v>
      </c>
      <c r="B333" s="1841" t="s">
        <v>2227</v>
      </c>
      <c r="C333" s="1842">
        <v>0.15</v>
      </c>
      <c r="D333" s="1842">
        <v>0.15</v>
      </c>
      <c r="E333" s="1842">
        <v>0.15</v>
      </c>
      <c r="F333" s="1843">
        <v>0.14099999999999999</v>
      </c>
    </row>
    <row r="334" spans="1:6" ht="14.25" thickBot="1">
      <c r="A334" s="1837" t="s">
        <v>2216</v>
      </c>
      <c r="B334" s="1841" t="s">
        <v>1256</v>
      </c>
      <c r="C334" s="1842">
        <v>0.15</v>
      </c>
      <c r="D334" s="1842">
        <v>0.15</v>
      </c>
      <c r="E334" s="1842">
        <v>0.15</v>
      </c>
      <c r="F334" s="1843">
        <v>0.15</v>
      </c>
    </row>
    <row r="335" spans="1:6" ht="14.25" thickBot="1">
      <c r="A335" s="1837" t="s">
        <v>2216</v>
      </c>
      <c r="B335" s="1841" t="s">
        <v>1266</v>
      </c>
      <c r="C335" s="1842">
        <v>0.15</v>
      </c>
      <c r="D335" s="1842">
        <v>0.15</v>
      </c>
      <c r="E335" s="1842">
        <v>0.15</v>
      </c>
      <c r="F335" s="1850"/>
    </row>
    <row r="336" spans="1:6" ht="14.25" thickBot="1">
      <c r="A336" s="1837" t="s">
        <v>2216</v>
      </c>
      <c r="B336" s="1841" t="s">
        <v>2228</v>
      </c>
      <c r="C336" s="1842">
        <v>0.15</v>
      </c>
      <c r="D336" s="1842">
        <v>0.15</v>
      </c>
      <c r="E336" s="1842">
        <v>0.15</v>
      </c>
      <c r="F336" s="1843">
        <v>0.11799999999999999</v>
      </c>
    </row>
    <row r="337" spans="1:6" ht="14.25" thickBot="1">
      <c r="A337" s="1845" t="s">
        <v>2216</v>
      </c>
      <c r="B337" s="1852" t="s">
        <v>1284</v>
      </c>
      <c r="C337" s="1848"/>
      <c r="D337" s="1848"/>
      <c r="E337" s="1848"/>
      <c r="F337" s="1853">
        <v>0.14299999999999999</v>
      </c>
    </row>
    <row r="338" spans="1:6" ht="14.25" thickBot="1">
      <c r="A338" s="1837" t="s">
        <v>2229</v>
      </c>
      <c r="B338" s="1838" t="s">
        <v>2230</v>
      </c>
      <c r="C338" s="1839">
        <v>0.15</v>
      </c>
      <c r="D338" s="1839">
        <v>0.15</v>
      </c>
      <c r="E338" s="1839">
        <v>0.15</v>
      </c>
      <c r="F338" s="1861"/>
    </row>
    <row r="339" spans="1:6" ht="14.25" thickBot="1">
      <c r="A339" s="1837" t="s">
        <v>2229</v>
      </c>
      <c r="B339" s="1841" t="s">
        <v>2231</v>
      </c>
      <c r="C339" s="1842">
        <v>0.15</v>
      </c>
      <c r="D339" s="1842">
        <v>0.15</v>
      </c>
      <c r="E339" s="1842">
        <v>0.15</v>
      </c>
      <c r="F339" s="1850"/>
    </row>
    <row r="340" spans="1:6" ht="14.25" thickBot="1">
      <c r="A340" s="1837" t="s">
        <v>2229</v>
      </c>
      <c r="B340" s="1841" t="s">
        <v>2232</v>
      </c>
      <c r="C340" s="1842">
        <v>0.15</v>
      </c>
      <c r="D340" s="1842">
        <v>0.15</v>
      </c>
      <c r="E340" s="1842">
        <v>0.15</v>
      </c>
      <c r="F340" s="1850"/>
    </row>
    <row r="341" spans="1:6" ht="14.25" thickBot="1">
      <c r="A341" s="1837" t="s">
        <v>2233</v>
      </c>
      <c r="B341" s="1841" t="s">
        <v>2234</v>
      </c>
      <c r="C341" s="1842">
        <v>0.15</v>
      </c>
      <c r="D341" s="1842">
        <v>0.15</v>
      </c>
      <c r="E341" s="1842">
        <v>0.15</v>
      </c>
      <c r="F341" s="1843">
        <v>0.15</v>
      </c>
    </row>
    <row r="342" spans="1:6" ht="14.25" thickBot="1">
      <c r="A342" s="1837" t="s">
        <v>2229</v>
      </c>
      <c r="B342" s="1841" t="s">
        <v>2235</v>
      </c>
      <c r="C342" s="1842">
        <v>0.15</v>
      </c>
      <c r="D342" s="1842">
        <v>0.15</v>
      </c>
      <c r="E342" s="1842">
        <v>0.15</v>
      </c>
      <c r="F342" s="1843">
        <v>0.15</v>
      </c>
    </row>
    <row r="343" spans="1:6" ht="14.25" thickBot="1">
      <c r="A343" s="1837" t="s">
        <v>2229</v>
      </c>
      <c r="B343" s="1841" t="s">
        <v>2236</v>
      </c>
      <c r="C343" s="1842">
        <v>0.15</v>
      </c>
      <c r="D343" s="1842">
        <v>0.15</v>
      </c>
      <c r="E343" s="1842">
        <v>0.15</v>
      </c>
      <c r="F343" s="1843">
        <v>0.15</v>
      </c>
    </row>
    <row r="344" spans="1:6" ht="14.25" thickBot="1">
      <c r="A344" s="1845" t="s">
        <v>2229</v>
      </c>
      <c r="B344" s="1852" t="s">
        <v>2237</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2" t="s">
        <v>2576</v>
      </c>
      <c r="C1" s="3462"/>
      <c r="D1" s="3462"/>
      <c r="E1" s="3462"/>
      <c r="F1" s="3462"/>
      <c r="G1" s="3461" t="s">
        <v>2577</v>
      </c>
      <c r="H1" s="3461"/>
      <c r="I1" s="3461"/>
      <c r="J1" s="3461"/>
      <c r="K1" s="3461"/>
      <c r="L1" s="3461"/>
      <c r="N1" s="3461" t="s">
        <v>2578</v>
      </c>
      <c r="O1" s="3461"/>
      <c r="P1" s="3461"/>
      <c r="Q1" s="3461"/>
      <c r="R1" s="2615"/>
      <c r="S1" s="3461" t="s">
        <v>2579</v>
      </c>
      <c r="T1" s="3461"/>
      <c r="U1" s="3461"/>
      <c r="V1" s="3461"/>
      <c r="X1" s="3460" t="s">
        <v>2639</v>
      </c>
      <c r="Y1" s="3461"/>
      <c r="Z1" s="3461"/>
      <c r="AA1" s="3461"/>
      <c r="AB1" s="3461"/>
      <c r="AD1" s="3460" t="s">
        <v>2643</v>
      </c>
      <c r="AE1" s="3461"/>
      <c r="AF1" s="3461"/>
      <c r="AG1" s="3461"/>
      <c r="AH1" s="3461"/>
    </row>
    <row r="2" spans="1:34" s="2716" customFormat="1" ht="14.25" thickBot="1">
      <c r="B2" s="2724" t="s">
        <v>2580</v>
      </c>
      <c r="C2" s="2724" t="s">
        <v>2641</v>
      </c>
      <c r="D2" s="2717" t="s">
        <v>1644</v>
      </c>
      <c r="E2" s="2717" t="s">
        <v>1949</v>
      </c>
      <c r="F2" s="2724" t="s">
        <v>2642</v>
      </c>
      <c r="G2" s="2720"/>
      <c r="H2" s="2719"/>
      <c r="I2" s="2724" t="s">
        <v>2955</v>
      </c>
      <c r="J2" s="2717" t="s">
        <v>2957</v>
      </c>
      <c r="K2" s="2717" t="s">
        <v>2958</v>
      </c>
      <c r="L2" s="2724" t="s">
        <v>2959</v>
      </c>
      <c r="N2" s="2724" t="s">
        <v>2580</v>
      </c>
      <c r="O2" s="2717" t="s">
        <v>2956</v>
      </c>
      <c r="P2" s="2717" t="s">
        <v>1949</v>
      </c>
      <c r="Q2" s="2724" t="s">
        <v>2642</v>
      </c>
      <c r="R2" s="2718"/>
      <c r="S2" s="2724" t="s">
        <v>2580</v>
      </c>
      <c r="T2" s="2717" t="s">
        <v>2956</v>
      </c>
      <c r="U2" s="2717" t="s">
        <v>1949</v>
      </c>
      <c r="V2" s="2724" t="s">
        <v>2642</v>
      </c>
      <c r="X2" s="2724" t="s">
        <v>2580</v>
      </c>
      <c r="Y2" s="2724" t="s">
        <v>2641</v>
      </c>
      <c r="Z2" s="2717" t="s">
        <v>1644</v>
      </c>
      <c r="AA2" s="2717" t="s">
        <v>1949</v>
      </c>
      <c r="AB2" s="2724" t="s">
        <v>2642</v>
      </c>
      <c r="AD2" s="2724" t="s">
        <v>2580</v>
      </c>
      <c r="AE2" s="2724" t="s">
        <v>2641</v>
      </c>
      <c r="AF2" s="2717" t="s">
        <v>1644</v>
      </c>
      <c r="AG2" s="2717" t="s">
        <v>1949</v>
      </c>
      <c r="AH2" s="2724" t="s">
        <v>2642</v>
      </c>
    </row>
    <row r="3" spans="1:34" s="3080" customFormat="1" ht="14.25">
      <c r="A3" s="3092" t="s">
        <v>2968</v>
      </c>
      <c r="B3" s="3081"/>
      <c r="C3" s="3081"/>
      <c r="D3" s="3082"/>
      <c r="E3" s="3082"/>
      <c r="F3" s="3081"/>
      <c r="G3" s="3083"/>
      <c r="H3" s="3084"/>
      <c r="I3" s="3091">
        <f>ROUND(AVERAGE($I4:$I28),2)</f>
        <v>1.98</v>
      </c>
      <c r="J3" s="3091">
        <f>ROUND(AVERAGE($J4:$J28),2)</f>
        <v>1.41</v>
      </c>
      <c r="K3" s="3091">
        <f>ROUND(AVERAGE($K4:$K28),2)</f>
        <v>2.16</v>
      </c>
      <c r="L3" s="3091">
        <f>ROUND(AVERAGE($L4:$L28),2)</f>
        <v>1.38</v>
      </c>
      <c r="N3" s="3083"/>
      <c r="O3" s="3085"/>
      <c r="P3" s="3085"/>
      <c r="Q3" s="3085"/>
      <c r="R3" s="3085"/>
      <c r="S3" s="3083"/>
      <c r="T3" s="3085"/>
      <c r="U3" s="3085"/>
      <c r="V3" s="3085"/>
      <c r="W3" s="3088"/>
      <c r="X3" s="3086">
        <f>ROUND(SUMPRODUCT(PRODUCT(1+N3:N$27)),4)</f>
        <v>1.5516000000000001</v>
      </c>
      <c r="Y3" s="3086">
        <f>ROUND(SUMPRODUCT(PRODUCT(1+O3:O$27)),4)</f>
        <v>1.3649</v>
      </c>
      <c r="Z3" s="3086">
        <f t="shared" ref="Z3:Z25" si="0">Y3</f>
        <v>1.3649</v>
      </c>
      <c r="AA3" s="3086">
        <f>ROUND(SUMPRODUCT(PRODUCT(1+P3:P$27)),4)</f>
        <v>1.6133999999999999</v>
      </c>
      <c r="AB3" s="3086">
        <f>ROUND(SUMPRODUCT(PRODUCT(1+Q3:Q$27)),4)</f>
        <v>1.3713</v>
      </c>
      <c r="AD3" s="3087">
        <f>ROUND(AVERAGE(I3:I$28)/100,4)</f>
        <v>1.9800000000000002E-2</v>
      </c>
      <c r="AE3" s="3087">
        <f>ROUND(AVERAGE(J3:J$28)/100,4)</f>
        <v>1.41E-2</v>
      </c>
      <c r="AF3" s="3087">
        <f t="shared" ref="AF3:AF26" si="1">AE3</f>
        <v>1.41E-2</v>
      </c>
      <c r="AG3" s="3087">
        <f>ROUND(AVERAGE(K3:K$28)/100,4)</f>
        <v>2.1600000000000001E-2</v>
      </c>
      <c r="AH3" s="3087">
        <f>ROUND(AVERAGE(L3:L$28)/100,4)</f>
        <v>1.38E-2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2996</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3">
        <v>4</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2969</v>
      </c>
      <c r="X5" s="3067">
        <f>ROUND(IF(项目基本情况!B7="出让",SUMPRODUCT(PRODUCT(1+N5:N$28)),SUMPRODUCT(PRODUCT(1+N5:N$27))),4)</f>
        <v>1.5516000000000001</v>
      </c>
      <c r="Y5" s="3067">
        <f>ROUND(IF(项目基本情况!B7="出让",SUMPRODUCT(PRODUCT(1+O5:O$28)),SUMPRODUCT(PRODUCT(1+O5:O$27))),4)</f>
        <v>1.3649</v>
      </c>
      <c r="Z5" s="3067">
        <f t="shared" ref="Z5" si="11">Y5</f>
        <v>1.3649</v>
      </c>
      <c r="AA5" s="3067">
        <f>ROUND(IF(项目基本情况!B7="出让",SUMPRODUCT(PRODUCT(1+P5:P$28)),SUMPRODUCT(PRODUCT(1+P5:P$27))),4)</f>
        <v>1.6133999999999999</v>
      </c>
      <c r="AB5" s="3067">
        <f>ROUND(IF(项目基本情况!B7="出让",SUMPRODUCT(PRODUCT(1+Q5:Q$28)),SUMPRODUCT(PRODUCT(1+Q5:Q$27))),4)</f>
        <v>1.3713</v>
      </c>
      <c r="AD5" s="3068">
        <f>ROUND(AVERAGE(I5:I$28)/100,4)</f>
        <v>1.9800000000000002E-2</v>
      </c>
      <c r="AE5" s="3068">
        <f>ROUND(AVERAGE(J5:J$28)/100,4)</f>
        <v>1.41E-2</v>
      </c>
      <c r="AF5" s="3068">
        <f t="shared" ref="AF5" si="12">AE5</f>
        <v>1.41E-2</v>
      </c>
      <c r="AG5" s="3068">
        <f>ROUND(AVERAGE(K5:K$28)/100,4)</f>
        <v>2.1600000000000001E-2</v>
      </c>
      <c r="AH5" s="3068">
        <f>ROUND(AVERAGE(L5:L$28)/100,4)</f>
        <v>1.38E-2</v>
      </c>
    </row>
    <row r="6" spans="1:34" s="2721" customFormat="1" ht="13.5" thickBot="1">
      <c r="A6" s="2616" t="s">
        <v>2995</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2992</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5" thickBot="1">
      <c r="A8" s="2616" t="s">
        <v>2991</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2988</v>
      </c>
      <c r="B9" s="3176">
        <f t="shared" si="24"/>
        <v>464.37293017158942</v>
      </c>
      <c r="C9" s="3176">
        <f t="shared" ref="C9" si="45">C10*(1+O9)</f>
        <v>344.73679941385956</v>
      </c>
      <c r="D9" s="3176">
        <f t="shared" ref="D9" si="46">C9</f>
        <v>344.73679941385956</v>
      </c>
      <c r="E9" s="3176">
        <f t="shared" ref="E9" si="47">E10*(1+P9)</f>
        <v>663.2377795103107</v>
      </c>
      <c r="F9" s="3177">
        <f t="shared" ref="F9" si="48">F10*(1+Q9)</f>
        <v>304.75936311478398</v>
      </c>
      <c r="G9" s="3464">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5" customHeight="1">
      <c r="A10" s="2616" t="s">
        <v>2978</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64"/>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5" customHeight="1">
      <c r="A11" s="2616" t="s">
        <v>2979</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64"/>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2975</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70"/>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2966</v>
      </c>
      <c r="B13" s="3094">
        <v>439</v>
      </c>
      <c r="C13" s="3094">
        <v>327</v>
      </c>
      <c r="D13" s="3094">
        <f t="shared" si="76"/>
        <v>327</v>
      </c>
      <c r="E13" s="3094">
        <v>627</v>
      </c>
      <c r="F13" s="3095">
        <v>283</v>
      </c>
      <c r="G13" s="3469">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5" customHeight="1">
      <c r="A14" s="2616" t="s">
        <v>2970</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64"/>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5" customHeight="1">
      <c r="A15" s="2616" t="s">
        <v>2581</v>
      </c>
      <c r="B15" s="2629">
        <f t="shared" si="88"/>
        <v>419.31181600000002</v>
      </c>
      <c r="C15" s="2629">
        <f t="shared" si="88"/>
        <v>313.95436800000004</v>
      </c>
      <c r="D15" s="2629">
        <f t="shared" si="76"/>
        <v>313.95436800000004</v>
      </c>
      <c r="E15" s="2629">
        <f t="shared" si="89"/>
        <v>596.63028431999999</v>
      </c>
      <c r="F15" s="2629">
        <f t="shared" si="89"/>
        <v>274.74220703999998</v>
      </c>
      <c r="G15" s="3464"/>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2582</v>
      </c>
      <c r="B16" s="2629">
        <f t="shared" si="88"/>
        <v>405.524</v>
      </c>
      <c r="C16" s="2629">
        <f t="shared" si="88"/>
        <v>307.79840000000002</v>
      </c>
      <c r="D16" s="2629">
        <f t="shared" si="76"/>
        <v>307.79840000000002</v>
      </c>
      <c r="E16" s="2629">
        <f t="shared" si="89"/>
        <v>574.67759999999998</v>
      </c>
      <c r="F16" s="2629">
        <f t="shared" si="89"/>
        <v>270.20280000000002</v>
      </c>
      <c r="G16" s="3470"/>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970</v>
      </c>
      <c r="B17" s="2621">
        <v>392</v>
      </c>
      <c r="C17" s="2621">
        <v>302</v>
      </c>
      <c r="D17" s="2621">
        <f t="shared" si="76"/>
        <v>302</v>
      </c>
      <c r="E17" s="2621">
        <v>553</v>
      </c>
      <c r="F17" s="2622">
        <v>266</v>
      </c>
      <c r="G17" s="3469">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969</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64"/>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959</v>
      </c>
      <c r="B19" s="2629">
        <f t="shared" si="97"/>
        <v>360.06949782209392</v>
      </c>
      <c r="C19" s="2629">
        <f t="shared" si="97"/>
        <v>289.84672674747821</v>
      </c>
      <c r="D19" s="2629">
        <f t="shared" si="98"/>
        <v>289.84672674747821</v>
      </c>
      <c r="E19" s="2629">
        <f t="shared" si="99"/>
        <v>501.06543001181495</v>
      </c>
      <c r="F19" s="2629">
        <f t="shared" si="99"/>
        <v>256.82882500744967</v>
      </c>
      <c r="G19" s="3464"/>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5" thickBot="1">
      <c r="A20" s="2616" t="s">
        <v>968</v>
      </c>
      <c r="B20" s="2629">
        <f t="shared" si="97"/>
        <v>346.720748986128</v>
      </c>
      <c r="C20" s="2629">
        <f t="shared" si="97"/>
        <v>284.30282172386285</v>
      </c>
      <c r="D20" s="2629">
        <f t="shared" si="98"/>
        <v>284.30282172386285</v>
      </c>
      <c r="E20" s="2629">
        <f t="shared" si="99"/>
        <v>479.58023546306947</v>
      </c>
      <c r="F20" s="2629">
        <f t="shared" si="99"/>
        <v>253.25788877571213</v>
      </c>
      <c r="G20" s="3465"/>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5" thickBot="1">
      <c r="A21" s="2616" t="s">
        <v>967</v>
      </c>
      <c r="B21" s="2621">
        <v>333</v>
      </c>
      <c r="C21" s="2621">
        <v>277</v>
      </c>
      <c r="D21" s="2621">
        <f t="shared" si="98"/>
        <v>277</v>
      </c>
      <c r="E21" s="2621">
        <v>459</v>
      </c>
      <c r="F21" s="2622">
        <v>249</v>
      </c>
      <c r="G21" s="3463">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966</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64"/>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965</v>
      </c>
      <c r="B23" s="2629">
        <f t="shared" si="101"/>
        <v>322.34053690220776</v>
      </c>
      <c r="C23" s="2629">
        <f t="shared" si="101"/>
        <v>271.46160770422546</v>
      </c>
      <c r="D23" s="2629">
        <f t="shared" si="98"/>
        <v>271.46160770422546</v>
      </c>
      <c r="E23" s="2629">
        <f t="shared" si="102"/>
        <v>442.69434542172456</v>
      </c>
      <c r="F23" s="2629">
        <f t="shared" si="102"/>
        <v>241.34030753190925</v>
      </c>
      <c r="G23" s="3464"/>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964</v>
      </c>
      <c r="B24" s="2629">
        <f t="shared" si="101"/>
        <v>319.87748030386797</v>
      </c>
      <c r="C24" s="2629">
        <f t="shared" si="101"/>
        <v>269.60135833173649</v>
      </c>
      <c r="D24" s="2629">
        <f t="shared" si="98"/>
        <v>269.60135833173649</v>
      </c>
      <c r="E24" s="2629">
        <f t="shared" si="102"/>
        <v>439.18089823583784</v>
      </c>
      <c r="F24" s="2629">
        <f t="shared" si="102"/>
        <v>239.23503918706311</v>
      </c>
      <c r="G24" s="3465"/>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5" thickBot="1">
      <c r="A25" s="2616" t="s">
        <v>963</v>
      </c>
      <c r="B25" s="2643">
        <v>318</v>
      </c>
      <c r="C25" s="2643">
        <v>268</v>
      </c>
      <c r="D25" s="2643">
        <f t="shared" si="98"/>
        <v>268</v>
      </c>
      <c r="E25" s="2643">
        <v>437</v>
      </c>
      <c r="F25" s="2644">
        <v>237</v>
      </c>
      <c r="G25" s="3463">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962</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64"/>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5" thickBot="1">
      <c r="A27" s="2616" t="s">
        <v>961</v>
      </c>
      <c r="B27" s="2629">
        <f t="shared" si="103"/>
        <v>314.72141172386546</v>
      </c>
      <c r="C27" s="2629">
        <f t="shared" si="103"/>
        <v>263.03901319069001</v>
      </c>
      <c r="D27" s="2629">
        <f t="shared" si="98"/>
        <v>263.03901319069001</v>
      </c>
      <c r="E27" s="2629">
        <f t="shared" si="104"/>
        <v>433.65745506782821</v>
      </c>
      <c r="F27" s="2629">
        <f t="shared" si="104"/>
        <v>233.23005080045735</v>
      </c>
      <c r="G27" s="3464"/>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5" thickBot="1">
      <c r="A28" s="2647" t="s">
        <v>960</v>
      </c>
      <c r="B28" s="2648">
        <f t="shared" si="103"/>
        <v>307.34512863658733</v>
      </c>
      <c r="C28" s="2648">
        <f t="shared" si="103"/>
        <v>257.80556031626975</v>
      </c>
      <c r="D28" s="2648">
        <f t="shared" si="98"/>
        <v>257.80556031626975</v>
      </c>
      <c r="E28" s="2648">
        <f t="shared" si="104"/>
        <v>422.70928459677179</v>
      </c>
      <c r="F28" s="2648">
        <f t="shared" si="104"/>
        <v>229.73803270336617</v>
      </c>
      <c r="G28" s="3465"/>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2640</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5" thickBot="1">
      <c r="A29" s="2616" t="s">
        <v>2583</v>
      </c>
      <c r="B29" s="2621">
        <v>299</v>
      </c>
      <c r="C29" s="2621">
        <v>252</v>
      </c>
      <c r="D29" s="2621">
        <f t="shared" si="98"/>
        <v>252</v>
      </c>
      <c r="E29" s="2621">
        <v>409</v>
      </c>
      <c r="F29" s="2622">
        <v>227</v>
      </c>
      <c r="G29" s="3466">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2584</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67"/>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2585</v>
      </c>
      <c r="B31" s="2629">
        <f t="shared" si="107"/>
        <v>288.2649053828776</v>
      </c>
      <c r="C31" s="2629">
        <f t="shared" si="107"/>
        <v>243.64564425013293</v>
      </c>
      <c r="D31" s="2629">
        <f t="shared" si="98"/>
        <v>243.64564425013293</v>
      </c>
      <c r="E31" s="2629">
        <f t="shared" si="108"/>
        <v>393.31080825986544</v>
      </c>
      <c r="F31" s="2629">
        <f t="shared" si="108"/>
        <v>223.07903790551154</v>
      </c>
      <c r="G31" s="3467"/>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2586</v>
      </c>
      <c r="B32" s="2629">
        <f t="shared" si="107"/>
        <v>282.50186729015837</v>
      </c>
      <c r="C32" s="2629">
        <f t="shared" si="107"/>
        <v>238.09796174155468</v>
      </c>
      <c r="D32" s="2629">
        <f t="shared" si="98"/>
        <v>238.09796174155468</v>
      </c>
      <c r="E32" s="2629">
        <f t="shared" si="108"/>
        <v>385.33438646014054</v>
      </c>
      <c r="F32" s="2629">
        <f t="shared" si="108"/>
        <v>221.55034055567739</v>
      </c>
      <c r="G32" s="3468"/>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5" thickBot="1">
      <c r="A33" s="2616" t="s">
        <v>2587</v>
      </c>
      <c r="B33" s="2659">
        <v>278</v>
      </c>
      <c r="C33" s="2659">
        <v>234</v>
      </c>
      <c r="D33" s="2659">
        <f t="shared" si="98"/>
        <v>234</v>
      </c>
      <c r="E33" s="2659">
        <v>379</v>
      </c>
      <c r="F33" s="2660">
        <v>220</v>
      </c>
      <c r="G33" s="3463">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2588</v>
      </c>
      <c r="B34" s="2629">
        <f>B33/(1+N33)</f>
        <v>275.49301357645425</v>
      </c>
      <c r="C34" s="2629">
        <f>C33/(1+O33)</f>
        <v>232.41954707985698</v>
      </c>
      <c r="D34" s="2629">
        <f t="shared" si="98"/>
        <v>232.41954707985698</v>
      </c>
      <c r="E34" s="2629">
        <f t="shared" ref="E34:F36" si="109">E33/(1+P33)</f>
        <v>375.32184591008121</v>
      </c>
      <c r="F34" s="2629">
        <f t="shared" si="109"/>
        <v>218.03766105054513</v>
      </c>
      <c r="G34" s="3464"/>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2589</v>
      </c>
      <c r="B35" s="2629">
        <f>B34/(1+N34)</f>
        <v>275.24529281292263</v>
      </c>
      <c r="C35" s="2629">
        <f>C34/(1+O34)</f>
        <v>231.74747938962707</v>
      </c>
      <c r="D35" s="2629">
        <f t="shared" si="98"/>
        <v>231.74747938962707</v>
      </c>
      <c r="E35" s="2629">
        <f t="shared" si="109"/>
        <v>375.35938184826603</v>
      </c>
      <c r="F35" s="2629">
        <f t="shared" si="109"/>
        <v>216.78033510692495</v>
      </c>
      <c r="G35" s="3464"/>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5" thickBot="1">
      <c r="A36" s="2616" t="s">
        <v>2590</v>
      </c>
      <c r="B36" s="2629">
        <f>B35/(1+N35)</f>
        <v>275.19025476197027</v>
      </c>
      <c r="C36" s="2661">
        <v>232</v>
      </c>
      <c r="D36" s="2661">
        <f t="shared" si="98"/>
        <v>232</v>
      </c>
      <c r="E36" s="2629">
        <f t="shared" si="109"/>
        <v>375.65990977608692</v>
      </c>
      <c r="F36" s="2629">
        <f t="shared" si="109"/>
        <v>214.12518283971252</v>
      </c>
      <c r="G36" s="3465"/>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5" thickBot="1">
      <c r="A37" s="2616" t="s">
        <v>2591</v>
      </c>
      <c r="B37" s="2621">
        <v>275</v>
      </c>
      <c r="C37" s="2621">
        <v>232</v>
      </c>
      <c r="D37" s="2621">
        <f t="shared" si="98"/>
        <v>232</v>
      </c>
      <c r="E37" s="2621">
        <v>376</v>
      </c>
      <c r="F37" s="2622">
        <v>213</v>
      </c>
      <c r="G37" s="3463">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2592</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64">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2593</v>
      </c>
      <c r="B39" s="2629">
        <f t="shared" si="110"/>
        <v>275.19335084830601</v>
      </c>
      <c r="C39" s="2629">
        <f t="shared" si="110"/>
        <v>230.18088050139744</v>
      </c>
      <c r="D39" s="2629">
        <f t="shared" si="98"/>
        <v>230.18088050139744</v>
      </c>
      <c r="E39" s="2629">
        <f t="shared" si="111"/>
        <v>377.58482925212331</v>
      </c>
      <c r="F39" s="2629">
        <f t="shared" si="111"/>
        <v>210.90687997847917</v>
      </c>
      <c r="G39" s="3464">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5" thickBot="1">
      <c r="A40" s="2616" t="s">
        <v>2594</v>
      </c>
      <c r="B40" s="2629">
        <f t="shared" si="110"/>
        <v>276.29854502841971</v>
      </c>
      <c r="C40" s="2629">
        <f t="shared" si="110"/>
        <v>229.79023709833027</v>
      </c>
      <c r="D40" s="2629">
        <f t="shared" si="98"/>
        <v>229.79023709833027</v>
      </c>
      <c r="E40" s="2629">
        <f t="shared" si="111"/>
        <v>379.78759731655936</v>
      </c>
      <c r="F40" s="2629">
        <f t="shared" si="111"/>
        <v>211.32953905659235</v>
      </c>
      <c r="G40" s="3465">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5" thickBot="1">
      <c r="A41" s="2616" t="s">
        <v>2595</v>
      </c>
      <c r="B41" s="2621">
        <v>269</v>
      </c>
      <c r="C41" s="2621">
        <v>221</v>
      </c>
      <c r="D41" s="2621">
        <f t="shared" si="98"/>
        <v>221</v>
      </c>
      <c r="E41" s="2621">
        <v>373</v>
      </c>
      <c r="F41" s="2622">
        <v>196</v>
      </c>
      <c r="G41" s="3463">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2596</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64">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2597</v>
      </c>
      <c r="B43" s="2629">
        <f t="shared" si="112"/>
        <v>242.95398227588385</v>
      </c>
      <c r="C43" s="2629">
        <f t="shared" si="112"/>
        <v>199.59137053614126</v>
      </c>
      <c r="D43" s="2629">
        <f t="shared" si="98"/>
        <v>199.59137053614126</v>
      </c>
      <c r="E43" s="2629">
        <f t="shared" si="113"/>
        <v>335.92189522342125</v>
      </c>
      <c r="F43" s="2629">
        <f t="shared" si="113"/>
        <v>183.10139991109489</v>
      </c>
      <c r="G43" s="3464">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5" thickBot="1">
      <c r="A44" s="2616" t="s">
        <v>2598</v>
      </c>
      <c r="B44" s="2629">
        <f t="shared" si="112"/>
        <v>232.06990378821649</v>
      </c>
      <c r="C44" s="2629">
        <f t="shared" si="112"/>
        <v>192.74878854286936</v>
      </c>
      <c r="D44" s="2629">
        <f t="shared" si="98"/>
        <v>192.74878854286936</v>
      </c>
      <c r="E44" s="2629">
        <f t="shared" si="113"/>
        <v>319.71247284992984</v>
      </c>
      <c r="F44" s="2629">
        <f t="shared" si="113"/>
        <v>175.67053622862409</v>
      </c>
      <c r="G44" s="3465">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5" thickBot="1">
      <c r="A45" s="2616" t="s">
        <v>2599</v>
      </c>
      <c r="B45" s="2621">
        <v>220</v>
      </c>
      <c r="C45" s="2621">
        <v>187</v>
      </c>
      <c r="D45" s="2621">
        <f t="shared" si="98"/>
        <v>187</v>
      </c>
      <c r="E45" s="2621">
        <v>301</v>
      </c>
      <c r="F45" s="2622">
        <v>168</v>
      </c>
      <c r="G45" s="3463">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2600</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64">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2601</v>
      </c>
      <c r="B47" s="2629">
        <f t="shared" si="114"/>
        <v>210.630522469011</v>
      </c>
      <c r="C47" s="2629">
        <f t="shared" si="114"/>
        <v>181.69567812247232</v>
      </c>
      <c r="D47" s="2629">
        <f t="shared" si="98"/>
        <v>181.69567812247232</v>
      </c>
      <c r="E47" s="2629">
        <f t="shared" si="115"/>
        <v>286.13517466736738</v>
      </c>
      <c r="F47" s="2629">
        <f t="shared" si="115"/>
        <v>165.47535084591149</v>
      </c>
      <c r="G47" s="3464">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2602</v>
      </c>
      <c r="B48" s="2629">
        <f t="shared" si="114"/>
        <v>208.83454537875372</v>
      </c>
      <c r="C48" s="2629">
        <f t="shared" si="114"/>
        <v>183.77230517090351</v>
      </c>
      <c r="D48" s="2629">
        <f t="shared" si="98"/>
        <v>183.77230517090351</v>
      </c>
      <c r="E48" s="2629">
        <f t="shared" si="115"/>
        <v>281.10342338870947</v>
      </c>
      <c r="F48" s="2629">
        <f t="shared" si="115"/>
        <v>168.97309388942256</v>
      </c>
      <c r="G48" s="3465">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5" thickBot="1">
      <c r="A49" s="2616" t="s">
        <v>2603</v>
      </c>
      <c r="B49" s="2659">
        <v>214</v>
      </c>
      <c r="C49" s="2659">
        <v>188</v>
      </c>
      <c r="D49" s="2659">
        <f t="shared" si="98"/>
        <v>188</v>
      </c>
      <c r="E49" s="2659">
        <v>289</v>
      </c>
      <c r="F49" s="2660">
        <v>166</v>
      </c>
      <c r="G49" s="3463">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2604</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64">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2605</v>
      </c>
      <c r="B51" s="2629">
        <f t="shared" si="116"/>
        <v>206.31694671589116</v>
      </c>
      <c r="C51" s="2629">
        <f t="shared" si="116"/>
        <v>183.61041121036101</v>
      </c>
      <c r="D51" s="2629">
        <f t="shared" si="98"/>
        <v>183.61041121036101</v>
      </c>
      <c r="E51" s="2629">
        <f t="shared" si="117"/>
        <v>276.66850301795557</v>
      </c>
      <c r="F51" s="2629">
        <f t="shared" si="117"/>
        <v>165.1360938278614</v>
      </c>
      <c r="G51" s="3464">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5" thickBot="1">
      <c r="A52" s="2616" t="s">
        <v>2606</v>
      </c>
      <c r="B52" s="2662">
        <f t="shared" si="116"/>
        <v>196.62341248059772</v>
      </c>
      <c r="C52" s="2662">
        <f t="shared" si="116"/>
        <v>170.99125648199012</v>
      </c>
      <c r="D52" s="2662">
        <f t="shared" si="98"/>
        <v>170.99125648199012</v>
      </c>
      <c r="E52" s="2662">
        <f t="shared" si="117"/>
        <v>266.07857570490052</v>
      </c>
      <c r="F52" s="2662">
        <f t="shared" si="117"/>
        <v>154.53499328828505</v>
      </c>
      <c r="G52" s="3465">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5" thickBot="1">
      <c r="A53" s="2616" t="s">
        <v>2607</v>
      </c>
      <c r="B53" s="2621">
        <v>188</v>
      </c>
      <c r="C53" s="2621">
        <v>165</v>
      </c>
      <c r="D53" s="2621">
        <f t="shared" si="98"/>
        <v>165</v>
      </c>
      <c r="E53" s="2621">
        <v>254</v>
      </c>
      <c r="F53" s="2622">
        <v>148</v>
      </c>
      <c r="G53" s="3463">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2608</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64">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2609</v>
      </c>
      <c r="B55" s="2629">
        <f t="shared" si="120"/>
        <v>168.82017748715555</v>
      </c>
      <c r="C55" s="2629">
        <f t="shared" si="120"/>
        <v>148.06267029972753</v>
      </c>
      <c r="D55" s="2629">
        <f t="shared" si="98"/>
        <v>148.06267029972753</v>
      </c>
      <c r="E55" s="2629">
        <f t="shared" si="121"/>
        <v>216.46288379323747</v>
      </c>
      <c r="F55" s="2629">
        <f t="shared" si="121"/>
        <v>134.23529411764704</v>
      </c>
      <c r="G55" s="3464">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2610</v>
      </c>
      <c r="B56" s="2629">
        <f t="shared" si="120"/>
        <v>163.84913591779542</v>
      </c>
      <c r="C56" s="2629">
        <f t="shared" si="120"/>
        <v>145.0283378746594</v>
      </c>
      <c r="D56" s="2629">
        <f t="shared" si="98"/>
        <v>145.0283378746594</v>
      </c>
      <c r="E56" s="2629">
        <f t="shared" si="121"/>
        <v>204.95180722891567</v>
      </c>
      <c r="F56" s="2629">
        <f t="shared" si="121"/>
        <v>125.95920303605313</v>
      </c>
      <c r="G56" s="3465">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5" thickBot="1">
      <c r="A57" s="2616" t="s">
        <v>2611</v>
      </c>
      <c r="B57" s="2643">
        <v>159</v>
      </c>
      <c r="C57" s="2643">
        <v>141</v>
      </c>
      <c r="D57" s="2643">
        <f t="shared" si="98"/>
        <v>141</v>
      </c>
      <c r="E57" s="2643">
        <v>195</v>
      </c>
      <c r="F57" s="2644">
        <v>122</v>
      </c>
      <c r="G57" s="3463">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2612</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64">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2613</v>
      </c>
      <c r="B59" s="2629">
        <f t="shared" si="124"/>
        <v>146.57412060301507</v>
      </c>
      <c r="C59" s="2629">
        <f t="shared" si="124"/>
        <v>136.46831955922866</v>
      </c>
      <c r="D59" s="2629">
        <f t="shared" si="98"/>
        <v>136.46831955922866</v>
      </c>
      <c r="E59" s="2629">
        <f t="shared" si="125"/>
        <v>166.73864894795128</v>
      </c>
      <c r="F59" s="2629">
        <f t="shared" si="125"/>
        <v>115.05882352941177</v>
      </c>
      <c r="G59" s="3464">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2614</v>
      </c>
      <c r="B60" s="2629">
        <f t="shared" si="124"/>
        <v>144.04145728643215</v>
      </c>
      <c r="C60" s="2629">
        <f t="shared" si="124"/>
        <v>136.12396694214877</v>
      </c>
      <c r="D60" s="2629">
        <f t="shared" si="98"/>
        <v>136.12396694214877</v>
      </c>
      <c r="E60" s="2629">
        <f t="shared" si="125"/>
        <v>158.32225913621264</v>
      </c>
      <c r="F60" s="2629">
        <f t="shared" si="125"/>
        <v>114.04278074866311</v>
      </c>
      <c r="G60" s="3465">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5" thickBot="1">
      <c r="A61" s="2616" t="s">
        <v>2615</v>
      </c>
      <c r="B61" s="2643">
        <v>138</v>
      </c>
      <c r="C61" s="2643">
        <v>131</v>
      </c>
      <c r="D61" s="2643">
        <f t="shared" si="98"/>
        <v>131</v>
      </c>
      <c r="E61" s="2643">
        <v>155</v>
      </c>
      <c r="F61" s="2644">
        <v>114</v>
      </c>
      <c r="G61" s="3463">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2616</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64">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2617</v>
      </c>
      <c r="B63" s="2629">
        <f t="shared" si="128"/>
        <v>124.29032258064517</v>
      </c>
      <c r="C63" s="2629">
        <f t="shared" si="128"/>
        <v>123.8968609865471</v>
      </c>
      <c r="D63" s="2629">
        <f t="shared" si="98"/>
        <v>123.8968609865471</v>
      </c>
      <c r="E63" s="2629">
        <f t="shared" si="129"/>
        <v>138.00507614213197</v>
      </c>
      <c r="F63" s="2629">
        <f t="shared" si="129"/>
        <v>107.96106557377048</v>
      </c>
      <c r="G63" s="3464">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2618</v>
      </c>
      <c r="B64" s="2629">
        <f t="shared" si="128"/>
        <v>122.57204301075269</v>
      </c>
      <c r="C64" s="2629">
        <f t="shared" si="128"/>
        <v>123.4932735426009</v>
      </c>
      <c r="D64" s="2629">
        <f t="shared" si="98"/>
        <v>123.4932735426009</v>
      </c>
      <c r="E64" s="2629">
        <f t="shared" si="129"/>
        <v>129.82233502538071</v>
      </c>
      <c r="F64" s="2629">
        <f t="shared" si="129"/>
        <v>107.39446721311475</v>
      </c>
      <c r="G64" s="3465">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5" thickBot="1">
      <c r="A65" s="2616" t="s">
        <v>2619</v>
      </c>
      <c r="B65" s="2659">
        <v>121</v>
      </c>
      <c r="C65" s="2659">
        <v>122</v>
      </c>
      <c r="D65" s="2659">
        <f t="shared" si="98"/>
        <v>122</v>
      </c>
      <c r="E65" s="2659">
        <v>124</v>
      </c>
      <c r="F65" s="2660">
        <v>107</v>
      </c>
      <c r="G65" s="3463">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2620</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64">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2621</v>
      </c>
      <c r="B67" s="2629">
        <f t="shared" si="132"/>
        <v>116.99099099099099</v>
      </c>
      <c r="C67" s="2629">
        <f t="shared" si="132"/>
        <v>118.84848484848486</v>
      </c>
      <c r="D67" s="2629">
        <f t="shared" si="98"/>
        <v>118.84848484848486</v>
      </c>
      <c r="E67" s="2629">
        <f t="shared" si="133"/>
        <v>117.60960960960961</v>
      </c>
      <c r="F67" s="2629">
        <f t="shared" si="133"/>
        <v>104</v>
      </c>
      <c r="G67" s="3464">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5" thickBot="1">
      <c r="A68" s="2616" t="s">
        <v>2622</v>
      </c>
      <c r="B68" s="2662">
        <f t="shared" si="132"/>
        <v>112.48648648648648</v>
      </c>
      <c r="C68" s="2662">
        <f t="shared" si="132"/>
        <v>115.21212121212122</v>
      </c>
      <c r="D68" s="2662">
        <f t="shared" si="98"/>
        <v>115.21212121212122</v>
      </c>
      <c r="E68" s="2662">
        <f t="shared" si="133"/>
        <v>110.4024024024024</v>
      </c>
      <c r="F68" s="2662">
        <f t="shared" si="133"/>
        <v>104</v>
      </c>
      <c r="G68" s="3465">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5" thickBot="1">
      <c r="A69" s="2616" t="s">
        <v>2623</v>
      </c>
      <c r="B69" s="2680">
        <v>111</v>
      </c>
      <c r="C69" s="2680">
        <v>114</v>
      </c>
      <c r="D69" s="2680">
        <f t="shared" si="98"/>
        <v>114</v>
      </c>
      <c r="E69" s="2680">
        <v>108</v>
      </c>
      <c r="F69" s="2681">
        <v>104</v>
      </c>
      <c r="G69" s="3463">
        <v>2003</v>
      </c>
      <c r="H69" s="2670">
        <v>4</v>
      </c>
      <c r="I69" s="2682"/>
      <c r="J69" s="2682"/>
      <c r="K69" s="2682"/>
      <c r="L69" s="2682"/>
      <c r="N69" s="2683"/>
      <c r="O69" s="2682"/>
      <c r="P69" s="2682"/>
      <c r="Q69" s="2682"/>
      <c r="S69" s="2683"/>
      <c r="T69" s="2682"/>
      <c r="U69" s="2682"/>
      <c r="V69" s="2682"/>
      <c r="X69" s="2674"/>
      <c r="Y69" s="2674"/>
      <c r="Z69" s="2674"/>
    </row>
    <row r="70" spans="1:26">
      <c r="A70" s="2616" t="s">
        <v>2624</v>
      </c>
      <c r="B70" s="2684">
        <f t="shared" ref="B70:C72" si="134">B71+(B$69-B$73)/4</f>
        <v>109.75</v>
      </c>
      <c r="C70" s="2684">
        <f t="shared" si="134"/>
        <v>112.25</v>
      </c>
      <c r="D70" s="2684">
        <f t="shared" si="98"/>
        <v>112.25</v>
      </c>
      <c r="E70" s="2684">
        <f t="shared" ref="E70:F72" si="135">E71+(E$69-E$73)/4</f>
        <v>107.25</v>
      </c>
      <c r="F70" s="2684">
        <f t="shared" si="135"/>
        <v>103.5</v>
      </c>
      <c r="G70" s="3464">
        <v>2003</v>
      </c>
      <c r="H70" s="2640">
        <v>3</v>
      </c>
      <c r="I70" s="2682"/>
      <c r="J70" s="2682"/>
      <c r="K70" s="2682"/>
      <c r="L70" s="2682"/>
      <c r="X70" s="2674"/>
      <c r="Y70" s="2674"/>
      <c r="Z70" s="2674"/>
    </row>
    <row r="71" spans="1:26">
      <c r="A71" s="2616" t="s">
        <v>2625</v>
      </c>
      <c r="B71" s="2684">
        <f t="shared" si="134"/>
        <v>108.5</v>
      </c>
      <c r="C71" s="2684">
        <f t="shared" si="134"/>
        <v>110.5</v>
      </c>
      <c r="D71" s="2684">
        <f t="shared" si="98"/>
        <v>110.5</v>
      </c>
      <c r="E71" s="2684">
        <f t="shared" si="135"/>
        <v>106.5</v>
      </c>
      <c r="F71" s="2684">
        <f t="shared" si="135"/>
        <v>103</v>
      </c>
      <c r="G71" s="3464">
        <v>2003</v>
      </c>
      <c r="H71" s="2620">
        <v>2</v>
      </c>
      <c r="I71" s="2682"/>
      <c r="J71" s="2682"/>
      <c r="K71" s="2682"/>
      <c r="L71" s="2682"/>
      <c r="X71" s="2674"/>
      <c r="Y71" s="2674"/>
      <c r="Z71" s="2674"/>
    </row>
    <row r="72" spans="1:26" ht="13.5" thickBot="1">
      <c r="A72" s="2616" t="s">
        <v>2626</v>
      </c>
      <c r="B72" s="2684">
        <f t="shared" si="134"/>
        <v>107.25</v>
      </c>
      <c r="C72" s="2684">
        <f t="shared" si="134"/>
        <v>108.75</v>
      </c>
      <c r="D72" s="2684">
        <f t="shared" si="98"/>
        <v>108.75</v>
      </c>
      <c r="E72" s="2684">
        <f t="shared" si="135"/>
        <v>105.75</v>
      </c>
      <c r="F72" s="2684">
        <f t="shared" si="135"/>
        <v>102.5</v>
      </c>
      <c r="G72" s="3465">
        <v>2003</v>
      </c>
      <c r="H72" s="2685">
        <v>1</v>
      </c>
      <c r="I72" s="2682"/>
      <c r="J72" s="2682"/>
      <c r="K72" s="2682"/>
      <c r="L72" s="2682"/>
      <c r="S72" s="2624"/>
      <c r="T72" s="2625"/>
      <c r="U72" s="2625"/>
      <c r="X72" s="2674"/>
      <c r="Y72" s="2674"/>
      <c r="Z72" s="2674"/>
    </row>
    <row r="73" spans="1:26" ht="13.5" thickBot="1">
      <c r="A73" s="2616" t="s">
        <v>2627</v>
      </c>
      <c r="B73" s="2686">
        <v>106</v>
      </c>
      <c r="C73" s="2686">
        <v>107</v>
      </c>
      <c r="D73" s="2686">
        <f t="shared" si="98"/>
        <v>107</v>
      </c>
      <c r="E73" s="2686">
        <v>105</v>
      </c>
      <c r="F73" s="2687">
        <v>102</v>
      </c>
      <c r="G73" s="3463">
        <v>2002</v>
      </c>
      <c r="H73" s="2635">
        <v>4</v>
      </c>
      <c r="I73" s="2682"/>
      <c r="J73" s="2682"/>
      <c r="K73" s="2682"/>
      <c r="L73" s="2682"/>
      <c r="N73" s="2683"/>
      <c r="O73" s="2682"/>
      <c r="P73" s="2682"/>
      <c r="Q73" s="2682"/>
      <c r="S73" s="2683"/>
      <c r="T73" s="2682"/>
      <c r="U73" s="2682"/>
      <c r="V73" s="2682"/>
      <c r="X73" s="2674"/>
      <c r="Y73" s="2674"/>
      <c r="Z73" s="2674"/>
    </row>
    <row r="74" spans="1:26">
      <c r="A74" s="2616" t="s">
        <v>2628</v>
      </c>
      <c r="B74" s="2684">
        <f t="shared" ref="B74:C76" si="136">B75+(B$73-B$77)/4</f>
        <v>105</v>
      </c>
      <c r="C74" s="2684">
        <f t="shared" si="136"/>
        <v>106</v>
      </c>
      <c r="D74" s="2684">
        <f t="shared" si="98"/>
        <v>106</v>
      </c>
      <c r="E74" s="2684">
        <f t="shared" ref="E74:F76" si="137">E75+(E$73-E$77)/4</f>
        <v>104.5</v>
      </c>
      <c r="F74" s="2684">
        <f t="shared" si="137"/>
        <v>101.5</v>
      </c>
      <c r="G74" s="3464">
        <v>2002</v>
      </c>
      <c r="H74" s="2640">
        <v>3</v>
      </c>
      <c r="I74" s="2682"/>
      <c r="J74" s="2682"/>
      <c r="K74" s="2682"/>
      <c r="L74" s="2682"/>
      <c r="X74" s="2674"/>
      <c r="Y74" s="2674"/>
      <c r="Z74" s="2674"/>
    </row>
    <row r="75" spans="1:26">
      <c r="A75" s="2616" t="s">
        <v>2629</v>
      </c>
      <c r="B75" s="2684">
        <f t="shared" si="136"/>
        <v>104</v>
      </c>
      <c r="C75" s="2684">
        <f t="shared" si="136"/>
        <v>105</v>
      </c>
      <c r="D75" s="2684">
        <f t="shared" si="98"/>
        <v>105</v>
      </c>
      <c r="E75" s="2684">
        <f t="shared" si="137"/>
        <v>104</v>
      </c>
      <c r="F75" s="2684">
        <f t="shared" si="137"/>
        <v>101</v>
      </c>
      <c r="G75" s="3464">
        <v>2002</v>
      </c>
      <c r="H75" s="2620">
        <v>2</v>
      </c>
      <c r="I75" s="2682"/>
      <c r="J75" s="2682"/>
      <c r="K75" s="2682"/>
      <c r="L75" s="2682"/>
      <c r="X75" s="2674"/>
      <c r="Y75" s="2674"/>
      <c r="Z75" s="2674"/>
    </row>
    <row r="76" spans="1:26" s="2651" customFormat="1" ht="13.5" thickBot="1">
      <c r="A76" s="2647" t="s">
        <v>2630</v>
      </c>
      <c r="B76" s="2688">
        <f t="shared" si="136"/>
        <v>103</v>
      </c>
      <c r="C76" s="2688">
        <f t="shared" si="136"/>
        <v>104</v>
      </c>
      <c r="D76" s="2688">
        <f t="shared" si="98"/>
        <v>104</v>
      </c>
      <c r="E76" s="2688">
        <f t="shared" si="137"/>
        <v>103.5</v>
      </c>
      <c r="F76" s="2688">
        <f t="shared" si="137"/>
        <v>100.5</v>
      </c>
      <c r="G76" s="3465">
        <v>2002</v>
      </c>
      <c r="H76" s="2689">
        <v>1</v>
      </c>
      <c r="I76" s="2690"/>
      <c r="J76" s="2690"/>
      <c r="K76" s="2690"/>
      <c r="L76" s="2690"/>
      <c r="N76" s="2691"/>
      <c r="S76" s="2691"/>
      <c r="X76" s="2692"/>
      <c r="Y76" s="2692"/>
      <c r="Z76" s="2692"/>
    </row>
    <row r="77" spans="1:26" ht="13.5"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2631</v>
      </c>
      <c r="G79" s="2698"/>
      <c r="N79" s="2698"/>
      <c r="S79" s="2698"/>
    </row>
    <row r="80" spans="1:26" s="2697" customFormat="1">
      <c r="A80" s="2697" t="s">
        <v>2632</v>
      </c>
      <c r="G80" s="2698"/>
      <c r="N80" s="2698"/>
      <c r="S80" s="2698"/>
    </row>
    <row r="81" spans="1:22" s="2697" customFormat="1">
      <c r="A81" s="2697" t="s">
        <v>2633</v>
      </c>
      <c r="G81" s="2698"/>
      <c r="I81" s="2699"/>
      <c r="J81" s="2699"/>
      <c r="K81" s="2699"/>
      <c r="L81" s="2699"/>
      <c r="N81" s="2700"/>
      <c r="O81" s="2699"/>
      <c r="P81" s="2699"/>
      <c r="Q81" s="2699"/>
      <c r="S81" s="2700"/>
      <c r="T81" s="2699"/>
      <c r="U81" s="2699"/>
      <c r="V81" s="2699"/>
    </row>
    <row r="82" spans="1:22" s="2697" customFormat="1">
      <c r="A82" s="2697" t="s">
        <v>2634</v>
      </c>
      <c r="G82" s="2698"/>
      <c r="N82" s="2698"/>
      <c r="S82" s="2698"/>
    </row>
    <row r="89" spans="1:22" ht="13.5" thickBot="1"/>
    <row r="90" spans="1:22">
      <c r="G90" s="2623"/>
      <c r="S90" s="2701" t="s">
        <v>2635</v>
      </c>
      <c r="T90" s="2702" t="s">
        <v>2636</v>
      </c>
      <c r="U90" s="2702" t="s">
        <v>2637</v>
      </c>
      <c r="V90" s="2702" t="s">
        <v>2638</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5"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受贵公司委托，我公司对出让国有建设用地使用权市场价格进行了预评估。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45078.46平方米。根据《建设工程规划许可证》[]、《出让合同》[]，估价对象规划建筑面积为126219.52平方米。</v>
      </c>
    </row>
    <row r="7" spans="1:4" ht="56.25">
      <c r="A7" s="1777" t="s">
        <v>2747</v>
      </c>
    </row>
    <row r="8" spans="1:4" ht="18.75">
      <c r="A8" s="1776" t="s">
        <v>1906</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2019年12月16日</v>
      </c>
    </row>
    <row r="12" spans="1:4" ht="18.75">
      <c r="A12" s="1779" t="s">
        <v>2025</v>
      </c>
    </row>
    <row r="13" spans="1:4" ht="18.75">
      <c r="A13" s="1773" t="s">
        <v>2941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根据《国有土地使用证》[]，估价对象（分摊）出让国有建设用地使用权面积为45078.46平方米。根据《建设工程规划许可证》[]、《出让合同》[]，估价对象规划建筑面积为126219.52平方米。</v>
      </c>
    </row>
    <row r="21" spans="1:1" ht="18.75">
      <c r="A21" s="1773" t="s">
        <v>2074</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1日、商业2059年7月1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18.75">
      <c r="A26" s="1773" t="str">
        <f>IF(项目基本情况!B9="市场价格","——",IF(项目基本情况!E8="抵押价格",定义!C54,IF(项目基本情况!E8="已注销",定义!C55,定义!C56)))</f>
        <v>——</v>
      </c>
    </row>
    <row r="27" spans="1:1" ht="18.7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3" t="str">
        <f>IF(项目基本情况!B9="市场价格","——",IF(项目基本情况!E9="——","",定义!C57))</f>
        <v>——</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2948</v>
      </c>
      <c r="B1" s="3054"/>
      <c r="C1" s="3054"/>
      <c r="D1" s="3054"/>
      <c r="E1" s="3054"/>
      <c r="F1" s="3054"/>
    </row>
    <row r="2" spans="1:6" ht="14.25">
      <c r="A2" s="3055" t="s">
        <v>2943</v>
      </c>
      <c r="B2" s="3056" t="e">
        <f ca="1">SUMIF(B7:B14,"&lt;&gt;#ref!",B7:B14)</f>
        <v>#DIV/0!</v>
      </c>
      <c r="C2" s="3055" t="s">
        <v>2944</v>
      </c>
      <c r="D2" s="3054"/>
      <c r="E2" s="3054"/>
      <c r="F2" s="3054"/>
    </row>
    <row r="3" spans="1:6" ht="14.25">
      <c r="A3" s="3055" t="s">
        <v>2976</v>
      </c>
      <c r="B3" s="3056" t="e">
        <f ca="1">ROUND(B2*10000/E3,0)</f>
        <v>#DIV/0!</v>
      </c>
      <c r="C3" s="3055" t="s">
        <v>2078</v>
      </c>
      <c r="D3" s="3055" t="s">
        <v>2945</v>
      </c>
      <c r="E3" s="3056">
        <f ca="1">SUMIF(E7:E14,"&lt;&gt;#ref!",E7:E14)</f>
        <v>0</v>
      </c>
      <c r="F3" s="3054"/>
    </row>
    <row r="4" spans="1:6" ht="14.25">
      <c r="A4" s="3055" t="s">
        <v>2952</v>
      </c>
      <c r="B4" s="3056" t="e">
        <f ca="1">ROUND(B2*10000/E4,0)</f>
        <v>#DIV/0!</v>
      </c>
      <c r="C4" s="3055" t="s">
        <v>2078</v>
      </c>
      <c r="D4" s="3055" t="s">
        <v>2953</v>
      </c>
      <c r="E4" s="3056">
        <f ca="1">SUMIF(F7:F14,"&lt;&gt;#ref!",F7:F14)</f>
        <v>0</v>
      </c>
      <c r="F4" s="3054"/>
    </row>
    <row r="5" spans="1:6" ht="14.25">
      <c r="A5" s="3057"/>
      <c r="B5" s="1863"/>
      <c r="C5" s="1863"/>
      <c r="D5" s="1863"/>
      <c r="E5" s="1863"/>
      <c r="F5" s="3054"/>
    </row>
    <row r="6" spans="1:6" ht="28.5">
      <c r="A6" s="3058" t="s">
        <v>2949</v>
      </c>
      <c r="B6" s="3055" t="s">
        <v>2946</v>
      </c>
      <c r="C6" s="3056"/>
      <c r="D6" s="1863"/>
      <c r="E6" s="3055" t="s">
        <v>2947</v>
      </c>
      <c r="F6" s="3055" t="s">
        <v>2951</v>
      </c>
    </row>
    <row r="7" spans="1:6" ht="14.25">
      <c r="A7" s="259" t="s">
        <v>2950</v>
      </c>
      <c r="B7" s="3059" t="e">
        <f ca="1">SUMIF(INDIRECT("'"&amp;A7&amp;"'"&amp;"!A:A"),"总价",INDIRECT("'"&amp;A7&amp;"'"&amp;"!B:B"))</f>
        <v>#DIV/0!</v>
      </c>
      <c r="C7" s="3055" t="s">
        <v>2944</v>
      </c>
      <c r="D7" s="1863"/>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2944</v>
      </c>
      <c r="D8" s="1863"/>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2944</v>
      </c>
      <c r="D9" s="1863"/>
      <c r="E9" s="3060" t="e">
        <f t="shared" ca="1" si="1"/>
        <v>#REF!</v>
      </c>
      <c r="F9" s="3060" t="e">
        <f t="shared" ca="1" si="2"/>
        <v>#REF!</v>
      </c>
    </row>
    <row r="10" spans="1:6" ht="14.25">
      <c r="A10" s="259"/>
      <c r="B10" s="3059" t="e">
        <f t="shared" ca="1" si="0"/>
        <v>#REF!</v>
      </c>
      <c r="C10" s="3055" t="s">
        <v>2944</v>
      </c>
      <c r="D10" s="1863"/>
      <c r="E10" s="3060" t="e">
        <f t="shared" ca="1" si="1"/>
        <v>#REF!</v>
      </c>
      <c r="F10" s="3060" t="e">
        <f t="shared" ca="1" si="2"/>
        <v>#REF!</v>
      </c>
    </row>
    <row r="11" spans="1:6" ht="14.25">
      <c r="A11" s="259"/>
      <c r="B11" s="3059" t="e">
        <f t="shared" ca="1" si="0"/>
        <v>#REF!</v>
      </c>
      <c r="C11" s="3055" t="s">
        <v>2944</v>
      </c>
      <c r="D11" s="1863"/>
      <c r="E11" s="3060" t="e">
        <f t="shared" ca="1" si="1"/>
        <v>#REF!</v>
      </c>
      <c r="F11" s="3060" t="e">
        <f t="shared" ca="1" si="2"/>
        <v>#REF!</v>
      </c>
    </row>
    <row r="12" spans="1:6" ht="14.25">
      <c r="A12" s="259"/>
      <c r="B12" s="3059" t="e">
        <f t="shared" ca="1" si="0"/>
        <v>#REF!</v>
      </c>
      <c r="C12" s="3055" t="s">
        <v>2944</v>
      </c>
      <c r="D12" s="1863"/>
      <c r="E12" s="3060" t="e">
        <f t="shared" ca="1" si="1"/>
        <v>#REF!</v>
      </c>
      <c r="F12" s="3060" t="e">
        <f t="shared" ca="1" si="2"/>
        <v>#REF!</v>
      </c>
    </row>
    <row r="13" spans="1:6" ht="14.25">
      <c r="A13" s="259"/>
      <c r="B13" s="3059" t="e">
        <f t="shared" ca="1" si="0"/>
        <v>#REF!</v>
      </c>
      <c r="C13" s="3055" t="s">
        <v>2944</v>
      </c>
      <c r="D13" s="1863"/>
      <c r="E13" s="3060" t="e">
        <f t="shared" ca="1" si="1"/>
        <v>#REF!</v>
      </c>
      <c r="F13" s="3060" t="e">
        <f t="shared" ca="1" si="2"/>
        <v>#REF!</v>
      </c>
    </row>
    <row r="14" spans="1:6" ht="14.25">
      <c r="A14" s="3053"/>
      <c r="B14" s="3059" t="e">
        <f t="shared" ca="1" si="0"/>
        <v>#REF!</v>
      </c>
      <c r="C14" s="3055" t="s">
        <v>2944</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 sqref="C1"/>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2374</v>
      </c>
      <c r="F1" s="2349">
        <f ca="1">J54</f>
        <v>-2</v>
      </c>
      <c r="G1" s="773">
        <f>MATCH(C1,'数据-取费表'!A6:A16,0)+5</f>
        <v>8</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4"/>
      <c r="D2" s="2037"/>
      <c r="E2" s="2038"/>
      <c r="F2" s="2038"/>
      <c r="G2" s="1573"/>
      <c r="H2" s="1356"/>
      <c r="I2" s="2039"/>
      <c r="J2" s="2039"/>
      <c r="K2" s="2040"/>
      <c r="L2" s="2039"/>
      <c r="M2" s="2039"/>
    </row>
    <row r="3" spans="1:25" ht="18" customHeight="1">
      <c r="A3" s="1627" t="s">
        <v>1686</v>
      </c>
      <c r="B3" s="1384">
        <f ca="1">ROUND(B2*10000/'数据-汇总表'!E3,0)</f>
        <v>0</v>
      </c>
      <c r="C3" s="1344"/>
      <c r="D3" s="2037"/>
      <c r="E3" s="2038"/>
      <c r="F3" s="2038"/>
      <c r="G3" s="1573"/>
      <c r="H3" s="775" t="s">
        <v>695</v>
      </c>
      <c r="I3" s="2039"/>
      <c r="J3" s="2039"/>
      <c r="K3" s="2040"/>
      <c r="L3" s="2039"/>
      <c r="M3" s="2039"/>
    </row>
    <row r="4" spans="1:25" ht="18" customHeight="1">
      <c r="A4" s="1628" t="s">
        <v>696</v>
      </c>
      <c r="B4" s="1345">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2458</v>
      </c>
      <c r="C7" s="53">
        <f ca="1">C8+C12+C14</f>
        <v>0</v>
      </c>
      <c r="D7" s="2457" t="s">
        <v>2461</v>
      </c>
      <c r="E7" s="2451"/>
      <c r="F7" s="2452"/>
      <c r="G7" s="1575"/>
      <c r="H7" s="780">
        <v>1</v>
      </c>
      <c r="I7" s="781" t="s">
        <v>2458</v>
      </c>
      <c r="J7" s="53">
        <f ca="1">J8+J12+J14</f>
        <v>0</v>
      </c>
      <c r="K7" s="2457" t="s">
        <v>2461</v>
      </c>
      <c r="L7" s="2451"/>
      <c r="M7" s="2452"/>
    </row>
    <row r="8" spans="1:25" ht="18" customHeight="1">
      <c r="A8" s="1812" t="s">
        <v>1824</v>
      </c>
      <c r="B8" s="3472" t="s">
        <v>2463</v>
      </c>
      <c r="C8" s="1807">
        <f ca="1">ROUND(F8*F10*F9*(1-F11)/10000,0)</f>
        <v>0</v>
      </c>
      <c r="D8" s="1804" t="s">
        <v>2534</v>
      </c>
      <c r="E8" s="61" t="s">
        <v>637</v>
      </c>
      <c r="F8" s="784">
        <f ca="1">INDIRECT("'数据-取费表'!u"&amp;$G$1)</f>
        <v>0</v>
      </c>
      <c r="G8" s="1575"/>
      <c r="H8" s="2465" t="s">
        <v>1824</v>
      </c>
      <c r="I8" s="3472" t="s">
        <v>2463</v>
      </c>
      <c r="J8" s="782">
        <f ca="1">ROUND(M8*M10*M9*(1-M11)/10000,0)</f>
        <v>0</v>
      </c>
      <c r="K8" s="340" t="s">
        <v>2534</v>
      </c>
      <c r="L8" s="783" t="s">
        <v>1738</v>
      </c>
      <c r="M8" s="784">
        <f ca="1">INDIRECT("'数据-取费表'!z"&amp;$G$1)</f>
        <v>0</v>
      </c>
    </row>
    <row r="9" spans="1:25" ht="18" customHeight="1">
      <c r="A9" s="2461"/>
      <c r="B9" s="3473"/>
      <c r="C9" s="1808"/>
      <c r="D9" s="1805"/>
      <c r="E9" s="61" t="s">
        <v>638</v>
      </c>
      <c r="F9" s="784">
        <f ca="1">IF(INDIRECT("'数据-取费表'!ah"&amp;$G$1)="",INDIRECT("'数据-取费表'!k"&amp;$G$1),INDIRECT("'数据-取费表'!ah"&amp;$G$1))</f>
        <v>0</v>
      </c>
      <c r="G9" s="1575"/>
      <c r="H9" s="2450"/>
      <c r="I9" s="3473"/>
      <c r="J9" s="787"/>
      <c r="K9" s="788"/>
      <c r="L9" s="783" t="s">
        <v>1739</v>
      </c>
      <c r="M9" s="784">
        <f ca="1">F9</f>
        <v>0</v>
      </c>
    </row>
    <row r="10" spans="1:25" ht="18" customHeight="1">
      <c r="A10" s="2454"/>
      <c r="B10" s="3474"/>
      <c r="C10" s="1808"/>
      <c r="D10" s="1805"/>
      <c r="E10" s="61" t="s">
        <v>639</v>
      </c>
      <c r="F10" s="784">
        <f ca="1">INDIRECT("'数据-取费表'!ai"&amp;$G$1)</f>
        <v>0</v>
      </c>
      <c r="G10" s="1575"/>
      <c r="H10" s="2450"/>
      <c r="I10" s="3474"/>
      <c r="J10" s="787"/>
      <c r="K10" s="788"/>
      <c r="L10" s="783" t="s">
        <v>1740</v>
      </c>
      <c r="M10" s="784">
        <f ca="1">INDIRECT("'数据-取费表'!ai"&amp;$G$1)</f>
        <v>0</v>
      </c>
    </row>
    <row r="11" spans="1:25" ht="18" customHeight="1">
      <c r="A11" s="785"/>
      <c r="B11" s="3475"/>
      <c r="C11" s="1808"/>
      <c r="D11" s="1805"/>
      <c r="E11" s="61" t="s">
        <v>640</v>
      </c>
      <c r="F11" s="793">
        <f ca="1">INDIRECT("'数据-取费表'!w"&amp;$G$1)</f>
        <v>0</v>
      </c>
      <c r="G11" s="1575"/>
      <c r="H11" s="2466"/>
      <c r="I11" s="3474"/>
      <c r="J11" s="787"/>
      <c r="K11" s="788"/>
      <c r="L11" s="794" t="s">
        <v>1741</v>
      </c>
      <c r="M11" s="795">
        <f ca="1">INDIRECT("'数据-取费表'!ab"&amp;$G$1)</f>
        <v>0</v>
      </c>
    </row>
    <row r="12" spans="1:25" ht="18" customHeight="1">
      <c r="A12" s="1812" t="s">
        <v>1825</v>
      </c>
      <c r="B12" s="2455" t="s">
        <v>2459</v>
      </c>
      <c r="C12" s="798">
        <f ca="1">ROUND(IF(F12="押一",C8/12*F13,IF(F12="押二",C8/12*2*F13,IF(F12="押三",C8/12*3*F13,C13*F13))),0)</f>
        <v>0</v>
      </c>
      <c r="D12" s="2462" t="s">
        <v>2973</v>
      </c>
      <c r="E12" s="2459" t="s">
        <v>2464</v>
      </c>
      <c r="F12" s="2582"/>
      <c r="G12" s="1575"/>
      <c r="H12" s="2522" t="s">
        <v>1825</v>
      </c>
      <c r="I12" s="2527" t="s">
        <v>2459</v>
      </c>
      <c r="J12" s="782">
        <f ca="1">ROUND(IF(M12="押一",J8/12*M13,IF(M12="押二",J8/12*2*M13,IF(M12="押三",J8/12*3*M13,J13*M13))),0)</f>
        <v>0</v>
      </c>
      <c r="K12" s="2462" t="s">
        <v>2973</v>
      </c>
      <c r="L12" s="2459" t="s">
        <v>2464</v>
      </c>
      <c r="M12" s="2582"/>
    </row>
    <row r="13" spans="1:25" ht="18" customHeight="1">
      <c r="A13" s="789"/>
      <c r="B13" s="2456" t="s">
        <v>2573</v>
      </c>
      <c r="C13" s="2460"/>
      <c r="D13" s="788"/>
      <c r="E13" s="2459" t="s">
        <v>2456</v>
      </c>
      <c r="F13" s="795">
        <f ca="1">'数据-取费表'!B39</f>
        <v>1.4999999999999999E-2</v>
      </c>
      <c r="G13" s="1575"/>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5"/>
      <c r="H14" s="2512" t="s">
        <v>2467</v>
      </c>
      <c r="I14" s="2525" t="s">
        <v>2460</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5"/>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5"/>
      <c r="H16" s="802" t="s">
        <v>2069</v>
      </c>
      <c r="I16" s="2213" t="s">
        <v>2825</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0.04</v>
      </c>
      <c r="G17" s="1576"/>
      <c r="H17" s="802" t="s">
        <v>2070</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5"/>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6"/>
      <c r="H19" s="802" t="s">
        <v>2069</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6"/>
      <c r="H20" s="802" t="s">
        <v>1831</v>
      </c>
      <c r="I20" s="783" t="s">
        <v>660</v>
      </c>
      <c r="J20" s="53">
        <f ca="1">ROUND(J8*M20/(1+'数据-取费表'!C42),1)</f>
        <v>0</v>
      </c>
      <c r="K20" s="1959" t="s">
        <v>661</v>
      </c>
      <c r="L20" s="783" t="s">
        <v>649</v>
      </c>
      <c r="M20" s="808">
        <f>'数据-取费表'!B41</f>
        <v>5.6000000000000001E-2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5"/>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6"/>
      <c r="H22" s="1814" t="s">
        <v>1850</v>
      </c>
      <c r="I22" s="1804" t="s">
        <v>668</v>
      </c>
      <c r="J22" s="54">
        <f ca="1">ROUND(M22*M23/10000,0)</f>
        <v>0</v>
      </c>
      <c r="K22" s="813" t="s">
        <v>669</v>
      </c>
      <c r="L22" s="783" t="s">
        <v>670</v>
      </c>
      <c r="M22" s="639">
        <f>'数据-取费表'!B52</f>
        <v>5</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5"/>
      <c r="H24" s="1813" t="s">
        <v>2070</v>
      </c>
      <c r="I24" s="783" t="s">
        <v>676</v>
      </c>
      <c r="J24" s="53">
        <f ca="1">ROUND(J16*M24,0)</f>
        <v>0</v>
      </c>
      <c r="K24" s="1959" t="s">
        <v>677</v>
      </c>
      <c r="L24" s="783" t="s">
        <v>649</v>
      </c>
      <c r="M24" s="816">
        <f ca="1">INDIRECT("'数据-取费表'!Ak"&amp;$G$1)</f>
        <v>0</v>
      </c>
    </row>
    <row r="25" spans="1:25" s="2046" customFormat="1" ht="18" customHeight="1">
      <c r="A25" s="802" t="s">
        <v>1875</v>
      </c>
      <c r="B25" s="783" t="s">
        <v>2437</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2</v>
      </c>
      <c r="G25" s="1576"/>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1E-3</v>
      </c>
      <c r="D26" s="2532" t="str">
        <f>IF(F25&lt;=1,"销售费用×利率×(建设周期÷2)","销售费用×((1+利率)^(建设周期÷2)-1)")</f>
        <v>销售费用×((1+利率)^(建设周期÷2)-1)</v>
      </c>
      <c r="E26" s="783" t="s">
        <v>682</v>
      </c>
      <c r="F26" s="818">
        <f ca="1">'数据-取费表'!B40</f>
        <v>4.7500000000000001E-2</v>
      </c>
      <c r="G26" s="1576"/>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5"/>
      <c r="H27" s="796" t="s">
        <v>1828</v>
      </c>
      <c r="I27" s="2960" t="s">
        <v>2822</v>
      </c>
      <c r="J27" s="798">
        <f ca="1">J7-J18</f>
        <v>0</v>
      </c>
      <c r="K27" s="1961" t="s">
        <v>700</v>
      </c>
      <c r="L27" s="1963"/>
      <c r="M27" s="819"/>
    </row>
    <row r="28" spans="1:25" ht="18" customHeight="1">
      <c r="A28" s="802" t="s">
        <v>1875</v>
      </c>
      <c r="B28" s="783" t="s">
        <v>2438</v>
      </c>
      <c r="C28" s="53">
        <f ca="1">ROUND((C21+C22)*F28,0)</f>
        <v>0</v>
      </c>
      <c r="D28" s="811" t="s">
        <v>701</v>
      </c>
      <c r="E28" s="794" t="s">
        <v>702</v>
      </c>
      <c r="F28" s="793">
        <f ca="1">INDIRECT("'数据-取费表'!q"&amp;$G$1)</f>
        <v>0</v>
      </c>
      <c r="G28" s="1575"/>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5.33E-2</v>
      </c>
      <c r="D30" s="811" t="s">
        <v>709</v>
      </c>
      <c r="E30" s="783" t="s">
        <v>649</v>
      </c>
      <c r="F30" s="808">
        <f>'数据-取费表'!B41</f>
        <v>5.6000000000000001E-2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2823</v>
      </c>
      <c r="C31" s="2505">
        <f ca="1">ROUND((C21+C22+C25+C28)/(1-F23-C26-C29-C30),0)</f>
        <v>0</v>
      </c>
      <c r="D31" s="2506"/>
      <c r="E31" s="2507"/>
      <c r="F31" s="2508"/>
      <c r="G31" s="1576"/>
      <c r="H31" s="822" t="s">
        <v>1872</v>
      </c>
      <c r="I31" s="2961" t="s">
        <v>2824</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5.6000000000000001E-2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5</v>
      </c>
      <c r="G36" s="2044"/>
      <c r="H36" s="2047"/>
      <c r="I36" s="3471"/>
      <c r="J36" s="2061"/>
      <c r="K36" s="2062"/>
      <c r="L36" s="2061"/>
      <c r="M36" s="2061"/>
    </row>
    <row r="37" spans="1:18" ht="18" customHeight="1">
      <c r="A37" s="814"/>
      <c r="B37" s="792"/>
      <c r="C37" s="69"/>
      <c r="D37" s="815"/>
      <c r="E37" s="783" t="s">
        <v>674</v>
      </c>
      <c r="F37" s="784">
        <f ca="1">INDIRECT("'数据-取费表'!r"&amp;$G$1)</f>
        <v>0</v>
      </c>
      <c r="G37" s="2044"/>
      <c r="H37" s="2047"/>
      <c r="I37" s="3471"/>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49" t="s">
        <v>712</v>
      </c>
      <c r="E43" s="3071" t="s">
        <v>2961</v>
      </c>
      <c r="F43" s="3072">
        <f ca="1">INDIRECT("'数据-取费表'!j"&amp;$G$1)</f>
        <v>0</v>
      </c>
      <c r="G43" s="2044"/>
      <c r="H43" s="2044"/>
      <c r="I43" s="2044"/>
      <c r="J43" s="2044"/>
      <c r="K43" s="2065"/>
      <c r="L43" s="2044"/>
      <c r="M43" s="2044"/>
    </row>
    <row r="44" spans="1:18" ht="18" customHeight="1">
      <c r="A44" s="802" t="s">
        <v>1878</v>
      </c>
      <c r="B44" s="834" t="s">
        <v>713</v>
      </c>
      <c r="C44" s="1350">
        <f ca="1">C42-C43</f>
        <v>0</v>
      </c>
      <c r="D44" s="462" t="s">
        <v>714</v>
      </c>
      <c r="E44" s="463"/>
      <c r="F44" s="464"/>
      <c r="G44" s="2044"/>
      <c r="H44" s="2044"/>
      <c r="I44" s="2044"/>
      <c r="J44" s="2044"/>
      <c r="K44" s="2065"/>
      <c r="L44" s="2044"/>
      <c r="M44" s="2044"/>
    </row>
    <row r="45" spans="1:18" ht="18" customHeight="1">
      <c r="A45" s="802" t="s">
        <v>1879</v>
      </c>
      <c r="B45" s="1349" t="s">
        <v>715</v>
      </c>
      <c r="C45" s="2987">
        <f ca="1">ROUND(-PV(F45,F46,C44,0),0)</f>
        <v>0</v>
      </c>
      <c r="D45" s="1351" t="s">
        <v>716</v>
      </c>
      <c r="E45" s="805" t="s">
        <v>717</v>
      </c>
      <c r="F45" s="829">
        <f ca="1">INDIRECT("'数据-取费表'!h"&amp;$G$1)</f>
        <v>0</v>
      </c>
      <c r="G45" s="2044"/>
      <c r="H45" s="2044"/>
      <c r="I45" s="2044"/>
      <c r="J45" s="2044"/>
      <c r="K45" s="2065"/>
      <c r="L45" s="2044"/>
      <c r="M45" s="2044"/>
    </row>
    <row r="46" spans="1:18" ht="18" customHeight="1" thickBot="1">
      <c r="A46" s="830"/>
      <c r="B46" s="1352"/>
      <c r="C46" s="1353"/>
      <c r="D46" s="1354"/>
      <c r="E46" s="3073" t="s">
        <v>2964</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2343</v>
      </c>
      <c r="J47" s="2340"/>
      <c r="K47" s="2341"/>
      <c r="L47" s="3105" t="str">
        <f ca="1">IF(M48="住宅",0,IF(L49&gt;J52,L61,J61))</f>
        <v>0</v>
      </c>
      <c r="O47" s="2355" t="s">
        <v>2410</v>
      </c>
      <c r="P47" s="1575"/>
      <c r="Q47" s="1586"/>
      <c r="R47" s="1575"/>
    </row>
    <row r="48" spans="1:18" s="2041" customFormat="1" ht="18" customHeight="1" thickBot="1">
      <c r="A48" s="2066"/>
      <c r="C48" s="2069"/>
      <c r="D48" s="2070"/>
      <c r="E48" s="2070"/>
      <c r="F48" s="2071"/>
      <c r="G48" s="2072"/>
      <c r="I48" s="3096" t="s">
        <v>2344</v>
      </c>
      <c r="J48" s="2342"/>
      <c r="K48" s="3102" t="s">
        <v>2349</v>
      </c>
      <c r="L48" s="3106">
        <f ca="1">INDIRECT("'数据-取费表'!d"&amp;$G$1)</f>
        <v>0</v>
      </c>
      <c r="M48" s="3070" t="str">
        <f>IF(ISNUMBER(FIND("住宅",C1)),"住宅","非住宅")</f>
        <v>非住宅</v>
      </c>
      <c r="O48" s="2356" t="s">
        <v>2375</v>
      </c>
      <c r="P48" s="2357" t="s">
        <v>2376</v>
      </c>
      <c r="Q48" s="2358" t="s">
        <v>2377</v>
      </c>
      <c r="R48" s="2357" t="s">
        <v>2378</v>
      </c>
    </row>
    <row r="49" spans="1:18" s="2041" customFormat="1" ht="18" customHeight="1" thickBot="1">
      <c r="A49" s="2066"/>
      <c r="D49" s="2073"/>
      <c r="E49" s="2074"/>
      <c r="F49" s="2071"/>
      <c r="G49" s="2072"/>
      <c r="H49" s="2075"/>
      <c r="I49" s="3075" t="s">
        <v>2345</v>
      </c>
      <c r="J49" s="2343"/>
      <c r="K49" s="3103" t="s">
        <v>2351</v>
      </c>
      <c r="L49" s="1890">
        <f ca="1">INDIRECT("'数据-取费表'!f"&amp;$G$1)</f>
        <v>0</v>
      </c>
      <c r="O49" s="2359" t="s">
        <v>2379</v>
      </c>
      <c r="P49" s="2360" t="s">
        <v>2405</v>
      </c>
      <c r="Q49" s="2361">
        <f ca="1">C41+J31</f>
        <v>0</v>
      </c>
      <c r="R49" s="2360" t="s">
        <v>2380</v>
      </c>
    </row>
    <row r="50" spans="1:18" s="2041" customFormat="1" ht="18" customHeight="1" thickBot="1">
      <c r="A50" s="2066"/>
      <c r="D50" s="2076"/>
      <c r="E50" s="2076"/>
      <c r="F50" s="2070"/>
      <c r="G50" s="2077"/>
      <c r="H50" s="2075"/>
      <c r="I50" s="3075" t="s">
        <v>2346</v>
      </c>
      <c r="J50" s="2344"/>
      <c r="K50" s="3104" t="s">
        <v>2352</v>
      </c>
      <c r="L50" s="2345"/>
      <c r="O50" s="2359" t="s">
        <v>2381</v>
      </c>
      <c r="P50" s="2360" t="s">
        <v>2406</v>
      </c>
      <c r="Q50" s="2361" t="str">
        <f ca="1">J61</f>
        <v>0</v>
      </c>
      <c r="R50" s="2360" t="s">
        <v>2382</v>
      </c>
    </row>
    <row r="51" spans="1:18" s="2041" customFormat="1" ht="18" customHeight="1" thickBot="1">
      <c r="A51" s="2078"/>
      <c r="D51" s="2076"/>
      <c r="E51" s="2076"/>
      <c r="F51" s="2067"/>
      <c r="H51" s="2075"/>
      <c r="I51" s="3075" t="s">
        <v>2347</v>
      </c>
      <c r="J51" s="3100">
        <f>SUMPRODUCT((I64:I66=J48)*(J63:L63=J49)*(J64:L66))</f>
        <v>0</v>
      </c>
      <c r="K51" s="3104" t="s">
        <v>2353</v>
      </c>
      <c r="L51" s="2345"/>
      <c r="O51" s="2362" t="s">
        <v>2383</v>
      </c>
      <c r="P51" s="2360" t="s">
        <v>2407</v>
      </c>
      <c r="Q51" s="2361">
        <f ca="1">C31</f>
        <v>0</v>
      </c>
      <c r="R51" s="2360" t="s">
        <v>2380</v>
      </c>
    </row>
    <row r="52" spans="1:18" s="2041" customFormat="1" ht="18" customHeight="1" thickBot="1">
      <c r="A52" s="2078"/>
      <c r="F52" s="2067"/>
      <c r="I52" s="3097" t="s">
        <v>2348</v>
      </c>
      <c r="J52" s="3101">
        <f>IF(J50="",J51,J50+J51-YEAR('数据-取费表'!B3))</f>
        <v>0</v>
      </c>
      <c r="K52" s="3075" t="s">
        <v>2354</v>
      </c>
      <c r="L52" s="3107">
        <f ca="1">ROUND(-PV(INDIRECT("'数据-取费表'!h"&amp;$G$1),L49,(C40-C14*J36),0),0)</f>
        <v>0</v>
      </c>
      <c r="O52" s="2362" t="s">
        <v>2384</v>
      </c>
      <c r="P52" s="2360" t="s">
        <v>2385</v>
      </c>
      <c r="Q52" s="2363" t="e">
        <f ca="1">J59</f>
        <v>#VALUE!</v>
      </c>
      <c r="R52" s="2364"/>
    </row>
    <row r="53" spans="1:18" s="2041" customFormat="1" ht="18" customHeight="1" thickBot="1">
      <c r="A53" s="2078"/>
      <c r="F53" s="2067"/>
      <c r="I53" s="3098" t="s">
        <v>2421</v>
      </c>
      <c r="J53" s="2346"/>
      <c r="K53" s="3098" t="s">
        <v>2420</v>
      </c>
      <c r="L53" s="2346"/>
      <c r="O53" s="2362" t="s">
        <v>2386</v>
      </c>
      <c r="P53" s="2360" t="s">
        <v>2387</v>
      </c>
      <c r="Q53" s="2363">
        <f>J53</f>
        <v>0</v>
      </c>
      <c r="R53" s="2364"/>
    </row>
    <row r="54" spans="1:18" s="2041" customFormat="1" ht="29.25" thickBot="1">
      <c r="A54" s="2078"/>
      <c r="I54" s="3099" t="s">
        <v>2977</v>
      </c>
      <c r="J54" s="3178">
        <f ca="1">IF(M48="住宅",MAX(J52,L49-'数据-取费表'!B20),MIN(J52,L49-'数据-取费表'!B20))</f>
        <v>-2</v>
      </c>
      <c r="K54" s="3476"/>
      <c r="L54" s="3477"/>
      <c r="O54" s="2362" t="s">
        <v>2388</v>
      </c>
      <c r="P54" s="2360" t="s">
        <v>2389</v>
      </c>
      <c r="Q54" s="2361">
        <f ca="1">J54</f>
        <v>-2</v>
      </c>
      <c r="R54" s="2360" t="s">
        <v>2390</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2391</v>
      </c>
      <c r="P55" s="2360" t="s">
        <v>2408</v>
      </c>
      <c r="Q55" s="2361">
        <f ca="1">Q49+Q50</f>
        <v>0</v>
      </c>
      <c r="R55" s="2364" t="s">
        <v>2392</v>
      </c>
    </row>
    <row r="56" spans="1:18" s="2041" customFormat="1" ht="16.5" thickBot="1">
      <c r="A56" s="2078"/>
      <c r="B56" s="2079"/>
      <c r="C56" s="2079"/>
      <c r="I56" s="3110" t="s">
        <v>2355</v>
      </c>
      <c r="J56" s="3050" t="e">
        <f ca="1">ROUND(IF(J48="钢混",J58/J51,1-(1-2%)*(J51-J58)/J51),3)</f>
        <v>#VALUE!</v>
      </c>
      <c r="K56" s="3111" t="s">
        <v>2356</v>
      </c>
      <c r="L56" s="2347"/>
      <c r="O56" s="2365" t="s">
        <v>2411</v>
      </c>
      <c r="P56" s="1575"/>
      <c r="Q56" s="1586"/>
      <c r="R56" s="1575"/>
    </row>
    <row r="57" spans="1:18" s="2041" customFormat="1" ht="43.5" thickBot="1">
      <c r="A57" s="2078"/>
      <c r="B57" s="2079"/>
      <c r="C57" s="2079"/>
      <c r="I57" s="3112" t="s">
        <v>2357</v>
      </c>
      <c r="J57" s="3122" t="s">
        <v>1678</v>
      </c>
      <c r="K57" s="3075" t="s">
        <v>2362</v>
      </c>
      <c r="L57" s="1890">
        <f ca="1">IF(L49&lt;J52,"——",L49-J52)</f>
        <v>0</v>
      </c>
      <c r="O57" s="2356" t="s">
        <v>2375</v>
      </c>
      <c r="P57" s="2357" t="s">
        <v>2376</v>
      </c>
      <c r="Q57" s="2358" t="s">
        <v>2377</v>
      </c>
      <c r="R57" s="2357" t="s">
        <v>2378</v>
      </c>
    </row>
    <row r="58" spans="1:18" s="2041" customFormat="1" ht="29.25" thickBot="1">
      <c r="A58" s="2078"/>
      <c r="B58" s="2079"/>
      <c r="C58" s="2079"/>
      <c r="I58" s="3113" t="s">
        <v>2358</v>
      </c>
      <c r="J58" s="3114" t="str">
        <f ca="1">IF(OR(M48="住宅",J52&lt;L49,J57="是"),"——",J52-L49)</f>
        <v>——</v>
      </c>
      <c r="K58" s="3075" t="s">
        <v>2363</v>
      </c>
      <c r="L58" s="1890">
        <f ca="1">IF(L49&lt;J52,"——",IF(L56="比较法",L50,IF(L56="基准地价",L51,L52)))</f>
        <v>0</v>
      </c>
      <c r="O58" s="2359" t="s">
        <v>2379</v>
      </c>
      <c r="P58" s="2360" t="s">
        <v>2405</v>
      </c>
      <c r="Q58" s="2361">
        <f ca="1">C41+J31</f>
        <v>0</v>
      </c>
      <c r="R58" s="2360" t="s">
        <v>2380</v>
      </c>
    </row>
    <row r="59" spans="1:18" s="2041" customFormat="1" ht="29.25" thickBot="1">
      <c r="A59" s="2078"/>
      <c r="B59" s="2079"/>
      <c r="C59" s="2079"/>
      <c r="I59" s="3113" t="s">
        <v>2359</v>
      </c>
      <c r="J59" s="3051" t="e">
        <f ca="1">IF(J56&lt;0.4,0.4,J56)</f>
        <v>#VALUE!</v>
      </c>
      <c r="K59" s="3075" t="s">
        <v>2364</v>
      </c>
      <c r="L59" s="1890">
        <f ca="1">IF(ISERROR(POWER(1+L53,L48-L49)*(POWER(1+L53,L49)-1)/(POWER(1+L53,L48)-1)),0,POWER(1+L53,L48-L49)*(POWER(1+L53,L49)-1)/(POWER(1+L53,L48)-1))</f>
        <v>0</v>
      </c>
      <c r="O59" s="2359" t="s">
        <v>2381</v>
      </c>
      <c r="P59" s="2360" t="s">
        <v>2412</v>
      </c>
      <c r="Q59" s="2361" t="e">
        <f ca="1">L61</f>
        <v>#DIV/0!</v>
      </c>
      <c r="R59" s="2364" t="s">
        <v>2414</v>
      </c>
    </row>
    <row r="60" spans="1:18" s="2041" customFormat="1" ht="29.25" thickBot="1">
      <c r="A60" s="2078"/>
      <c r="B60" s="2079"/>
      <c r="C60" s="2079"/>
      <c r="I60" s="3113" t="s">
        <v>2360</v>
      </c>
      <c r="J60" s="3114" t="str">
        <f ca="1">IF(OR(M48="住宅",J52&lt;L49,J57="是"),"——",ROUND(C30*J59,0))</f>
        <v>——</v>
      </c>
      <c r="K60" s="3075" t="s">
        <v>2365</v>
      </c>
      <c r="L60" s="1890">
        <f ca="1">IF(ISERROR(POWER(1+L53,L48-J52)*(POWER(1+L53,J52)-1)/(POWER(1+L53,L48)-1)),0,POWER(1+L53,L48-J52)*(POWER(1+L53,J52)-1)/(POWER(1+L53,L48)-1))</f>
        <v>0</v>
      </c>
      <c r="O60" s="2362" t="s">
        <v>2383</v>
      </c>
      <c r="P60" s="2360" t="s">
        <v>2413</v>
      </c>
      <c r="Q60" s="2361">
        <f>IF(L56="比较法",L50,IF(L56="基准地价",L51,0))</f>
        <v>0</v>
      </c>
      <c r="R60" s="2360" t="s">
        <v>2380</v>
      </c>
    </row>
    <row r="61" spans="1:18" s="2041" customFormat="1" ht="15.75" thickBot="1">
      <c r="A61" s="2078"/>
      <c r="B61" s="2079"/>
      <c r="C61" s="2079"/>
      <c r="I61" s="3115" t="s">
        <v>2361</v>
      </c>
      <c r="J61" s="3116" t="str">
        <f ca="1">IF(OR(M48="住宅",J52&lt;L49,J57="是"),"0",ROUND(J60/(1+J53)^J54,0))</f>
        <v>0</v>
      </c>
      <c r="K61" s="3117" t="s">
        <v>2366</v>
      </c>
      <c r="L61" s="3116" t="e">
        <f ca="1">IF(OR(M48="住宅",L49&lt;J52),0,ROUND(L58*(L59/L60-1),0))</f>
        <v>#DIV/0!</v>
      </c>
      <c r="O61" s="2362" t="s">
        <v>2384</v>
      </c>
      <c r="P61" s="2360" t="s">
        <v>2393</v>
      </c>
      <c r="Q61" s="2363">
        <f>L53</f>
        <v>0</v>
      </c>
      <c r="R61" s="2364"/>
    </row>
    <row r="62" spans="1:18" s="2041" customFormat="1" ht="20.25" thickBot="1">
      <c r="A62" s="2078"/>
      <c r="B62" s="2079"/>
      <c r="C62" s="2079"/>
      <c r="K62" s="2068"/>
      <c r="O62" s="2362" t="s">
        <v>2386</v>
      </c>
      <c r="P62" s="2360" t="s">
        <v>2394</v>
      </c>
      <c r="Q62" s="2361">
        <f ca="1">L59</f>
        <v>0</v>
      </c>
      <c r="R62" s="2364" t="s">
        <v>2395</v>
      </c>
    </row>
    <row r="63" spans="1:18" s="2041" customFormat="1" ht="20.25" thickBot="1">
      <c r="A63" s="2078"/>
      <c r="B63" s="2079"/>
      <c r="C63" s="2079"/>
      <c r="I63" s="3118" t="s">
        <v>2367</v>
      </c>
      <c r="J63" s="3119" t="s">
        <v>2368</v>
      </c>
      <c r="K63" s="3119" t="s">
        <v>2369</v>
      </c>
      <c r="L63" s="3119" t="s">
        <v>2350</v>
      </c>
      <c r="M63" s="3120" t="s">
        <v>2942</v>
      </c>
      <c r="O63" s="2362" t="s">
        <v>2388</v>
      </c>
      <c r="P63" s="2360" t="s">
        <v>2396</v>
      </c>
      <c r="Q63" s="2361">
        <f ca="1">L60</f>
        <v>0</v>
      </c>
      <c r="R63" s="2364" t="s">
        <v>2397</v>
      </c>
    </row>
    <row r="64" spans="1:18" s="2041" customFormat="1" ht="15.75" thickBot="1">
      <c r="A64" s="2078"/>
      <c r="B64" s="2079"/>
      <c r="C64" s="2079"/>
      <c r="I64" s="3118" t="s">
        <v>2370</v>
      </c>
      <c r="J64" s="3119">
        <v>70</v>
      </c>
      <c r="K64" s="3119">
        <v>50</v>
      </c>
      <c r="L64" s="3119">
        <v>80</v>
      </c>
      <c r="M64" s="3121">
        <v>0.02</v>
      </c>
      <c r="O64" s="2359" t="s">
        <v>2391</v>
      </c>
      <c r="P64" s="2360" t="s">
        <v>2408</v>
      </c>
      <c r="Q64" s="2361" t="e">
        <f ca="1">Q58+Q59</f>
        <v>#DIV/0!</v>
      </c>
      <c r="R64" s="2364" t="s">
        <v>2392</v>
      </c>
    </row>
    <row r="65" spans="1:18" s="2041" customFormat="1" ht="16.5" thickBot="1">
      <c r="A65" s="2078"/>
      <c r="B65" s="2079"/>
      <c r="C65" s="2079"/>
      <c r="I65" s="3118" t="s">
        <v>2371</v>
      </c>
      <c r="J65" s="3119">
        <v>50</v>
      </c>
      <c r="K65" s="3119">
        <v>35</v>
      </c>
      <c r="L65" s="3119">
        <v>60</v>
      </c>
      <c r="M65" s="845">
        <v>0</v>
      </c>
      <c r="O65" s="2365" t="s">
        <v>2415</v>
      </c>
      <c r="P65" s="1575"/>
      <c r="Q65" s="1586"/>
      <c r="R65" s="1575"/>
    </row>
    <row r="66" spans="1:18" s="2041" customFormat="1" ht="15.75" thickBot="1">
      <c r="A66" s="2078"/>
      <c r="B66" s="2079"/>
      <c r="C66" s="2079"/>
      <c r="I66" s="3118" t="s">
        <v>2372</v>
      </c>
      <c r="J66" s="3119">
        <v>40</v>
      </c>
      <c r="K66" s="3119">
        <v>30</v>
      </c>
      <c r="L66" s="3119">
        <v>50</v>
      </c>
      <c r="M66" s="3121">
        <v>0.02</v>
      </c>
      <c r="O66" s="2356" t="s">
        <v>2375</v>
      </c>
      <c r="P66" s="2357" t="s">
        <v>2376</v>
      </c>
      <c r="Q66" s="2358" t="s">
        <v>2377</v>
      </c>
      <c r="R66" s="2357" t="s">
        <v>2378</v>
      </c>
    </row>
    <row r="67" spans="1:18" s="2041" customFormat="1" ht="15.75" thickBot="1">
      <c r="A67" s="2078"/>
      <c r="B67" s="2079"/>
      <c r="C67" s="2079"/>
      <c r="K67" s="2068"/>
      <c r="O67" s="2359" t="s">
        <v>2379</v>
      </c>
      <c r="P67" s="2360" t="s">
        <v>2405</v>
      </c>
      <c r="Q67" s="2361">
        <f ca="1">C41+J31</f>
        <v>0</v>
      </c>
      <c r="R67" s="2360" t="s">
        <v>2380</v>
      </c>
    </row>
    <row r="68" spans="1:18" s="2041" customFormat="1" ht="20.25" thickBot="1">
      <c r="A68" s="2078"/>
      <c r="B68" s="2079"/>
      <c r="C68" s="2079"/>
      <c r="K68" s="2068"/>
      <c r="O68" s="2359" t="s">
        <v>2381</v>
      </c>
      <c r="P68" s="2360" t="s">
        <v>2412</v>
      </c>
      <c r="Q68" s="2361" t="e">
        <f ca="1">L61</f>
        <v>#DIV/0!</v>
      </c>
      <c r="R68" s="2364" t="s">
        <v>2414</v>
      </c>
    </row>
    <row r="69" spans="1:18" s="2041" customFormat="1" ht="21.75" thickBot="1">
      <c r="A69" s="2078"/>
      <c r="B69" s="2079"/>
      <c r="C69" s="2079"/>
      <c r="K69" s="2068"/>
      <c r="O69" s="2362" t="s">
        <v>2383</v>
      </c>
      <c r="P69" s="2360" t="s">
        <v>2413</v>
      </c>
      <c r="Q69" s="2366">
        <f ca="1">L52</f>
        <v>0</v>
      </c>
      <c r="R69" s="2367" t="s">
        <v>2416</v>
      </c>
    </row>
    <row r="70" spans="1:18" s="2041" customFormat="1" ht="20.25" thickBot="1">
      <c r="A70" s="2078"/>
      <c r="B70" s="2079"/>
      <c r="C70" s="2079"/>
      <c r="K70" s="2068"/>
      <c r="O70" s="2362" t="s">
        <v>2384</v>
      </c>
      <c r="P70" s="2368" t="s">
        <v>2398</v>
      </c>
      <c r="Q70" s="2361">
        <f ca="1">ROUND(Q71-Q72*Q73,0)</f>
        <v>0</v>
      </c>
      <c r="R70" s="2364"/>
    </row>
    <row r="71" spans="1:18" s="2041" customFormat="1" ht="15.75" thickBot="1">
      <c r="A71" s="2078"/>
      <c r="B71" s="2079"/>
      <c r="C71" s="2079"/>
      <c r="K71" s="2068"/>
      <c r="O71" s="2362" t="s">
        <v>2399</v>
      </c>
      <c r="P71" s="2368" t="s">
        <v>2400</v>
      </c>
      <c r="Q71" s="2361">
        <f ca="1">C42</f>
        <v>0</v>
      </c>
      <c r="R71" s="2360" t="s">
        <v>2380</v>
      </c>
    </row>
    <row r="72" spans="1:18" s="2041" customFormat="1" ht="15.75" thickBot="1">
      <c r="A72" s="2078"/>
      <c r="B72" s="2079"/>
      <c r="C72" s="2079"/>
      <c r="K72" s="2068"/>
      <c r="O72" s="2362" t="s">
        <v>2401</v>
      </c>
      <c r="P72" s="2368" t="s">
        <v>2402</v>
      </c>
      <c r="Q72" s="2361">
        <f ca="1">C15</f>
        <v>0</v>
      </c>
      <c r="R72" s="2360" t="s">
        <v>2380</v>
      </c>
    </row>
    <row r="73" spans="1:18" s="2041" customFormat="1" ht="15.75" thickBot="1">
      <c r="A73" s="2078"/>
      <c r="B73" s="2079"/>
      <c r="C73" s="2079"/>
      <c r="K73" s="2068"/>
      <c r="O73" s="2362" t="s">
        <v>2403</v>
      </c>
      <c r="P73" s="2368" t="s">
        <v>2404</v>
      </c>
      <c r="Q73" s="2363">
        <f ca="1">F43</f>
        <v>0</v>
      </c>
      <c r="R73" s="2364"/>
    </row>
    <row r="74" spans="1:18" s="2041" customFormat="1" ht="15.75" thickBot="1">
      <c r="A74" s="2078"/>
      <c r="B74" s="2079"/>
      <c r="C74" s="2079"/>
      <c r="K74" s="2068"/>
      <c r="O74" s="2362" t="s">
        <v>2386</v>
      </c>
      <c r="P74" s="2360" t="s">
        <v>2393</v>
      </c>
      <c r="Q74" s="2363">
        <f>L53</f>
        <v>0</v>
      </c>
      <c r="R74" s="2364"/>
    </row>
    <row r="75" spans="1:18" s="2041" customFormat="1" ht="20.25" thickBot="1">
      <c r="A75" s="2078"/>
      <c r="B75" s="2079"/>
      <c r="C75" s="2079"/>
      <c r="K75" s="2068"/>
      <c r="O75" s="2362" t="s">
        <v>2388</v>
      </c>
      <c r="P75" s="2360" t="s">
        <v>2394</v>
      </c>
      <c r="Q75" s="2361">
        <f ca="1">L59</f>
        <v>0</v>
      </c>
      <c r="R75" s="2364" t="s">
        <v>2395</v>
      </c>
    </row>
    <row r="76" spans="1:18" s="2041" customFormat="1" ht="20.25" thickBot="1">
      <c r="A76" s="2078"/>
      <c r="B76" s="2079"/>
      <c r="C76" s="2079"/>
      <c r="K76" s="2068"/>
      <c r="O76" s="2362" t="s">
        <v>2417</v>
      </c>
      <c r="P76" s="2360" t="s">
        <v>2396</v>
      </c>
      <c r="Q76" s="2361">
        <f ca="1">L60</f>
        <v>0</v>
      </c>
      <c r="R76" s="2364" t="s">
        <v>2397</v>
      </c>
    </row>
    <row r="77" spans="1:18" s="2041" customFormat="1" ht="15.75" thickBot="1">
      <c r="A77" s="2078"/>
      <c r="B77" s="2079"/>
      <c r="C77" s="2079"/>
      <c r="K77" s="2068"/>
      <c r="O77" s="2359" t="s">
        <v>2391</v>
      </c>
      <c r="P77" s="2360" t="s">
        <v>2408</v>
      </c>
      <c r="Q77" s="2361" t="e">
        <f ca="1">Q67+Q68</f>
        <v>#DIV/0!</v>
      </c>
      <c r="R77" s="2364" t="s">
        <v>2392</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1" zoomScale="70" zoomScaleNormal="70" workbookViewId="0">
      <selection activeCell="S40" sqref="S40"/>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5.62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4" t="s">
        <v>719</v>
      </c>
      <c r="C1" s="2585" t="s">
        <v>720</v>
      </c>
      <c r="D1" s="2586" t="s">
        <v>923</v>
      </c>
      <c r="E1" s="2587"/>
      <c r="F1" s="2759" t="s">
        <v>3000</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2" t="s">
        <v>467</v>
      </c>
      <c r="B2" s="2583">
        <f>ROUND(B3*D3/10000,0)</f>
        <v>65509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8" t="s">
        <v>519</v>
      </c>
      <c r="B3" s="850">
        <f>C49</f>
        <v>6106</v>
      </c>
      <c r="C3" s="851" t="s">
        <v>722</v>
      </c>
      <c r="D3" s="850">
        <f>SUMIF('数据-汇总表'!$C19:$C33,D1,'数据-汇总表'!$E19:$E33)</f>
        <v>107286.59</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1" t="s">
        <v>521</v>
      </c>
      <c r="B4" s="512"/>
      <c r="C4" s="3404" t="s">
        <v>522</v>
      </c>
      <c r="D4" s="3405"/>
      <c r="E4" s="3428" t="s">
        <v>523</v>
      </c>
      <c r="F4" s="3429"/>
      <c r="G4" s="3404" t="s">
        <v>524</v>
      </c>
      <c r="H4" s="3405"/>
      <c r="I4" s="3404" t="s">
        <v>525</v>
      </c>
      <c r="J4" s="3405"/>
      <c r="K4" s="852" t="s">
        <v>526</v>
      </c>
      <c r="L4" s="2115"/>
      <c r="M4" s="2116"/>
      <c r="N4" s="2116"/>
      <c r="O4" s="2116"/>
      <c r="P4" s="3406" t="s">
        <v>527</v>
      </c>
      <c r="Q4" s="3407"/>
      <c r="R4" s="3392" t="s">
        <v>523</v>
      </c>
      <c r="S4" s="3393"/>
      <c r="T4" s="3392" t="s">
        <v>524</v>
      </c>
      <c r="U4" s="3393"/>
      <c r="V4" s="3412" t="s">
        <v>525</v>
      </c>
      <c r="W4" s="3412"/>
      <c r="X4" s="1550"/>
      <c r="Y4" s="3392" t="s">
        <v>527</v>
      </c>
      <c r="Z4" s="3393"/>
      <c r="AA4" s="3387" t="s">
        <v>523</v>
      </c>
      <c r="AB4" s="3387" t="s">
        <v>524</v>
      </c>
      <c r="AC4" s="3387" t="s">
        <v>525</v>
      </c>
    </row>
    <row r="5" spans="1:29" ht="15">
      <c r="A5" s="514"/>
      <c r="B5" s="515"/>
      <c r="C5" s="3415" t="s">
        <v>2929</v>
      </c>
      <c r="D5" s="3416"/>
      <c r="E5" s="3478" t="s">
        <v>3001</v>
      </c>
      <c r="F5" s="3431"/>
      <c r="G5" s="3479" t="s">
        <v>3027</v>
      </c>
      <c r="H5" s="3416"/>
      <c r="I5" s="3479" t="s">
        <v>3026</v>
      </c>
      <c r="J5" s="3416"/>
      <c r="K5" s="853"/>
      <c r="L5" s="2115"/>
      <c r="M5" s="2116"/>
      <c r="N5" s="2116"/>
      <c r="O5" s="2116"/>
      <c r="P5" s="3408"/>
      <c r="Q5" s="3409"/>
      <c r="R5" s="3394"/>
      <c r="S5" s="3395"/>
      <c r="T5" s="3394"/>
      <c r="U5" s="3395"/>
      <c r="V5" s="3412"/>
      <c r="W5" s="3412"/>
      <c r="X5" s="1550"/>
      <c r="Y5" s="3394"/>
      <c r="Z5" s="3395"/>
      <c r="AA5" s="3388"/>
      <c r="AB5" s="3388"/>
      <c r="AC5" s="3388"/>
    </row>
    <row r="6" spans="1:29" ht="15.75" thickBot="1">
      <c r="A6" s="516"/>
      <c r="B6" s="517"/>
      <c r="C6" s="3413" t="s">
        <v>2933</v>
      </c>
      <c r="D6" s="3414"/>
      <c r="E6" s="3432" t="s">
        <v>2933</v>
      </c>
      <c r="F6" s="3433"/>
      <c r="G6" s="3413" t="s">
        <v>2933</v>
      </c>
      <c r="H6" s="3414"/>
      <c r="I6" s="3413" t="s">
        <v>2933</v>
      </c>
      <c r="J6" s="3414"/>
      <c r="K6" s="853" t="s">
        <v>528</v>
      </c>
      <c r="L6" s="2115"/>
      <c r="M6" s="2116"/>
      <c r="N6" s="2116"/>
      <c r="O6" s="2116"/>
      <c r="P6" s="3410"/>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v>43800</v>
      </c>
      <c r="F7" s="521">
        <f>SUMIF(58:58,YEAR(E7)&amp;"-"&amp;MONTH(E7),59:59)</f>
        <v>100</v>
      </c>
      <c r="G7" s="522">
        <v>43800</v>
      </c>
      <c r="H7" s="519">
        <f>SUMIF(58:58,YEAR(G7)&amp;"-"&amp;MONTH(G7),59:59)</f>
        <v>100</v>
      </c>
      <c r="I7" s="522">
        <f>E7</f>
        <v>43800</v>
      </c>
      <c r="J7" s="519">
        <f>SUMIF(58:58,YEAR(I7)&amp;"-"&amp;MONTH(I7),59:59)</f>
        <v>100</v>
      </c>
      <c r="K7" s="854"/>
      <c r="L7" s="2117"/>
      <c r="M7" s="2118"/>
      <c r="N7" s="2118"/>
      <c r="O7" s="2118"/>
      <c r="P7" s="3390" t="s">
        <v>530</v>
      </c>
      <c r="Q7" s="3399"/>
      <c r="R7" s="1551" t="s">
        <v>13</v>
      </c>
      <c r="S7" s="1552">
        <f t="shared" ref="S7:S15" si="0">F7</f>
        <v>100</v>
      </c>
      <c r="T7" s="1551" t="s">
        <v>13</v>
      </c>
      <c r="U7" s="1552">
        <f t="shared" ref="U7:U15" si="1">H7</f>
        <v>100</v>
      </c>
      <c r="V7" s="1551" t="s">
        <v>13</v>
      </c>
      <c r="W7" s="1552">
        <f t="shared" ref="W7:W15" si="2">J7</f>
        <v>100</v>
      </c>
      <c r="X7" s="1553"/>
      <c r="Y7" s="3390" t="s">
        <v>530</v>
      </c>
      <c r="Z7" s="3391"/>
      <c r="AA7" s="1554">
        <f>D7/F7</f>
        <v>1</v>
      </c>
      <c r="AB7" s="1554">
        <f>D7/H7</f>
        <v>1</v>
      </c>
      <c r="AC7" s="1554">
        <f>D7/J7</f>
        <v>1</v>
      </c>
    </row>
    <row r="8" spans="1:29" s="1213" customFormat="1" ht="15.75" thickBot="1">
      <c r="A8" s="2865"/>
      <c r="B8" s="2872" t="s">
        <v>531</v>
      </c>
      <c r="C8" s="524" t="s">
        <v>576</v>
      </c>
      <c r="D8" s="519">
        <v>100</v>
      </c>
      <c r="E8" s="855" t="s">
        <v>3002</v>
      </c>
      <c r="F8" s="521">
        <f>SUMIF(61:61,E8,62:62)-SUMIF(61:61,C8,62:62)+100</f>
        <v>100</v>
      </c>
      <c r="G8" s="855" t="s">
        <v>3002</v>
      </c>
      <c r="H8" s="519">
        <f>SUMIF(61:61,G8,62:62)-SUMIF(61:61,C8,62:62)+100</f>
        <v>100</v>
      </c>
      <c r="I8" s="855" t="s">
        <v>3002</v>
      </c>
      <c r="J8" s="519">
        <f>SUMIF(61:61,I8,62:62)-SUMIF(61:61,C8,62:62)+100</f>
        <v>100</v>
      </c>
      <c r="K8" s="854"/>
      <c r="L8" s="2117"/>
      <c r="M8" s="2118"/>
      <c r="N8" s="2118"/>
      <c r="O8" s="2118"/>
      <c r="P8" s="3390" t="s">
        <v>533</v>
      </c>
      <c r="Q8" s="3391"/>
      <c r="R8" s="1551" t="s">
        <v>13</v>
      </c>
      <c r="S8" s="1552">
        <f t="shared" si="0"/>
        <v>100</v>
      </c>
      <c r="T8" s="1551" t="s">
        <v>13</v>
      </c>
      <c r="U8" s="1552">
        <f t="shared" si="1"/>
        <v>100</v>
      </c>
      <c r="V8" s="1551" t="s">
        <v>13</v>
      </c>
      <c r="W8" s="1552">
        <f t="shared" si="2"/>
        <v>100</v>
      </c>
      <c r="X8" s="1553"/>
      <c r="Y8" s="3390" t="s">
        <v>533</v>
      </c>
      <c r="Z8" s="3391"/>
      <c r="AA8" s="1554">
        <f t="shared" ref="AA8:AA46" si="3">D8/F8</f>
        <v>1</v>
      </c>
      <c r="AB8" s="1554">
        <f t="shared" ref="AB8:AB46" si="4">D8/H8</f>
        <v>1</v>
      </c>
      <c r="AC8" s="1554">
        <f t="shared" ref="AC8:AC46" si="5">D8/J8</f>
        <v>1</v>
      </c>
    </row>
    <row r="9" spans="1:29" s="1213" customFormat="1" ht="15">
      <c r="A9" s="2866"/>
      <c r="B9" s="2873" t="s">
        <v>2756</v>
      </c>
      <c r="C9" s="3179" t="s">
        <v>3003</v>
      </c>
      <c r="D9" s="253">
        <v>100</v>
      </c>
      <c r="E9" s="857" t="s">
        <v>923</v>
      </c>
      <c r="F9" s="858">
        <f>SUMIF(63:63,E9,64:64)-SUMIF(63:63,C9,64:64)+100</f>
        <v>100</v>
      </c>
      <c r="G9" s="857" t="s">
        <v>923</v>
      </c>
      <c r="H9" s="253">
        <f>SUMIF(63:63,G9,64:64)-SUMIF(63:63,C9,64:64)+100</f>
        <v>100</v>
      </c>
      <c r="I9" s="857" t="s">
        <v>923</v>
      </c>
      <c r="J9" s="253">
        <f>SUMIF(63:63,I9,64:64)-SUMIF(63:63,C9,64:64)+100</f>
        <v>100</v>
      </c>
      <c r="K9" s="854"/>
      <c r="L9" s="2117"/>
      <c r="M9" s="2118"/>
      <c r="N9" s="2118"/>
      <c r="O9" s="2119"/>
      <c r="P9" s="3398"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867"/>
      <c r="B10" s="2872" t="s">
        <v>2757</v>
      </c>
      <c r="C10" s="860" t="s">
        <v>3012</v>
      </c>
      <c r="D10" s="254">
        <v>100</v>
      </c>
      <c r="E10" s="861" t="s">
        <v>3012</v>
      </c>
      <c r="F10" s="862">
        <f>SUMIF(65:65,E10,66:66)-SUMIF(65:65,C10,66:66)+100</f>
        <v>100</v>
      </c>
      <c r="G10" s="861" t="s">
        <v>3012</v>
      </c>
      <c r="H10" s="254">
        <f>SUMIF(65:65,G10,66:66)-SUMIF(65:65,C10,66:66)+100</f>
        <v>100</v>
      </c>
      <c r="I10" s="861" t="s">
        <v>3012</v>
      </c>
      <c r="J10" s="254">
        <f>SUMIF(65:65,I10,66:66)-SUMIF(65:65,C10,66:66)+100</f>
        <v>100</v>
      </c>
      <c r="K10" s="863">
        <v>2</v>
      </c>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8"/>
      <c r="B11" s="2872" t="s">
        <v>2758</v>
      </c>
      <c r="C11" s="532">
        <v>2.8</v>
      </c>
      <c r="D11" s="254">
        <v>100</v>
      </c>
      <c r="E11" s="533">
        <v>2.5</v>
      </c>
      <c r="F11" s="862">
        <f>LOOKUP(E11,68:68,69:69)-LOOKUP(C11,68:68,69:69)+100</f>
        <v>100</v>
      </c>
      <c r="G11" s="532">
        <v>2.99</v>
      </c>
      <c r="H11" s="254">
        <f>LOOKUP(G11,68:68,69:69)-LOOKUP(C11,68:68,69:69)+100</f>
        <v>100</v>
      </c>
      <c r="I11" s="532">
        <v>2.37</v>
      </c>
      <c r="J11" s="254">
        <f>LOOKUP(I11,68:68,69:69)-LOOKUP(C11,68:68,69:69)+100</f>
        <v>102</v>
      </c>
      <c r="K11" s="863">
        <v>2</v>
      </c>
      <c r="L11" s="2122"/>
      <c r="M11" s="2116"/>
      <c r="N11" s="2116"/>
      <c r="O11" s="2123"/>
      <c r="P11" s="3398"/>
      <c r="Q11" s="1144" t="str">
        <f t="shared" si="6"/>
        <v>容积率</v>
      </c>
      <c r="R11" s="1551" t="s">
        <v>11</v>
      </c>
      <c r="S11" s="1552">
        <f t="shared" si="0"/>
        <v>100</v>
      </c>
      <c r="T11" s="1551" t="s">
        <v>11</v>
      </c>
      <c r="U11" s="1552">
        <f t="shared" si="1"/>
        <v>100</v>
      </c>
      <c r="V11" s="1551" t="s">
        <v>11</v>
      </c>
      <c r="W11" s="1552">
        <f t="shared" si="2"/>
        <v>102</v>
      </c>
      <c r="X11" s="1553"/>
      <c r="Y11" s="3355"/>
      <c r="Z11" s="1143" t="str">
        <f t="shared" si="7"/>
        <v>容积率</v>
      </c>
      <c r="AA11" s="1554">
        <f t="shared" si="3"/>
        <v>1</v>
      </c>
      <c r="AB11" s="1554">
        <f t="shared" si="4"/>
        <v>1</v>
      </c>
      <c r="AC11" s="1554">
        <f t="shared" si="5"/>
        <v>0.98039215686274506</v>
      </c>
    </row>
    <row r="12" spans="1:29" s="1213"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98"/>
      <c r="Q12" s="1144">
        <f t="shared" si="6"/>
        <v>111</v>
      </c>
      <c r="R12" s="1551" t="s">
        <v>11</v>
      </c>
      <c r="S12" s="1552">
        <f t="shared" si="0"/>
        <v>100</v>
      </c>
      <c r="T12" s="1551" t="s">
        <v>11</v>
      </c>
      <c r="U12" s="1552">
        <f t="shared" si="1"/>
        <v>100</v>
      </c>
      <c r="V12" s="1551" t="s">
        <v>11</v>
      </c>
      <c r="W12" s="1552">
        <f t="shared" si="2"/>
        <v>100</v>
      </c>
      <c r="X12" s="1553"/>
      <c r="Y12" s="3355"/>
      <c r="Z12" s="1143">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98"/>
      <c r="Q13" s="1144">
        <f t="shared" si="6"/>
        <v>111</v>
      </c>
      <c r="R13" s="1551" t="s">
        <v>11</v>
      </c>
      <c r="S13" s="1552">
        <f t="shared" si="0"/>
        <v>100</v>
      </c>
      <c r="T13" s="1551" t="s">
        <v>11</v>
      </c>
      <c r="U13" s="1552">
        <f t="shared" si="1"/>
        <v>100</v>
      </c>
      <c r="V13" s="1551" t="s">
        <v>11</v>
      </c>
      <c r="W13" s="1552">
        <f t="shared" si="2"/>
        <v>100</v>
      </c>
      <c r="X13" s="1553"/>
      <c r="Y13" s="3355"/>
      <c r="Z13" s="1143">
        <f t="shared" si="7"/>
        <v>111</v>
      </c>
      <c r="AA13" s="1554">
        <f t="shared" si="3"/>
        <v>1</v>
      </c>
      <c r="AB13" s="1554">
        <f t="shared" si="4"/>
        <v>1</v>
      </c>
      <c r="AC13" s="1554">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98"/>
      <c r="Q14" s="1144">
        <f t="shared" si="6"/>
        <v>111</v>
      </c>
      <c r="R14" s="1551" t="s">
        <v>11</v>
      </c>
      <c r="S14" s="1552">
        <f t="shared" si="0"/>
        <v>100</v>
      </c>
      <c r="T14" s="1551" t="s">
        <v>11</v>
      </c>
      <c r="U14" s="1552">
        <f t="shared" si="1"/>
        <v>100</v>
      </c>
      <c r="V14" s="1551" t="s">
        <v>11</v>
      </c>
      <c r="W14" s="1552">
        <f t="shared" si="2"/>
        <v>100</v>
      </c>
      <c r="X14" s="1553"/>
      <c r="Y14" s="3355"/>
      <c r="Z14" s="1143">
        <f t="shared" si="7"/>
        <v>111</v>
      </c>
      <c r="AA14" s="1554">
        <f t="shared" si="3"/>
        <v>1</v>
      </c>
      <c r="AB14" s="1554">
        <f t="shared" si="4"/>
        <v>1</v>
      </c>
      <c r="AC14" s="1554">
        <f t="shared" si="5"/>
        <v>1</v>
      </c>
    </row>
    <row r="15" spans="1:29" ht="99.75">
      <c r="A15" s="2862"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102</v>
      </c>
      <c r="K15" s="867">
        <v>2</v>
      </c>
      <c r="L15" s="2124"/>
      <c r="M15" s="2116"/>
      <c r="N15" s="2116"/>
      <c r="O15" s="2123"/>
      <c r="P15" s="3400" t="s">
        <v>540</v>
      </c>
      <c r="Q15" s="1555" t="str">
        <f t="shared" si="6"/>
        <v>居住社区成熟度</v>
      </c>
      <c r="R15" s="1556" t="s">
        <v>11</v>
      </c>
      <c r="S15" s="1557">
        <f t="shared" si="0"/>
        <v>102</v>
      </c>
      <c r="T15" s="1556" t="s">
        <v>11</v>
      </c>
      <c r="U15" s="1557">
        <f t="shared" si="1"/>
        <v>100</v>
      </c>
      <c r="V15" s="1556" t="s">
        <v>11</v>
      </c>
      <c r="W15" s="1557">
        <f t="shared" si="2"/>
        <v>102</v>
      </c>
      <c r="X15" s="1550"/>
      <c r="Y15" s="3400" t="s">
        <v>540</v>
      </c>
      <c r="Z15" s="1558" t="str">
        <f t="shared" si="7"/>
        <v>居住社区成熟度</v>
      </c>
      <c r="AA15" s="1559">
        <f t="shared" si="3"/>
        <v>0.98039215686274506</v>
      </c>
      <c r="AB15" s="1559">
        <f t="shared" si="4"/>
        <v>1</v>
      </c>
      <c r="AC15" s="1559">
        <f t="shared" si="5"/>
        <v>0.98039215686274506</v>
      </c>
    </row>
    <row r="16" spans="1:29" ht="15">
      <c r="A16" s="531"/>
      <c r="B16" s="868"/>
      <c r="C16" s="575" t="s">
        <v>3013</v>
      </c>
      <c r="D16" s="554"/>
      <c r="E16" s="555" t="s">
        <v>3025</v>
      </c>
      <c r="F16" s="556"/>
      <c r="G16" s="557" t="s">
        <v>3013</v>
      </c>
      <c r="H16" s="558"/>
      <c r="I16" s="555" t="s">
        <v>3025</v>
      </c>
      <c r="J16" s="554"/>
      <c r="K16" s="869"/>
      <c r="L16" s="2124"/>
      <c r="M16" s="2116"/>
      <c r="N16" s="2116"/>
      <c r="O16" s="2123"/>
      <c r="P16" s="3401"/>
      <c r="Q16" s="1555"/>
      <c r="R16" s="1556"/>
      <c r="S16" s="1557"/>
      <c r="T16" s="1556"/>
      <c r="U16" s="1557"/>
      <c r="V16" s="1556"/>
      <c r="W16" s="1557"/>
      <c r="X16" s="1550"/>
      <c r="Y16" s="3401"/>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4"/>
      <c r="M17" s="2116"/>
      <c r="N17" s="2116"/>
      <c r="O17" s="2123"/>
      <c r="P17" s="3401"/>
      <c r="Q17" s="1555" t="str">
        <f>B17</f>
        <v>交通便捷度</v>
      </c>
      <c r="R17" s="1556" t="s">
        <v>11</v>
      </c>
      <c r="S17" s="1557">
        <f>F17</f>
        <v>100</v>
      </c>
      <c r="T17" s="1556" t="s">
        <v>11</v>
      </c>
      <c r="U17" s="1557">
        <f>H17</f>
        <v>100</v>
      </c>
      <c r="V17" s="1556" t="s">
        <v>11</v>
      </c>
      <c r="W17" s="1557">
        <f>J17</f>
        <v>100</v>
      </c>
      <c r="X17" s="1550"/>
      <c r="Y17" s="3401"/>
      <c r="Z17" s="1558" t="str">
        <f>Q17</f>
        <v>交通便捷度</v>
      </c>
      <c r="AA17" s="1559">
        <f t="shared" si="3"/>
        <v>1</v>
      </c>
      <c r="AB17" s="1559">
        <f t="shared" si="4"/>
        <v>1</v>
      </c>
      <c r="AC17" s="1559">
        <f t="shared" si="5"/>
        <v>1</v>
      </c>
    </row>
    <row r="18" spans="1:29" ht="15">
      <c r="A18" s="531"/>
      <c r="B18" s="594"/>
      <c r="C18" s="872" t="s">
        <v>3025</v>
      </c>
      <c r="D18" s="558"/>
      <c r="E18" s="567" t="s">
        <v>3025</v>
      </c>
      <c r="F18" s="562"/>
      <c r="G18" s="567" t="s">
        <v>3025</v>
      </c>
      <c r="H18" s="554"/>
      <c r="I18" s="567" t="s">
        <v>3025</v>
      </c>
      <c r="J18" s="554"/>
      <c r="K18" s="869"/>
      <c r="L18" s="2124"/>
      <c r="M18" s="2116"/>
      <c r="N18" s="2116"/>
      <c r="O18" s="2123"/>
      <c r="P18" s="3401"/>
      <c r="Q18" s="1555"/>
      <c r="R18" s="1556"/>
      <c r="S18" s="1557"/>
      <c r="T18" s="1556"/>
      <c r="U18" s="1557"/>
      <c r="V18" s="1556"/>
      <c r="W18" s="1557"/>
      <c r="X18" s="1550"/>
      <c r="Y18" s="3401"/>
      <c r="Z18" s="1558"/>
      <c r="AA18" s="1559">
        <v>1</v>
      </c>
      <c r="AB18" s="1559">
        <v>1</v>
      </c>
      <c r="AC18" s="1559">
        <v>1</v>
      </c>
    </row>
    <row r="19" spans="1:29" ht="42.75">
      <c r="A19" s="531"/>
      <c r="B19" s="2561" t="s">
        <v>2546</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24"/>
      <c r="M19" s="2116"/>
      <c r="N19" s="2116"/>
      <c r="O19" s="2123"/>
      <c r="P19" s="3401"/>
      <c r="Q19" s="1555" t="str">
        <f>B19</f>
        <v>公共配套设施</v>
      </c>
      <c r="R19" s="1556" t="s">
        <v>11</v>
      </c>
      <c r="S19" s="1557">
        <f>F19</f>
        <v>102</v>
      </c>
      <c r="T19" s="1556" t="s">
        <v>11</v>
      </c>
      <c r="U19" s="1557">
        <f>H19</f>
        <v>100</v>
      </c>
      <c r="V19" s="1556" t="s">
        <v>11</v>
      </c>
      <c r="W19" s="1557">
        <f>J19</f>
        <v>102</v>
      </c>
      <c r="X19" s="1550"/>
      <c r="Y19" s="3401"/>
      <c r="Z19" s="1558" t="str">
        <f>Q19</f>
        <v>公共配套设施</v>
      </c>
      <c r="AA19" s="1559">
        <f t="shared" si="3"/>
        <v>0.98039215686274506</v>
      </c>
      <c r="AB19" s="1559">
        <f t="shared" si="4"/>
        <v>1</v>
      </c>
      <c r="AC19" s="1559">
        <f t="shared" si="5"/>
        <v>0.98039215686274506</v>
      </c>
    </row>
    <row r="20" spans="1:29" ht="15">
      <c r="A20" s="531"/>
      <c r="B20" s="594"/>
      <c r="C20" s="575" t="s">
        <v>3013</v>
      </c>
      <c r="D20" s="554"/>
      <c r="E20" s="575" t="s">
        <v>3025</v>
      </c>
      <c r="F20" s="556"/>
      <c r="G20" s="575" t="s">
        <v>3013</v>
      </c>
      <c r="H20" s="554"/>
      <c r="I20" s="575" t="s">
        <v>3025</v>
      </c>
      <c r="J20" s="554"/>
      <c r="K20" s="869"/>
      <c r="L20" s="2124"/>
      <c r="M20" s="2116"/>
      <c r="N20" s="2116"/>
      <c r="O20" s="2123"/>
      <c r="P20" s="3401"/>
      <c r="Q20" s="1555"/>
      <c r="R20" s="1556"/>
      <c r="S20" s="1557"/>
      <c r="T20" s="1556"/>
      <c r="U20" s="1557"/>
      <c r="V20" s="1556"/>
      <c r="W20" s="1557"/>
      <c r="X20" s="1550"/>
      <c r="Y20" s="3401"/>
      <c r="Z20" s="1558"/>
      <c r="AA20" s="1559">
        <v>1</v>
      </c>
      <c r="AB20" s="1559">
        <v>1</v>
      </c>
      <c r="AC20" s="1559">
        <v>1</v>
      </c>
    </row>
    <row r="21" spans="1:29" ht="28.5">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4"/>
      <c r="M21" s="2116"/>
      <c r="N21" s="2116"/>
      <c r="O21" s="2123"/>
      <c r="P21" s="3401"/>
      <c r="Q21" s="2540" t="str">
        <f>B21</f>
        <v>基础设施水平</v>
      </c>
      <c r="R21" s="1556" t="s">
        <v>11</v>
      </c>
      <c r="S21" s="1557">
        <f>F21</f>
        <v>100</v>
      </c>
      <c r="T21" s="1556" t="s">
        <v>11</v>
      </c>
      <c r="U21" s="1557">
        <f>H21</f>
        <v>100</v>
      </c>
      <c r="V21" s="1556" t="s">
        <v>11</v>
      </c>
      <c r="W21" s="1557">
        <f>J21</f>
        <v>100</v>
      </c>
      <c r="X21" s="2542"/>
      <c r="Y21" s="3401"/>
      <c r="Z21" s="2541" t="str">
        <f>Q21</f>
        <v>基础设施水平</v>
      </c>
      <c r="AA21" s="1559">
        <f t="shared" ref="AA21" si="8">D21/F21</f>
        <v>1</v>
      </c>
      <c r="AB21" s="1559">
        <f t="shared" ref="AB21" si="9">D21/H21</f>
        <v>1</v>
      </c>
      <c r="AC21" s="1559">
        <f t="shared" ref="AC21" si="10">D21/J21</f>
        <v>1</v>
      </c>
    </row>
    <row r="22" spans="1:29" ht="15">
      <c r="A22" s="531"/>
      <c r="B22" s="920"/>
      <c r="C22" s="872" t="s">
        <v>3021</v>
      </c>
      <c r="D22" s="554"/>
      <c r="E22" s="872" t="s">
        <v>3021</v>
      </c>
      <c r="F22" s="556"/>
      <c r="G22" s="872" t="s">
        <v>3021</v>
      </c>
      <c r="H22" s="554"/>
      <c r="I22" s="872" t="s">
        <v>3021</v>
      </c>
      <c r="J22" s="554"/>
      <c r="K22" s="2560"/>
      <c r="L22" s="2124"/>
      <c r="M22" s="2116"/>
      <c r="N22" s="2116"/>
      <c r="O22" s="2123"/>
      <c r="P22" s="3401"/>
      <c r="Q22" s="2540"/>
      <c r="R22" s="1556"/>
      <c r="S22" s="1557"/>
      <c r="T22" s="1556"/>
      <c r="U22" s="1557"/>
      <c r="V22" s="1556"/>
      <c r="W22" s="1557"/>
      <c r="X22" s="2542"/>
      <c r="Y22" s="3401"/>
      <c r="Z22" s="2541"/>
      <c r="AA22" s="1559">
        <v>1</v>
      </c>
      <c r="AB22" s="1559">
        <v>1</v>
      </c>
      <c r="AC22" s="1559">
        <v>1</v>
      </c>
    </row>
    <row r="23" spans="1:29" ht="57">
      <c r="A23" s="531"/>
      <c r="B23" s="870" t="s">
        <v>297</v>
      </c>
      <c r="C23" s="871"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67">
        <v>2</v>
      </c>
      <c r="L23" s="2124"/>
      <c r="M23" s="2116"/>
      <c r="N23" s="2116"/>
      <c r="O23" s="2123"/>
      <c r="P23" s="3401"/>
      <c r="Q23" s="1555" t="str">
        <f>B23</f>
        <v>自然及人文环境</v>
      </c>
      <c r="R23" s="1556" t="s">
        <v>11</v>
      </c>
      <c r="S23" s="1557">
        <f>F23</f>
        <v>98</v>
      </c>
      <c r="T23" s="1556" t="s">
        <v>11</v>
      </c>
      <c r="U23" s="1557">
        <f>H23</f>
        <v>98</v>
      </c>
      <c r="V23" s="1556" t="s">
        <v>11</v>
      </c>
      <c r="W23" s="1557">
        <f>J23</f>
        <v>98</v>
      </c>
      <c r="X23" s="1550"/>
      <c r="Y23" s="3401"/>
      <c r="Z23" s="1558" t="str">
        <f>Q23</f>
        <v>自然及人文环境</v>
      </c>
      <c r="AA23" s="1559">
        <f t="shared" si="3"/>
        <v>1.0204081632653061</v>
      </c>
      <c r="AB23" s="1559">
        <f t="shared" si="4"/>
        <v>1.0204081632653061</v>
      </c>
      <c r="AC23" s="1559">
        <f t="shared" si="5"/>
        <v>1.0204081632653061</v>
      </c>
    </row>
    <row r="24" spans="1:29" ht="15">
      <c r="A24" s="531"/>
      <c r="B24" s="594"/>
      <c r="C24" s="575" t="s">
        <v>3025</v>
      </c>
      <c r="D24" s="554"/>
      <c r="E24" s="555" t="s">
        <v>3013</v>
      </c>
      <c r="F24" s="556"/>
      <c r="G24" s="557" t="s">
        <v>3013</v>
      </c>
      <c r="H24" s="554"/>
      <c r="I24" s="555" t="s">
        <v>3013</v>
      </c>
      <c r="J24" s="554"/>
      <c r="K24" s="869"/>
      <c r="L24" s="2124"/>
      <c r="M24" s="2116"/>
      <c r="N24" s="2116"/>
      <c r="O24" s="2123"/>
      <c r="P24" s="3401"/>
      <c r="Q24" s="1555"/>
      <c r="R24" s="1556"/>
      <c r="S24" s="1557"/>
      <c r="T24" s="1556"/>
      <c r="U24" s="1557"/>
      <c r="V24" s="1556"/>
      <c r="W24" s="1557"/>
      <c r="X24" s="1550"/>
      <c r="Y24" s="3401"/>
      <c r="Z24" s="1558"/>
      <c r="AA24" s="1559">
        <v>1</v>
      </c>
      <c r="AB24" s="1559">
        <v>1</v>
      </c>
      <c r="AC24" s="1559">
        <v>1</v>
      </c>
    </row>
    <row r="25" spans="1:29" ht="15">
      <c r="A25" s="531"/>
      <c r="B25" s="1877" t="s">
        <v>2256</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01"/>
      <c r="Q25" s="1555" t="str">
        <f t="shared" ref="Q25:Q46" si="11">B25</f>
        <v>楼层-1</v>
      </c>
      <c r="R25" s="1556" t="s">
        <v>11</v>
      </c>
      <c r="S25" s="1557">
        <f>F25</f>
        <v>100</v>
      </c>
      <c r="T25" s="1556" t="s">
        <v>11</v>
      </c>
      <c r="U25" s="1557">
        <f>H25</f>
        <v>100</v>
      </c>
      <c r="V25" s="1556" t="s">
        <v>11</v>
      </c>
      <c r="W25" s="1557">
        <f>J25</f>
        <v>100</v>
      </c>
      <c r="X25" s="1550"/>
      <c r="Y25" s="3401"/>
      <c r="Z25" s="1558" t="str">
        <f>Q25</f>
        <v>楼层-1</v>
      </c>
      <c r="AA25" s="1559">
        <f t="shared" si="3"/>
        <v>1</v>
      </c>
      <c r="AB25" s="1559">
        <f t="shared" si="4"/>
        <v>1</v>
      </c>
      <c r="AC25" s="1559">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01"/>
      <c r="Q26" s="1555" t="str">
        <f t="shared" si="11"/>
        <v>朝向</v>
      </c>
      <c r="R26" s="1556" t="s">
        <v>11</v>
      </c>
      <c r="S26" s="1557">
        <f>F26</f>
        <v>100</v>
      </c>
      <c r="T26" s="1556" t="s">
        <v>11</v>
      </c>
      <c r="U26" s="1557">
        <f>H26</f>
        <v>100</v>
      </c>
      <c r="V26" s="1556" t="s">
        <v>11</v>
      </c>
      <c r="W26" s="1557">
        <f>J26</f>
        <v>100</v>
      </c>
      <c r="X26" s="1550"/>
      <c r="Y26" s="3401"/>
      <c r="Z26" s="1558" t="str">
        <f>Q26</f>
        <v>朝向</v>
      </c>
      <c r="AA26" s="1559">
        <f t="shared" si="3"/>
        <v>1</v>
      </c>
      <c r="AB26" s="1559">
        <f t="shared" si="4"/>
        <v>1</v>
      </c>
      <c r="AC26" s="1559">
        <f t="shared" si="5"/>
        <v>1</v>
      </c>
    </row>
    <row r="27" spans="1:29" s="1213"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01"/>
      <c r="Q27" s="1144" t="str">
        <f t="shared" si="11"/>
        <v>道路级别</v>
      </c>
      <c r="R27" s="1551" t="s">
        <v>11</v>
      </c>
      <c r="S27" s="1552">
        <f>F27</f>
        <v>100</v>
      </c>
      <c r="T27" s="1551" t="s">
        <v>11</v>
      </c>
      <c r="U27" s="1552">
        <f>H27</f>
        <v>100</v>
      </c>
      <c r="V27" s="1551" t="s">
        <v>11</v>
      </c>
      <c r="W27" s="1552">
        <f>J27</f>
        <v>100</v>
      </c>
      <c r="X27" s="1553"/>
      <c r="Y27" s="3401"/>
      <c r="Z27" s="1143"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01"/>
      <c r="Q28" s="1555">
        <f t="shared" si="11"/>
        <v>111</v>
      </c>
      <c r="R28" s="1556" t="s">
        <v>11</v>
      </c>
      <c r="S28" s="1557">
        <f t="shared" ref="S28:S46" si="12">F28</f>
        <v>100</v>
      </c>
      <c r="T28" s="1556" t="s">
        <v>11</v>
      </c>
      <c r="U28" s="1557">
        <f t="shared" ref="U28:U46" si="13">H28</f>
        <v>100</v>
      </c>
      <c r="V28" s="1556" t="s">
        <v>11</v>
      </c>
      <c r="W28" s="1557">
        <f t="shared" ref="W28:W46" si="14">J28</f>
        <v>100</v>
      </c>
      <c r="X28" s="1550"/>
      <c r="Y28" s="3401"/>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01"/>
      <c r="Q29" s="1555">
        <f t="shared" si="11"/>
        <v>111</v>
      </c>
      <c r="R29" s="1556" t="s">
        <v>11</v>
      </c>
      <c r="S29" s="1557">
        <f t="shared" si="12"/>
        <v>100</v>
      </c>
      <c r="T29" s="1556" t="s">
        <v>11</v>
      </c>
      <c r="U29" s="1557">
        <f t="shared" si="13"/>
        <v>100</v>
      </c>
      <c r="V29" s="1556" t="s">
        <v>11</v>
      </c>
      <c r="W29" s="1557">
        <f t="shared" si="14"/>
        <v>100</v>
      </c>
      <c r="X29" s="1550"/>
      <c r="Y29" s="3401"/>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01"/>
      <c r="Q30" s="1555">
        <f t="shared" si="11"/>
        <v>111</v>
      </c>
      <c r="R30" s="1556" t="s">
        <v>11</v>
      </c>
      <c r="S30" s="1557">
        <f t="shared" si="12"/>
        <v>100</v>
      </c>
      <c r="T30" s="1556" t="s">
        <v>11</v>
      </c>
      <c r="U30" s="1557">
        <f t="shared" si="13"/>
        <v>100</v>
      </c>
      <c r="V30" s="1556" t="s">
        <v>11</v>
      </c>
      <c r="W30" s="1557">
        <f t="shared" si="14"/>
        <v>100</v>
      </c>
      <c r="X30" s="1550"/>
      <c r="Y30" s="3401"/>
      <c r="Z30" s="1558">
        <f t="shared" si="15"/>
        <v>111</v>
      </c>
      <c r="AA30" s="1559">
        <f t="shared" si="3"/>
        <v>1</v>
      </c>
      <c r="AB30" s="1559">
        <f t="shared" si="4"/>
        <v>1</v>
      </c>
      <c r="AC30" s="1559">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01"/>
      <c r="Q31" s="1555">
        <f t="shared" si="11"/>
        <v>111</v>
      </c>
      <c r="R31" s="1556" t="s">
        <v>11</v>
      </c>
      <c r="S31" s="1557">
        <f t="shared" si="12"/>
        <v>100</v>
      </c>
      <c r="T31" s="1556" t="s">
        <v>11</v>
      </c>
      <c r="U31" s="1557">
        <f t="shared" si="13"/>
        <v>100</v>
      </c>
      <c r="V31" s="1556" t="s">
        <v>11</v>
      </c>
      <c r="W31" s="1557">
        <f t="shared" si="14"/>
        <v>100</v>
      </c>
      <c r="X31" s="1550"/>
      <c r="Y31" s="3401"/>
      <c r="Z31" s="1558">
        <f t="shared" si="15"/>
        <v>111</v>
      </c>
      <c r="AA31" s="1559">
        <f t="shared" si="3"/>
        <v>1</v>
      </c>
      <c r="AB31" s="1559">
        <f t="shared" si="4"/>
        <v>1</v>
      </c>
      <c r="AC31" s="1559">
        <f t="shared" si="5"/>
        <v>1</v>
      </c>
    </row>
    <row r="32" spans="1:29" ht="15">
      <c r="A32" s="2859"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02" t="s">
        <v>550</v>
      </c>
      <c r="Q32" s="1555" t="str">
        <f t="shared" si="11"/>
        <v>建筑类型</v>
      </c>
      <c r="R32" s="1556" t="s">
        <v>11</v>
      </c>
      <c r="S32" s="1557">
        <f t="shared" si="12"/>
        <v>100</v>
      </c>
      <c r="T32" s="1556" t="s">
        <v>11</v>
      </c>
      <c r="U32" s="1557">
        <f t="shared" si="13"/>
        <v>100</v>
      </c>
      <c r="V32" s="1556" t="s">
        <v>11</v>
      </c>
      <c r="W32" s="1557">
        <f t="shared" si="14"/>
        <v>100</v>
      </c>
      <c r="X32" s="1550"/>
      <c r="Y32" s="3403" t="s">
        <v>550</v>
      </c>
      <c r="Z32" s="1558" t="str">
        <f t="shared" si="15"/>
        <v>建筑类型</v>
      </c>
      <c r="AA32" s="1559">
        <f t="shared" si="3"/>
        <v>1</v>
      </c>
      <c r="AB32" s="1559">
        <f t="shared" si="4"/>
        <v>1</v>
      </c>
      <c r="AC32" s="1559">
        <f t="shared" si="5"/>
        <v>1</v>
      </c>
    </row>
    <row r="33" spans="1:29" s="1332" customFormat="1" ht="15">
      <c r="A33" s="602"/>
      <c r="B33" s="526" t="s">
        <v>726</v>
      </c>
      <c r="C33" s="879">
        <v>400000</v>
      </c>
      <c r="D33" s="254">
        <v>100</v>
      </c>
      <c r="E33" s="533">
        <v>110000</v>
      </c>
      <c r="F33" s="862">
        <f>LOOKUP(E33,103:103,104:104)-LOOKUP(C33,103:103,104:104)+100</f>
        <v>98</v>
      </c>
      <c r="G33" s="532">
        <v>88713</v>
      </c>
      <c r="H33" s="254">
        <f>LOOKUP(G33,103:103,104:104)-LOOKUP(C33,103:103,104:104)+100</f>
        <v>96</v>
      </c>
      <c r="I33" s="533">
        <v>114000</v>
      </c>
      <c r="J33" s="254">
        <f>LOOKUP(I33,103:103,104:104)-LOOKUP(C33,103:103,104:104)+100</f>
        <v>98</v>
      </c>
      <c r="K33" s="864"/>
      <c r="L33" s="2122"/>
      <c r="M33" s="2153"/>
      <c r="N33" s="2153"/>
      <c r="O33" s="2125"/>
      <c r="P33" s="3403"/>
      <c r="Q33" s="1587" t="str">
        <f t="shared" si="11"/>
        <v>项目建筑规模</v>
      </c>
      <c r="R33" s="1560" t="s">
        <v>11</v>
      </c>
      <c r="S33" s="1561">
        <f t="shared" si="12"/>
        <v>98</v>
      </c>
      <c r="T33" s="1560" t="s">
        <v>11</v>
      </c>
      <c r="U33" s="1561">
        <f t="shared" si="13"/>
        <v>96</v>
      </c>
      <c r="V33" s="1560" t="s">
        <v>11</v>
      </c>
      <c r="W33" s="1561">
        <f t="shared" si="14"/>
        <v>98</v>
      </c>
      <c r="X33" s="1562"/>
      <c r="Y33" s="3403"/>
      <c r="Z33" s="1563" t="str">
        <f t="shared" si="15"/>
        <v>项目建筑规模</v>
      </c>
      <c r="AA33" s="1559">
        <f t="shared" si="3"/>
        <v>1.0204081632653061</v>
      </c>
      <c r="AB33" s="1559">
        <f t="shared" si="4"/>
        <v>1.0416666666666667</v>
      </c>
      <c r="AC33" s="1559">
        <f t="shared" si="5"/>
        <v>1.0204081632653061</v>
      </c>
    </row>
    <row r="34" spans="1:29" ht="15">
      <c r="A34" s="593"/>
      <c r="B34" s="526" t="s">
        <v>727</v>
      </c>
      <c r="C34" s="880" t="s">
        <v>3046</v>
      </c>
      <c r="D34" s="539">
        <v>100</v>
      </c>
      <c r="E34" s="880" t="s">
        <v>3046</v>
      </c>
      <c r="F34" s="574">
        <f>SUMIF(105:105,E34,106:106)-SUMIF(105:105,C34,106:106)+100</f>
        <v>100</v>
      </c>
      <c r="G34" s="880" t="s">
        <v>3046</v>
      </c>
      <c r="H34" s="539">
        <f>SUMIF(105:105,G34,106:106)-SUMIF(105:105,C34,106:106)+100</f>
        <v>100</v>
      </c>
      <c r="I34" s="880" t="s">
        <v>3046</v>
      </c>
      <c r="J34" s="539">
        <f>SUMIF(105:105,I34,106:106)-SUMIF(105:105,C34,106:106)+100</f>
        <v>100</v>
      </c>
      <c r="K34" s="863">
        <v>2</v>
      </c>
      <c r="L34" s="2124"/>
      <c r="M34" s="2116"/>
      <c r="N34" s="2116"/>
      <c r="O34" s="2123"/>
      <c r="P34" s="3403"/>
      <c r="Q34" s="1555" t="str">
        <f t="shared" si="11"/>
        <v>建筑结构</v>
      </c>
      <c r="R34" s="1556" t="s">
        <v>11</v>
      </c>
      <c r="S34" s="1557">
        <f t="shared" si="12"/>
        <v>100</v>
      </c>
      <c r="T34" s="1556" t="s">
        <v>11</v>
      </c>
      <c r="U34" s="1557">
        <f t="shared" si="13"/>
        <v>100</v>
      </c>
      <c r="V34" s="1556" t="s">
        <v>11</v>
      </c>
      <c r="W34" s="1557">
        <f t="shared" si="14"/>
        <v>100</v>
      </c>
      <c r="X34" s="1550"/>
      <c r="Y34" s="3403"/>
      <c r="Z34" s="1558" t="str">
        <f t="shared" si="15"/>
        <v>建筑结构</v>
      </c>
      <c r="AA34" s="1559">
        <f t="shared" si="3"/>
        <v>1</v>
      </c>
      <c r="AB34" s="1559">
        <f t="shared" si="4"/>
        <v>1</v>
      </c>
      <c r="AC34" s="1559">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03"/>
      <c r="Q35" s="1555" t="str">
        <f t="shared" si="11"/>
        <v>建筑品质</v>
      </c>
      <c r="R35" s="1556" t="s">
        <v>11</v>
      </c>
      <c r="S35" s="1557">
        <f t="shared" si="12"/>
        <v>100</v>
      </c>
      <c r="T35" s="1556" t="s">
        <v>11</v>
      </c>
      <c r="U35" s="1557">
        <f t="shared" si="13"/>
        <v>100</v>
      </c>
      <c r="V35" s="1556" t="s">
        <v>11</v>
      </c>
      <c r="W35" s="1557">
        <f t="shared" si="14"/>
        <v>100</v>
      </c>
      <c r="X35" s="1550"/>
      <c r="Y35" s="3403"/>
      <c r="Z35" s="1558" t="str">
        <f t="shared" si="15"/>
        <v>建筑品质</v>
      </c>
      <c r="AA35" s="1559">
        <f t="shared" si="3"/>
        <v>1</v>
      </c>
      <c r="AB35" s="1559">
        <f t="shared" si="4"/>
        <v>1</v>
      </c>
      <c r="AC35" s="1559">
        <f t="shared" si="5"/>
        <v>1</v>
      </c>
    </row>
    <row r="36" spans="1:29" ht="15">
      <c r="A36" s="593"/>
      <c r="B36" s="526" t="s">
        <v>729</v>
      </c>
      <c r="C36" s="598" t="s">
        <v>3014</v>
      </c>
      <c r="D36" s="539">
        <v>100</v>
      </c>
      <c r="E36" s="598" t="s">
        <v>3014</v>
      </c>
      <c r="F36" s="574">
        <f>SUMIF(109:109,E36,110:110)-SUMIF(109:109,C36,110:110)+100</f>
        <v>100</v>
      </c>
      <c r="G36" s="598" t="s">
        <v>3014</v>
      </c>
      <c r="H36" s="539">
        <f>SUMIF(109:109,G36,110:110)-SUMIF(109:109,C36,110:110)+100</f>
        <v>100</v>
      </c>
      <c r="I36" s="598" t="s">
        <v>3014</v>
      </c>
      <c r="J36" s="539">
        <f>SUMIF(109:109,I36,110:110)-SUMIF(109:109,C36,110:110)+100</f>
        <v>100</v>
      </c>
      <c r="K36" s="863">
        <v>2</v>
      </c>
      <c r="L36" s="2124"/>
      <c r="M36" s="2116"/>
      <c r="N36" s="2116"/>
      <c r="O36" s="2123"/>
      <c r="P36" s="3403"/>
      <c r="Q36" s="1555" t="str">
        <f t="shared" si="11"/>
        <v>公共部分装修</v>
      </c>
      <c r="R36" s="1556" t="s">
        <v>11</v>
      </c>
      <c r="S36" s="1557">
        <f t="shared" si="12"/>
        <v>100</v>
      </c>
      <c r="T36" s="1556" t="s">
        <v>11</v>
      </c>
      <c r="U36" s="1557">
        <f t="shared" si="13"/>
        <v>100</v>
      </c>
      <c r="V36" s="1556" t="s">
        <v>11</v>
      </c>
      <c r="W36" s="1557">
        <f t="shared" si="14"/>
        <v>100</v>
      </c>
      <c r="X36" s="1550"/>
      <c r="Y36" s="3403"/>
      <c r="Z36" s="1558" t="str">
        <f t="shared" si="15"/>
        <v>公共部分装修</v>
      </c>
      <c r="AA36" s="1559">
        <f t="shared" si="3"/>
        <v>1</v>
      </c>
      <c r="AB36" s="1559">
        <f t="shared" si="4"/>
        <v>1</v>
      </c>
      <c r="AC36" s="1559">
        <f t="shared" si="5"/>
        <v>1</v>
      </c>
    </row>
    <row r="37" spans="1:29" s="1213"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7"/>
      <c r="M37" s="2118"/>
      <c r="N37" s="2118"/>
      <c r="O37" s="2119"/>
      <c r="P37" s="3403"/>
      <c r="Q37" s="1144" t="str">
        <f t="shared" si="11"/>
        <v>成新度</v>
      </c>
      <c r="R37" s="1551" t="s">
        <v>11</v>
      </c>
      <c r="S37" s="1552">
        <f t="shared" si="12"/>
        <v>100</v>
      </c>
      <c r="T37" s="1551" t="s">
        <v>11</v>
      </c>
      <c r="U37" s="1552">
        <f t="shared" si="13"/>
        <v>100</v>
      </c>
      <c r="V37" s="1551" t="s">
        <v>11</v>
      </c>
      <c r="W37" s="1552">
        <f t="shared" si="14"/>
        <v>100</v>
      </c>
      <c r="X37" s="1553"/>
      <c r="Y37" s="3403"/>
      <c r="Z37" s="1143" t="str">
        <f t="shared" si="15"/>
        <v>成新度</v>
      </c>
      <c r="AA37" s="1554">
        <f t="shared" si="3"/>
        <v>1</v>
      </c>
      <c r="AB37" s="1554">
        <f t="shared" si="4"/>
        <v>1</v>
      </c>
      <c r="AC37" s="1554">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03" t="s">
        <v>550</v>
      </c>
      <c r="Q38" s="1555" t="str">
        <f t="shared" si="11"/>
        <v>物业管理</v>
      </c>
      <c r="R38" s="1556" t="s">
        <v>11</v>
      </c>
      <c r="S38" s="1557">
        <f t="shared" si="12"/>
        <v>100</v>
      </c>
      <c r="T38" s="1556" t="s">
        <v>11</v>
      </c>
      <c r="U38" s="1557">
        <f t="shared" si="13"/>
        <v>100</v>
      </c>
      <c r="V38" s="1556" t="s">
        <v>11</v>
      </c>
      <c r="W38" s="1557">
        <f t="shared" si="14"/>
        <v>100</v>
      </c>
      <c r="X38" s="1550"/>
      <c r="Y38" s="3403" t="s">
        <v>550</v>
      </c>
      <c r="Z38" s="1558" t="str">
        <f t="shared" si="15"/>
        <v>物业管理</v>
      </c>
      <c r="AA38" s="1559">
        <f t="shared" si="3"/>
        <v>1</v>
      </c>
      <c r="AB38" s="1559">
        <f t="shared" si="4"/>
        <v>1</v>
      </c>
      <c r="AC38" s="1559">
        <f t="shared" si="5"/>
        <v>1</v>
      </c>
    </row>
    <row r="39" spans="1:29" ht="15">
      <c r="A39" s="593"/>
      <c r="B39" s="1877" t="s">
        <v>2564</v>
      </c>
      <c r="C39" s="598" t="s">
        <v>3021</v>
      </c>
      <c r="D39" s="539">
        <v>100</v>
      </c>
      <c r="E39" s="598" t="s">
        <v>3021</v>
      </c>
      <c r="F39" s="574">
        <f>SUMIF(116:116,E39,117:117)-SUMIF(116:116,C39,117:117)+100</f>
        <v>100</v>
      </c>
      <c r="G39" s="598" t="s">
        <v>3021</v>
      </c>
      <c r="H39" s="539">
        <f>SUMIF(116:116,G39,117:117)-SUMIF(116:116,C39,117:117)+100</f>
        <v>100</v>
      </c>
      <c r="I39" s="598" t="s">
        <v>3021</v>
      </c>
      <c r="J39" s="539">
        <f>SUMIF(116:116,I39,117:117)-SUMIF(116:116,C39,117:117)+100</f>
        <v>100</v>
      </c>
      <c r="K39" s="863">
        <v>1</v>
      </c>
      <c r="L39" s="2124"/>
      <c r="M39" s="2116"/>
      <c r="N39" s="2116"/>
      <c r="O39" s="2123"/>
      <c r="P39" s="3403"/>
      <c r="Q39" s="1555" t="str">
        <f t="shared" si="11"/>
        <v>市政基础设施</v>
      </c>
      <c r="R39" s="1556" t="s">
        <v>11</v>
      </c>
      <c r="S39" s="1557">
        <f t="shared" si="12"/>
        <v>100</v>
      </c>
      <c r="T39" s="1556" t="s">
        <v>11</v>
      </c>
      <c r="U39" s="1557">
        <f t="shared" si="13"/>
        <v>100</v>
      </c>
      <c r="V39" s="1556" t="s">
        <v>11</v>
      </c>
      <c r="W39" s="1557">
        <f t="shared" si="14"/>
        <v>100</v>
      </c>
      <c r="X39" s="1550"/>
      <c r="Y39" s="3403"/>
      <c r="Z39" s="1558" t="str">
        <f t="shared" si="15"/>
        <v>市政基础设施</v>
      </c>
      <c r="AA39" s="1559">
        <f t="shared" si="3"/>
        <v>1</v>
      </c>
      <c r="AB39" s="1559">
        <f t="shared" si="4"/>
        <v>1</v>
      </c>
      <c r="AC39" s="1559">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03"/>
      <c r="Q40" s="1555" t="str">
        <f t="shared" si="11"/>
        <v>房型</v>
      </c>
      <c r="R40" s="1556" t="s">
        <v>11</v>
      </c>
      <c r="S40" s="1557">
        <f t="shared" si="12"/>
        <v>100</v>
      </c>
      <c r="T40" s="1556" t="s">
        <v>11</v>
      </c>
      <c r="U40" s="1557">
        <f t="shared" si="13"/>
        <v>100</v>
      </c>
      <c r="V40" s="1556" t="s">
        <v>11</v>
      </c>
      <c r="W40" s="1557">
        <f t="shared" si="14"/>
        <v>100</v>
      </c>
      <c r="X40" s="1550"/>
      <c r="Y40" s="3403"/>
      <c r="Z40" s="1558" t="str">
        <f t="shared" si="15"/>
        <v>房型</v>
      </c>
      <c r="AA40" s="1559">
        <f t="shared" si="3"/>
        <v>1</v>
      </c>
      <c r="AB40" s="1559">
        <f t="shared" si="4"/>
        <v>1</v>
      </c>
      <c r="AC40" s="1559">
        <f t="shared" si="5"/>
        <v>1</v>
      </c>
    </row>
    <row r="41" spans="1:29" s="1332"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03"/>
      <c r="Q41" s="1587" t="str">
        <f t="shared" si="11"/>
        <v>单套/主力户型建筑面积</v>
      </c>
      <c r="R41" s="1560" t="s">
        <v>11</v>
      </c>
      <c r="S41" s="1561">
        <f t="shared" si="12"/>
        <v>100</v>
      </c>
      <c r="T41" s="1560" t="s">
        <v>11</v>
      </c>
      <c r="U41" s="1561">
        <f t="shared" si="13"/>
        <v>100</v>
      </c>
      <c r="V41" s="1560" t="s">
        <v>11</v>
      </c>
      <c r="W41" s="1561">
        <f t="shared" si="14"/>
        <v>100</v>
      </c>
      <c r="X41" s="1562"/>
      <c r="Y41" s="3403"/>
      <c r="Z41" s="1563" t="str">
        <f t="shared" si="15"/>
        <v>单套/主力户型建筑面积</v>
      </c>
      <c r="AA41" s="1559">
        <f t="shared" si="3"/>
        <v>1</v>
      </c>
      <c r="AB41" s="1559">
        <f t="shared" si="4"/>
        <v>1</v>
      </c>
      <c r="AC41" s="1559">
        <f t="shared" si="5"/>
        <v>1</v>
      </c>
    </row>
    <row r="42" spans="1:29" ht="15">
      <c r="A42" s="593"/>
      <c r="B42" s="526" t="s">
        <v>734</v>
      </c>
      <c r="C42" s="598" t="s">
        <v>3018</v>
      </c>
      <c r="D42" s="539">
        <v>100</v>
      </c>
      <c r="E42" s="598" t="s">
        <v>3018</v>
      </c>
      <c r="F42" s="574">
        <f>SUMIF(122:122,E42,123:123)-SUMIF(122:122,C42,123:123)+100</f>
        <v>100</v>
      </c>
      <c r="G42" s="598" t="s">
        <v>3018</v>
      </c>
      <c r="H42" s="539">
        <f>SUMIF(122:122,G42,123:123)-SUMIF(122:122,C42,123:123)+100</f>
        <v>100</v>
      </c>
      <c r="I42" s="598" t="s">
        <v>3018</v>
      </c>
      <c r="J42" s="539">
        <f>SUMIF(122:122,I42,123:123)-SUMIF(122:122,C42,123:123)+100</f>
        <v>100</v>
      </c>
      <c r="K42" s="863">
        <v>2</v>
      </c>
      <c r="L42" s="2124"/>
      <c r="M42" s="2116"/>
      <c r="N42" s="2116"/>
      <c r="O42" s="2123"/>
      <c r="P42" s="3403"/>
      <c r="Q42" s="1555" t="str">
        <f t="shared" si="11"/>
        <v>内部装修</v>
      </c>
      <c r="R42" s="1556" t="s">
        <v>11</v>
      </c>
      <c r="S42" s="1557">
        <f t="shared" si="12"/>
        <v>100</v>
      </c>
      <c r="T42" s="1556" t="s">
        <v>11</v>
      </c>
      <c r="U42" s="1557">
        <f t="shared" si="13"/>
        <v>100</v>
      </c>
      <c r="V42" s="1556" t="s">
        <v>11</v>
      </c>
      <c r="W42" s="1557">
        <f t="shared" si="14"/>
        <v>100</v>
      </c>
      <c r="X42" s="1550"/>
      <c r="Y42" s="3403"/>
      <c r="Z42" s="1558" t="str">
        <f t="shared" si="15"/>
        <v>内部装修</v>
      </c>
      <c r="AA42" s="1559">
        <f t="shared" si="3"/>
        <v>1</v>
      </c>
      <c r="AB42" s="1559">
        <f t="shared" si="4"/>
        <v>1</v>
      </c>
      <c r="AC42" s="1559">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03"/>
      <c r="Q43" s="1555" t="str">
        <f t="shared" si="11"/>
        <v>内部装修维护情况</v>
      </c>
      <c r="R43" s="1556" t="s">
        <v>11</v>
      </c>
      <c r="S43" s="1557">
        <f t="shared" si="12"/>
        <v>100</v>
      </c>
      <c r="T43" s="1556" t="s">
        <v>11</v>
      </c>
      <c r="U43" s="1557">
        <f t="shared" si="13"/>
        <v>100</v>
      </c>
      <c r="V43" s="1556" t="s">
        <v>11</v>
      </c>
      <c r="W43" s="1557">
        <f t="shared" si="14"/>
        <v>100</v>
      </c>
      <c r="X43" s="1550"/>
      <c r="Y43" s="3403"/>
      <c r="Z43" s="1558" t="str">
        <f t="shared" si="15"/>
        <v>内部装修维护情况</v>
      </c>
      <c r="AA43" s="1559">
        <f t="shared" si="3"/>
        <v>1</v>
      </c>
      <c r="AB43" s="1559">
        <f t="shared" si="4"/>
        <v>1</v>
      </c>
      <c r="AC43" s="1559">
        <f t="shared" si="5"/>
        <v>1</v>
      </c>
    </row>
    <row r="44" spans="1:29" s="1213"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03"/>
      <c r="Q44" s="1144">
        <f t="shared" si="11"/>
        <v>111</v>
      </c>
      <c r="R44" s="1551" t="s">
        <v>11</v>
      </c>
      <c r="S44" s="1552">
        <f t="shared" si="12"/>
        <v>100</v>
      </c>
      <c r="T44" s="1551" t="s">
        <v>11</v>
      </c>
      <c r="U44" s="1552">
        <f t="shared" si="13"/>
        <v>100</v>
      </c>
      <c r="V44" s="1551" t="s">
        <v>11</v>
      </c>
      <c r="W44" s="1552">
        <f t="shared" si="14"/>
        <v>100</v>
      </c>
      <c r="X44" s="1553"/>
      <c r="Y44" s="3403"/>
      <c r="Z44" s="1143">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03"/>
      <c r="Q45" s="1555">
        <f t="shared" si="11"/>
        <v>111</v>
      </c>
      <c r="R45" s="1556" t="s">
        <v>11</v>
      </c>
      <c r="S45" s="1557">
        <f t="shared" si="12"/>
        <v>100</v>
      </c>
      <c r="T45" s="1556" t="s">
        <v>11</v>
      </c>
      <c r="U45" s="1557">
        <f t="shared" si="13"/>
        <v>100</v>
      </c>
      <c r="V45" s="1556" t="s">
        <v>11</v>
      </c>
      <c r="W45" s="1557">
        <f t="shared" si="14"/>
        <v>100</v>
      </c>
      <c r="X45" s="1550"/>
      <c r="Y45" s="3403"/>
      <c r="Z45" s="1558">
        <f t="shared" si="15"/>
        <v>111</v>
      </c>
      <c r="AA45" s="1559">
        <f t="shared" si="3"/>
        <v>1</v>
      </c>
      <c r="AB45" s="1559">
        <f t="shared" si="4"/>
        <v>1</v>
      </c>
      <c r="AC45" s="1559">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82"/>
      <c r="Q46" s="1555">
        <f t="shared" si="11"/>
        <v>111</v>
      </c>
      <c r="R46" s="1556" t="s">
        <v>10</v>
      </c>
      <c r="S46" s="1557">
        <f t="shared" si="12"/>
        <v>100</v>
      </c>
      <c r="T46" s="1556" t="s">
        <v>10</v>
      </c>
      <c r="U46" s="1557">
        <f t="shared" si="13"/>
        <v>100</v>
      </c>
      <c r="V46" s="1556" t="s">
        <v>10</v>
      </c>
      <c r="W46" s="1557">
        <f t="shared" si="14"/>
        <v>100</v>
      </c>
      <c r="X46" s="1550"/>
      <c r="Y46" s="3482"/>
      <c r="Z46" s="1558">
        <f t="shared" si="15"/>
        <v>111</v>
      </c>
      <c r="AA46" s="1559">
        <f t="shared" si="3"/>
        <v>1</v>
      </c>
      <c r="AB46" s="1559">
        <f t="shared" si="4"/>
        <v>1</v>
      </c>
      <c r="AC46" s="1559">
        <f t="shared" si="5"/>
        <v>1</v>
      </c>
    </row>
    <row r="47" spans="1:29" ht="15">
      <c r="A47" s="606" t="s">
        <v>736</v>
      </c>
      <c r="B47" s="885"/>
      <c r="C47" s="2588" t="s">
        <v>9</v>
      </c>
      <c r="D47" s="2589"/>
      <c r="E47" s="2590">
        <v>6000</v>
      </c>
      <c r="F47" s="2591"/>
      <c r="G47" s="2592">
        <v>6000</v>
      </c>
      <c r="H47" s="2593"/>
      <c r="I47" s="2590">
        <v>6050</v>
      </c>
      <c r="J47" s="2593"/>
      <c r="K47" s="1588"/>
      <c r="L47" s="2126"/>
      <c r="M47" s="2127"/>
      <c r="N47" s="2116"/>
      <c r="O47" s="2127"/>
      <c r="P47" s="3398" t="str">
        <f>A47</f>
        <v>成交单价（元/平方米）</v>
      </c>
      <c r="Q47" s="3398"/>
      <c r="R47" s="3481">
        <f>E47</f>
        <v>6000</v>
      </c>
      <c r="S47" s="3481"/>
      <c r="T47" s="3481">
        <f>G47</f>
        <v>6000</v>
      </c>
      <c r="U47" s="3481"/>
      <c r="V47" s="3481">
        <f>I47</f>
        <v>6050</v>
      </c>
      <c r="W47" s="3481"/>
      <c r="X47" s="1542"/>
      <c r="Y47" s="1564"/>
      <c r="Z47" s="1542"/>
      <c r="AA47" s="1542"/>
      <c r="AB47" s="1542"/>
      <c r="AC47" s="1542"/>
    </row>
    <row r="48" spans="1:29" ht="15.75" thickBot="1">
      <c r="A48" s="614" t="s">
        <v>2760</v>
      </c>
      <c r="B48" s="886"/>
      <c r="C48" s="2594">
        <f>R49</f>
        <v>6106</v>
      </c>
      <c r="D48" s="2595"/>
      <c r="E48" s="2596">
        <f>R48</f>
        <v>6005</v>
      </c>
      <c r="F48" s="2596"/>
      <c r="G48" s="2594">
        <f>T48</f>
        <v>6378</v>
      </c>
      <c r="H48" s="2595"/>
      <c r="I48" s="2596">
        <f>V48</f>
        <v>5936</v>
      </c>
      <c r="J48" s="2595"/>
      <c r="K48" s="1589"/>
      <c r="L48" s="2126"/>
      <c r="M48" s="2127"/>
      <c r="N48" s="2127"/>
      <c r="O48" s="2127"/>
      <c r="P48" s="3398" t="str">
        <f>A48</f>
        <v>比较价格（元/平方米）</v>
      </c>
      <c r="Q48" s="3398"/>
      <c r="R48" s="3481">
        <f>IF(F1="售价",ROUND(PRODUCT(R47,AA7:AA46),0),ROUND(PRODUCT(R47,AA7:AA46),1))</f>
        <v>6005</v>
      </c>
      <c r="S48" s="3481"/>
      <c r="T48" s="3481">
        <f>IF(F1="售价",ROUND(PRODUCT(T47,AB7:AB46),0),ROUND(PRODUCT(T47,AB7:AB46),1))</f>
        <v>6378</v>
      </c>
      <c r="U48" s="3481"/>
      <c r="V48" s="3481">
        <f>IF(F1="售价",ROUND(PRODUCT(V47,AC7:AC46),0),ROUND(PRODUCT(V47,AC7:AC46),1))</f>
        <v>5936</v>
      </c>
      <c r="W48" s="3481"/>
      <c r="X48" s="1542"/>
      <c r="Y48" s="1542"/>
      <c r="Z48" s="1542"/>
      <c r="AA48" s="1542"/>
      <c r="AB48" s="1542"/>
      <c r="AC48" s="1542"/>
    </row>
    <row r="49" spans="1:29" ht="15.75" thickBot="1">
      <c r="A49" s="620" t="s">
        <v>2935</v>
      </c>
      <c r="B49" s="621"/>
      <c r="C49" s="2597">
        <f>R49</f>
        <v>6106</v>
      </c>
      <c r="D49" s="2597"/>
      <c r="E49" s="2597"/>
      <c r="F49" s="2597"/>
      <c r="G49" s="2597"/>
      <c r="H49" s="2597"/>
      <c r="I49" s="2597"/>
      <c r="J49" s="2597"/>
      <c r="K49" s="1590"/>
      <c r="L49" s="2126"/>
      <c r="M49" s="2127"/>
      <c r="N49" s="2127"/>
      <c r="O49" s="2127"/>
      <c r="P49" s="3419" t="str">
        <f>A49</f>
        <v>估价对象XX用房的比较价格（楼面单价，元/平方米）</v>
      </c>
      <c r="Q49" s="3420"/>
      <c r="R49" s="3480">
        <f>IF(F1="售价",ROUND(AVERAGE(R48:V48),0),ROUND(AVERAGE(R48:V48),1))</f>
        <v>6106</v>
      </c>
      <c r="S49" s="3480"/>
      <c r="T49" s="3480"/>
      <c r="U49" s="3480"/>
      <c r="V49" s="3480"/>
      <c r="W49" s="348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8.3333333333324155E-4</v>
      </c>
      <c r="F52" s="626" t="str">
        <f>IF(OR(E52&gt;=0.3,E52&lt;=-0.3),"超过30%","")</f>
        <v/>
      </c>
      <c r="G52" s="625">
        <f>IF(G47&lt;G48,G48/G47-1,G47/G48-1)</f>
        <v>6.2999999999999945E-2</v>
      </c>
      <c r="H52" s="626" t="str">
        <f>IF(OR(G52&gt;=0.3,G52&lt;=-0.3),"超过30%","")</f>
        <v/>
      </c>
      <c r="I52" s="625">
        <f>IF(I47&lt;I48,I48/I47-1,I47/I48-1)</f>
        <v>1.9204851752021579E-2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6.2114904246461267E-2</v>
      </c>
      <c r="F53" s="626" t="str">
        <f>IF(OR(E53&gt;=0.2,E53&lt;=-0.2),"超过20%","")</f>
        <v/>
      </c>
      <c r="G53" s="625">
        <f>IF(G48&lt;I48,I48/G48-1,G48/I48-1)</f>
        <v>7.4460916442048442E-2</v>
      </c>
      <c r="H53" s="626" t="str">
        <f>IF(OR(G53&gt;=0.2,G53&lt;=-0.2),"超过20%","")</f>
        <v/>
      </c>
      <c r="I53" s="625">
        <f>IF(I48&lt;E48,E48/I48-1,I48/E48-1)</f>
        <v>1.1623989218328745E-2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3" t="s">
        <v>559</v>
      </c>
      <c r="D54" s="627"/>
      <c r="E54" s="625">
        <f>IF(E47&lt;G47,G47/E47-1,E47/G47-1)</f>
        <v>0</v>
      </c>
      <c r="F54" s="626" t="str">
        <f>IF(OR(E54&gt;=0.3,E54&lt;=-0.3),"超过30%","")</f>
        <v/>
      </c>
      <c r="G54" s="625">
        <f>IF(G47&lt;I47,I47/G47-1,G47/I47-1)</f>
        <v>8.3333333333333037E-3</v>
      </c>
      <c r="H54" s="626" t="str">
        <f>IF(OR(G54&gt;=0.3,G54&lt;=-0.3),"超过30%","")</f>
        <v/>
      </c>
      <c r="I54" s="625">
        <f>IF(I47&lt;E47,E47/I47-1,I47/E47-1)</f>
        <v>8.3333333333333037E-3</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4" t="s">
        <v>529</v>
      </c>
      <c r="B58" s="645"/>
      <c r="C58" s="2756"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3"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3"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3"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1</v>
      </c>
      <c r="D68" s="540">
        <v>1.5</v>
      </c>
      <c r="E68" s="540">
        <v>2</v>
      </c>
      <c r="F68" s="540">
        <v>2.5</v>
      </c>
      <c r="G68" s="540">
        <v>3</v>
      </c>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2557</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2558</v>
      </c>
      <c r="C82" s="2559" t="s">
        <v>2559</v>
      </c>
      <c r="D82" s="2559" t="s">
        <v>2560</v>
      </c>
      <c r="E82" s="2559" t="s">
        <v>2561</v>
      </c>
      <c r="F82" s="2559" t="s">
        <v>2562</v>
      </c>
      <c r="G82" s="2559" t="s">
        <v>2563</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8"/>
      <c r="B86" s="1878" t="s">
        <v>2257</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3182"/>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7"/>
      <c r="B103" s="728"/>
      <c r="C103" s="729">
        <v>0</v>
      </c>
      <c r="D103" s="729">
        <v>50000</v>
      </c>
      <c r="E103" s="729">
        <v>100000</v>
      </c>
      <c r="F103" s="729">
        <v>150000</v>
      </c>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6"/>
      <c r="B104" s="677"/>
      <c r="C104" s="691">
        <v>100</v>
      </c>
      <c r="D104" s="670">
        <v>102</v>
      </c>
      <c r="E104" s="670">
        <v>104</v>
      </c>
      <c r="F104" s="670">
        <v>106</v>
      </c>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80" t="s">
        <v>3189</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180" t="s">
        <v>3015</v>
      </c>
      <c r="D109" s="3180" t="s">
        <v>3016</v>
      </c>
      <c r="E109" s="3180" t="s">
        <v>3017</v>
      </c>
      <c r="F109" s="3181" t="s">
        <v>3019</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2556</v>
      </c>
      <c r="C116" s="3180" t="s">
        <v>3020</v>
      </c>
      <c r="D116" s="3180" t="s">
        <v>3022</v>
      </c>
      <c r="E116" s="3180" t="s">
        <v>3024</v>
      </c>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80" t="s">
        <v>3015</v>
      </c>
      <c r="D122" s="3180" t="s">
        <v>3016</v>
      </c>
      <c r="E122" s="3180" t="s">
        <v>3017</v>
      </c>
      <c r="F122" s="3181" t="s">
        <v>3019</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2261</v>
      </c>
      <c r="D138" s="1907" t="s">
        <v>2262</v>
      </c>
      <c r="E138" s="1908" t="s">
        <v>2263</v>
      </c>
      <c r="F138" s="1909" t="s">
        <v>2264</v>
      </c>
      <c r="G138" s="1907" t="s">
        <v>2265</v>
      </c>
      <c r="H138" s="1910" t="s">
        <v>2266</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2270</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2272</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2273</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2274</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B2" sqref="B2"/>
    </sheetView>
  </sheetViews>
  <sheetFormatPr defaultColWidth="9" defaultRowHeight="14.25"/>
  <cols>
    <col min="1" max="1" width="10.5" style="1330" customWidth="1"/>
    <col min="2" max="2" width="15.75" style="1330" customWidth="1"/>
    <col min="3" max="3" width="17.25" style="1330" customWidth="1"/>
    <col min="4" max="4" width="12.25" style="1330" customWidth="1"/>
    <col min="5" max="5" width="17.25" style="1330" customWidth="1"/>
    <col min="6" max="6" width="12.25" style="1330" customWidth="1"/>
    <col min="7" max="7" width="17" style="1330" customWidth="1"/>
    <col min="8" max="8" width="11.875" style="1330" customWidth="1"/>
    <col min="9" max="9" width="17.125" style="1330" customWidth="1"/>
    <col min="10" max="10" width="14.7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757</v>
      </c>
      <c r="C1" s="503" t="s">
        <v>720</v>
      </c>
      <c r="D1" s="2331" t="s">
        <v>3006</v>
      </c>
      <c r="E1" s="505"/>
      <c r="F1" s="2759" t="s">
        <v>3000</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467</v>
      </c>
      <c r="B2" s="849">
        <f>ROUND(B3*D3/10000,0)</f>
        <v>32720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519</v>
      </c>
      <c r="B3" s="509">
        <f>C49</f>
        <v>17282</v>
      </c>
      <c r="C3" s="851" t="s">
        <v>722</v>
      </c>
      <c r="D3" s="850">
        <f>SUMIF('数据-汇总表'!$C19:$C33,D1,'数据-汇总表'!$E19:$E33)</f>
        <v>18932.93</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5">
      <c r="A4" s="511" t="s">
        <v>521</v>
      </c>
      <c r="B4" s="512"/>
      <c r="C4" s="3404" t="s">
        <v>522</v>
      </c>
      <c r="D4" s="3405"/>
      <c r="E4" s="3428" t="s">
        <v>523</v>
      </c>
      <c r="F4" s="3429"/>
      <c r="G4" s="3404" t="s">
        <v>524</v>
      </c>
      <c r="H4" s="3405"/>
      <c r="I4" s="3404" t="s">
        <v>525</v>
      </c>
      <c r="J4" s="3405"/>
      <c r="K4" s="513" t="s">
        <v>526</v>
      </c>
      <c r="L4" s="2115"/>
      <c r="M4" s="2116"/>
      <c r="N4" s="2116"/>
      <c r="O4" s="2116"/>
      <c r="P4" s="3406" t="s">
        <v>527</v>
      </c>
      <c r="Q4" s="3407"/>
      <c r="R4" s="3392" t="s">
        <v>523</v>
      </c>
      <c r="S4" s="3393"/>
      <c r="T4" s="3392" t="s">
        <v>524</v>
      </c>
      <c r="U4" s="3393"/>
      <c r="V4" s="3412" t="s">
        <v>525</v>
      </c>
      <c r="W4" s="3412"/>
      <c r="X4" s="1550"/>
      <c r="Y4" s="3392" t="s">
        <v>527</v>
      </c>
      <c r="Z4" s="3393"/>
      <c r="AA4" s="3387" t="s">
        <v>523</v>
      </c>
      <c r="AB4" s="3412" t="s">
        <v>524</v>
      </c>
      <c r="AC4" s="3387" t="s">
        <v>525</v>
      </c>
    </row>
    <row r="5" spans="1:29" ht="15">
      <c r="A5" s="514"/>
      <c r="B5" s="515"/>
      <c r="C5" s="3415" t="s">
        <v>2929</v>
      </c>
      <c r="D5" s="3416"/>
      <c r="E5" s="3478" t="s">
        <v>3031</v>
      </c>
      <c r="F5" s="3431"/>
      <c r="G5" s="3479" t="s">
        <v>3028</v>
      </c>
      <c r="H5" s="3416"/>
      <c r="I5" s="3479" t="s">
        <v>3032</v>
      </c>
      <c r="J5" s="3416"/>
      <c r="K5" s="513"/>
      <c r="L5" s="2115"/>
      <c r="M5" s="2116"/>
      <c r="N5" s="2116"/>
      <c r="O5" s="2116"/>
      <c r="P5" s="3408"/>
      <c r="Q5" s="3409"/>
      <c r="R5" s="3394"/>
      <c r="S5" s="3395"/>
      <c r="T5" s="3394"/>
      <c r="U5" s="3395"/>
      <c r="V5" s="3412"/>
      <c r="W5" s="3412"/>
      <c r="X5" s="1550"/>
      <c r="Y5" s="3394"/>
      <c r="Z5" s="3395"/>
      <c r="AA5" s="3388"/>
      <c r="AB5" s="3412"/>
      <c r="AC5" s="3388"/>
    </row>
    <row r="6" spans="1:29" ht="15.75" thickBot="1">
      <c r="A6" s="516"/>
      <c r="B6" s="517"/>
      <c r="C6" s="3413" t="s">
        <v>2933</v>
      </c>
      <c r="D6" s="3414"/>
      <c r="E6" s="3432" t="s">
        <v>2933</v>
      </c>
      <c r="F6" s="3433"/>
      <c r="G6" s="3413" t="s">
        <v>2933</v>
      </c>
      <c r="H6" s="3414"/>
      <c r="I6" s="3413" t="s">
        <v>2933</v>
      </c>
      <c r="J6" s="3414"/>
      <c r="K6" s="513" t="s">
        <v>528</v>
      </c>
      <c r="L6" s="2115"/>
      <c r="M6" s="2116"/>
      <c r="N6" s="2116"/>
      <c r="O6" s="2116"/>
      <c r="P6" s="3410"/>
      <c r="Q6" s="3411"/>
      <c r="R6" s="3394"/>
      <c r="S6" s="3395"/>
      <c r="T6" s="3396"/>
      <c r="U6" s="3397"/>
      <c r="V6" s="3412"/>
      <c r="W6" s="3412"/>
      <c r="X6" s="1550"/>
      <c r="Y6" s="3396"/>
      <c r="Z6" s="3397"/>
      <c r="AA6" s="3389"/>
      <c r="AB6" s="3412"/>
      <c r="AC6" s="3389"/>
    </row>
    <row r="7" spans="1:29" s="1213" customFormat="1" ht="15.75" thickBot="1">
      <c r="A7" s="2864"/>
      <c r="B7" s="2871" t="s">
        <v>529</v>
      </c>
      <c r="C7" s="518">
        <f>'数据-取费表'!B2</f>
        <v>43815</v>
      </c>
      <c r="D7" s="519">
        <v>100</v>
      </c>
      <c r="E7" s="520">
        <f>C7</f>
        <v>43815</v>
      </c>
      <c r="F7" s="521">
        <f>SUMIF(58:58,YEAR(E7)&amp;"-"&amp;MONTH(E7),59:59)</f>
        <v>100</v>
      </c>
      <c r="G7" s="520">
        <f>C7</f>
        <v>43815</v>
      </c>
      <c r="H7" s="519">
        <f>SUMIF(58:58,YEAR(G7)&amp;"-"&amp;MONTH(G7),59:59)</f>
        <v>100</v>
      </c>
      <c r="I7" s="520">
        <f>C7</f>
        <v>43815</v>
      </c>
      <c r="J7" s="519">
        <f>SUMIF(58:58,YEAR(I7)&amp;"-"&amp;MONTH(I7),59:59)</f>
        <v>100</v>
      </c>
      <c r="K7" s="523"/>
      <c r="L7" s="2117"/>
      <c r="M7" s="2118"/>
      <c r="N7" s="2118"/>
      <c r="O7" s="2118"/>
      <c r="P7" s="3390" t="s">
        <v>530</v>
      </c>
      <c r="Q7" s="3399"/>
      <c r="R7" s="1551" t="s">
        <v>8</v>
      </c>
      <c r="S7" s="1552">
        <f t="shared" ref="S7:S15" si="0">F7</f>
        <v>100</v>
      </c>
      <c r="T7" s="1551" t="s">
        <v>8</v>
      </c>
      <c r="U7" s="1552">
        <f t="shared" ref="U7:U15" si="1">H7</f>
        <v>100</v>
      </c>
      <c r="V7" s="1551" t="s">
        <v>8</v>
      </c>
      <c r="W7" s="1552">
        <f t="shared" ref="W7:W15" si="2">J7</f>
        <v>100</v>
      </c>
      <c r="X7" s="1553"/>
      <c r="Y7" s="3390" t="s">
        <v>530</v>
      </c>
      <c r="Z7" s="3391"/>
      <c r="AA7" s="1554">
        <f>D7/F7</f>
        <v>1</v>
      </c>
      <c r="AB7" s="1554">
        <f>D7/H7</f>
        <v>1</v>
      </c>
      <c r="AC7" s="1554">
        <f>D7/J7</f>
        <v>1</v>
      </c>
    </row>
    <row r="8" spans="1:29" s="1213" customFormat="1" ht="15.75" thickBot="1">
      <c r="A8" s="2865"/>
      <c r="B8" s="2872" t="s">
        <v>531</v>
      </c>
      <c r="C8" s="524" t="s">
        <v>576</v>
      </c>
      <c r="D8" s="519">
        <v>100</v>
      </c>
      <c r="E8" s="524" t="s">
        <v>3002</v>
      </c>
      <c r="F8" s="521">
        <f>SUMIF(61:61,E8,62:62)-SUMIF(61:61,C8,62:62)+100</f>
        <v>100</v>
      </c>
      <c r="G8" s="524" t="s">
        <v>3002</v>
      </c>
      <c r="H8" s="519">
        <f>SUMIF(61:61,G8,62:62)-SUMIF(61:61,C8,62:62)+100</f>
        <v>100</v>
      </c>
      <c r="I8" s="524" t="s">
        <v>3002</v>
      </c>
      <c r="J8" s="519">
        <f>SUMIF(61:61,I8,62:62)-SUMIF(61:61,C8,62:62)+100</f>
        <v>100</v>
      </c>
      <c r="K8" s="523"/>
      <c r="L8" s="2117"/>
      <c r="M8" s="2118"/>
      <c r="N8" s="2118"/>
      <c r="O8" s="2118"/>
      <c r="P8" s="3390" t="s">
        <v>533</v>
      </c>
      <c r="Q8" s="3391"/>
      <c r="R8" s="1551" t="s">
        <v>8</v>
      </c>
      <c r="S8" s="1552">
        <f t="shared" si="0"/>
        <v>100</v>
      </c>
      <c r="T8" s="1551" t="s">
        <v>8</v>
      </c>
      <c r="U8" s="1552">
        <f t="shared" si="1"/>
        <v>100</v>
      </c>
      <c r="V8" s="1551" t="s">
        <v>8</v>
      </c>
      <c r="W8" s="1552">
        <f t="shared" si="2"/>
        <v>100</v>
      </c>
      <c r="X8" s="1553"/>
      <c r="Y8" s="3390" t="s">
        <v>533</v>
      </c>
      <c r="Z8" s="3391"/>
      <c r="AA8" s="1554">
        <f t="shared" ref="AA8:AA46" si="3">D8/F8</f>
        <v>1</v>
      </c>
      <c r="AB8" s="1554">
        <f t="shared" ref="AB8:AB46" si="4">D8/H8</f>
        <v>1</v>
      </c>
      <c r="AC8" s="1554">
        <f t="shared" ref="AC8:AC46" si="5">D8/J8</f>
        <v>1</v>
      </c>
    </row>
    <row r="9" spans="1:29" s="1213" customFormat="1" ht="15">
      <c r="A9" s="2866"/>
      <c r="B9" s="2873" t="s">
        <v>2756</v>
      </c>
      <c r="C9" s="3179" t="s">
        <v>3029</v>
      </c>
      <c r="D9" s="253">
        <v>100</v>
      </c>
      <c r="E9" s="859" t="s">
        <v>3006</v>
      </c>
      <c r="F9" s="253">
        <f>SUMIF(63:63,E9,64:64)-SUMIF(63:63,C9,64:64)+100</f>
        <v>100</v>
      </c>
      <c r="G9" s="859" t="s">
        <v>3006</v>
      </c>
      <c r="H9" s="253">
        <f>SUMIF(63:63,G9,64:64)-SUMIF(63:63,C9,64:64)+100</f>
        <v>100</v>
      </c>
      <c r="I9" s="859" t="s">
        <v>3006</v>
      </c>
      <c r="J9" s="253">
        <f>SUMIF(63:63,I9,64:64)-SUMIF(63:63,C9,64:64)+100</f>
        <v>100</v>
      </c>
      <c r="K9" s="523"/>
      <c r="L9" s="2117"/>
      <c r="M9" s="2118"/>
      <c r="N9" s="2118"/>
      <c r="O9" s="2119"/>
      <c r="P9" s="3398"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867"/>
      <c r="B10" s="2872" t="s">
        <v>2757</v>
      </c>
      <c r="C10" s="860" t="s">
        <v>3030</v>
      </c>
      <c r="D10" s="254">
        <v>100</v>
      </c>
      <c r="E10" s="860" t="s">
        <v>3030</v>
      </c>
      <c r="F10" s="254">
        <f>SUMIF(65:65,E10,66:66)-SUMIF(65:65,C10,66:66)+100</f>
        <v>100</v>
      </c>
      <c r="G10" s="860" t="s">
        <v>3030</v>
      </c>
      <c r="H10" s="254">
        <f>SUMIF(65:65,G10,66:66)-SUMIF(65:65,C10,66:66)+100</f>
        <v>100</v>
      </c>
      <c r="I10" s="860" t="s">
        <v>3030</v>
      </c>
      <c r="J10" s="254">
        <f>SUMIF(65:65,I10,66:66)-SUMIF(65:65,C10,66:66)+100</f>
        <v>100</v>
      </c>
      <c r="K10" s="583">
        <v>2</v>
      </c>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8"/>
      <c r="B11" s="2872" t="s">
        <v>2758</v>
      </c>
      <c r="C11" s="532">
        <v>2</v>
      </c>
      <c r="D11" s="254">
        <v>100</v>
      </c>
      <c r="E11" s="532">
        <v>2</v>
      </c>
      <c r="F11" s="254">
        <f>LOOKUP(E11,68:68,69:69)-LOOKUP(C11,68:68,69:69)+100</f>
        <v>100</v>
      </c>
      <c r="G11" s="533">
        <v>2</v>
      </c>
      <c r="H11" s="254">
        <f>LOOKUP(G11,68:68,69:69)-LOOKUP(C11,68:68,69:69)+100</f>
        <v>100</v>
      </c>
      <c r="I11" s="532">
        <v>2</v>
      </c>
      <c r="J11" s="254">
        <f>LOOKUP(I11,68:68,69:69)-LOOKUP(C11,68:68,69:69)+100</f>
        <v>100</v>
      </c>
      <c r="K11" s="583">
        <v>2</v>
      </c>
      <c r="L11" s="2122"/>
      <c r="M11" s="2116"/>
      <c r="N11" s="2116"/>
      <c r="O11" s="2123"/>
      <c r="P11" s="3398"/>
      <c r="Q11" s="1144" t="str">
        <f t="shared" si="6"/>
        <v>容积率</v>
      </c>
      <c r="R11" s="1551" t="s">
        <v>8</v>
      </c>
      <c r="S11" s="1552">
        <f t="shared" si="0"/>
        <v>100</v>
      </c>
      <c r="T11" s="1551" t="s">
        <v>8</v>
      </c>
      <c r="U11" s="1552">
        <f t="shared" si="1"/>
        <v>100</v>
      </c>
      <c r="V11" s="1551" t="s">
        <v>8</v>
      </c>
      <c r="W11" s="1552">
        <f t="shared" si="2"/>
        <v>100</v>
      </c>
      <c r="X11" s="1553"/>
      <c r="Y11" s="3355"/>
      <c r="Z11" s="1143" t="str">
        <f t="shared" si="7"/>
        <v>容积率</v>
      </c>
      <c r="AA11" s="1554">
        <f t="shared" si="3"/>
        <v>1</v>
      </c>
      <c r="AB11" s="1554">
        <f t="shared" si="4"/>
        <v>1</v>
      </c>
      <c r="AC11" s="1554">
        <f t="shared" si="5"/>
        <v>1</v>
      </c>
    </row>
    <row r="12" spans="1:29" s="1213"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75"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398"/>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 t="shared" si="3"/>
        <v>1</v>
      </c>
      <c r="AB14" s="1554">
        <f t="shared" si="4"/>
        <v>1</v>
      </c>
      <c r="AC14" s="1554">
        <f t="shared" si="5"/>
        <v>1</v>
      </c>
    </row>
    <row r="15" spans="1:29" ht="57">
      <c r="A15" s="2862"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v>2</v>
      </c>
      <c r="L15" s="2124"/>
      <c r="M15" s="2116"/>
      <c r="N15" s="2116"/>
      <c r="O15" s="2123"/>
      <c r="P15" s="3400" t="s">
        <v>540</v>
      </c>
      <c r="Q15" s="1555" t="str">
        <f t="shared" si="6"/>
        <v>商业繁华度</v>
      </c>
      <c r="R15" s="1556" t="s">
        <v>8</v>
      </c>
      <c r="S15" s="1557">
        <f t="shared" si="0"/>
        <v>100</v>
      </c>
      <c r="T15" s="1556" t="s">
        <v>8</v>
      </c>
      <c r="U15" s="1557">
        <f t="shared" si="1"/>
        <v>100</v>
      </c>
      <c r="V15" s="1556" t="s">
        <v>8</v>
      </c>
      <c r="W15" s="1557">
        <f t="shared" si="2"/>
        <v>100</v>
      </c>
      <c r="X15" s="1550"/>
      <c r="Y15" s="3400" t="s">
        <v>540</v>
      </c>
      <c r="Z15" s="1558" t="str">
        <f t="shared" si="7"/>
        <v>商业繁华度</v>
      </c>
      <c r="AA15" s="1559">
        <f t="shared" si="3"/>
        <v>1</v>
      </c>
      <c r="AB15" s="1559">
        <f t="shared" si="4"/>
        <v>1</v>
      </c>
      <c r="AC15" s="1559">
        <f t="shared" si="5"/>
        <v>1</v>
      </c>
    </row>
    <row r="16" spans="1:29" ht="15">
      <c r="A16" s="531"/>
      <c r="B16" s="868"/>
      <c r="C16" s="575" t="s">
        <v>3013</v>
      </c>
      <c r="D16" s="554"/>
      <c r="E16" s="575" t="s">
        <v>3013</v>
      </c>
      <c r="F16" s="556"/>
      <c r="G16" s="575" t="s">
        <v>3013</v>
      </c>
      <c r="H16" s="558"/>
      <c r="I16" s="575" t="s">
        <v>3013</v>
      </c>
      <c r="J16" s="554"/>
      <c r="K16" s="897"/>
      <c r="L16" s="2124"/>
      <c r="M16" s="2116"/>
      <c r="N16" s="2116"/>
      <c r="O16" s="2123"/>
      <c r="P16" s="3401"/>
      <c r="Q16" s="1555"/>
      <c r="R16" s="1556"/>
      <c r="S16" s="1557"/>
      <c r="T16" s="1556"/>
      <c r="U16" s="1557"/>
      <c r="V16" s="1556"/>
      <c r="W16" s="1557"/>
      <c r="X16" s="1550"/>
      <c r="Y16" s="3401"/>
      <c r="Z16" s="1558"/>
      <c r="AA16" s="1559">
        <v>1</v>
      </c>
      <c r="AB16" s="1559">
        <v>1</v>
      </c>
      <c r="AC16" s="1559">
        <v>1</v>
      </c>
    </row>
    <row r="17" spans="1:29" ht="71.2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v>2</v>
      </c>
      <c r="L17" s="2124"/>
      <c r="M17" s="2116"/>
      <c r="N17" s="2116"/>
      <c r="O17" s="2123"/>
      <c r="P17" s="3401"/>
      <c r="Q17" s="1555" t="str">
        <f>B17</f>
        <v>交通便捷度</v>
      </c>
      <c r="R17" s="1556" t="s">
        <v>8</v>
      </c>
      <c r="S17" s="1557">
        <f>F17</f>
        <v>100</v>
      </c>
      <c r="T17" s="1556" t="s">
        <v>8</v>
      </c>
      <c r="U17" s="1557">
        <f>H17</f>
        <v>100</v>
      </c>
      <c r="V17" s="1556" t="s">
        <v>8</v>
      </c>
      <c r="W17" s="1557">
        <f>J17</f>
        <v>100</v>
      </c>
      <c r="X17" s="1550"/>
      <c r="Y17" s="3401"/>
      <c r="Z17" s="1558" t="str">
        <f>Q17</f>
        <v>交通便捷度</v>
      </c>
      <c r="AA17" s="1559">
        <f t="shared" si="3"/>
        <v>1</v>
      </c>
      <c r="AB17" s="1559">
        <f t="shared" si="4"/>
        <v>1</v>
      </c>
      <c r="AC17" s="1559">
        <f t="shared" si="5"/>
        <v>1</v>
      </c>
    </row>
    <row r="18" spans="1:29" ht="15">
      <c r="A18" s="531"/>
      <c r="B18" s="594"/>
      <c r="C18" s="872" t="s">
        <v>3025</v>
      </c>
      <c r="D18" s="558"/>
      <c r="E18" s="567" t="s">
        <v>3025</v>
      </c>
      <c r="F18" s="562"/>
      <c r="G18" s="567" t="s">
        <v>3025</v>
      </c>
      <c r="H18" s="554"/>
      <c r="I18" s="567" t="s">
        <v>3025</v>
      </c>
      <c r="J18" s="554"/>
      <c r="K18" s="897"/>
      <c r="L18" s="2124"/>
      <c r="M18" s="2116"/>
      <c r="N18" s="2116"/>
      <c r="O18" s="2123"/>
      <c r="P18" s="3401"/>
      <c r="Q18" s="1555"/>
      <c r="R18" s="1556"/>
      <c r="S18" s="1557"/>
      <c r="T18" s="1556"/>
      <c r="U18" s="1557"/>
      <c r="V18" s="1556"/>
      <c r="W18" s="1557"/>
      <c r="X18" s="1550"/>
      <c r="Y18" s="3401"/>
      <c r="Z18" s="1558"/>
      <c r="AA18" s="1559">
        <v>1</v>
      </c>
      <c r="AB18" s="1559">
        <v>1</v>
      </c>
      <c r="AC18" s="1559">
        <v>1</v>
      </c>
    </row>
    <row r="19" spans="1:29" ht="42.75">
      <c r="A19" s="531"/>
      <c r="B19" s="2561"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101</v>
      </c>
      <c r="K19" s="896">
        <v>1</v>
      </c>
      <c r="L19" s="2124"/>
      <c r="M19" s="2116"/>
      <c r="N19" s="2116"/>
      <c r="O19" s="2123"/>
      <c r="P19" s="3401"/>
      <c r="Q19" s="1555" t="str">
        <f>B19</f>
        <v>公共配套设施</v>
      </c>
      <c r="R19" s="1556" t="s">
        <v>8</v>
      </c>
      <c r="S19" s="1557">
        <f>F19</f>
        <v>100</v>
      </c>
      <c r="T19" s="1556" t="s">
        <v>8</v>
      </c>
      <c r="U19" s="1557">
        <f>H19</f>
        <v>100</v>
      </c>
      <c r="V19" s="1556" t="s">
        <v>8</v>
      </c>
      <c r="W19" s="1557">
        <f>J19</f>
        <v>101</v>
      </c>
      <c r="X19" s="1550"/>
      <c r="Y19" s="3401"/>
      <c r="Z19" s="1558" t="str">
        <f>Q19</f>
        <v>公共配套设施</v>
      </c>
      <c r="AA19" s="1559">
        <f t="shared" si="3"/>
        <v>1</v>
      </c>
      <c r="AB19" s="1559">
        <f t="shared" si="4"/>
        <v>1</v>
      </c>
      <c r="AC19" s="1559">
        <f t="shared" si="5"/>
        <v>0.99009900990099009</v>
      </c>
    </row>
    <row r="20" spans="1:29" ht="15">
      <c r="A20" s="531"/>
      <c r="B20" s="594"/>
      <c r="C20" s="575" t="s">
        <v>3013</v>
      </c>
      <c r="D20" s="554"/>
      <c r="E20" s="575" t="s">
        <v>3013</v>
      </c>
      <c r="F20" s="556"/>
      <c r="G20" s="575" t="s">
        <v>3013</v>
      </c>
      <c r="H20" s="554"/>
      <c r="I20" s="575" t="s">
        <v>3025</v>
      </c>
      <c r="J20" s="554"/>
      <c r="K20" s="897"/>
      <c r="L20" s="2124"/>
      <c r="M20" s="2116"/>
      <c r="N20" s="2116"/>
      <c r="O20" s="2123"/>
      <c r="P20" s="3401"/>
      <c r="Q20" s="1555"/>
      <c r="R20" s="1556"/>
      <c r="S20" s="1557"/>
      <c r="T20" s="1556"/>
      <c r="U20" s="1557"/>
      <c r="V20" s="1556"/>
      <c r="W20" s="1557"/>
      <c r="X20" s="1550"/>
      <c r="Y20" s="3401"/>
      <c r="Z20" s="1558"/>
      <c r="AA20" s="1559">
        <v>1</v>
      </c>
      <c r="AB20" s="1559">
        <v>1</v>
      </c>
      <c r="AC20" s="1559">
        <v>1</v>
      </c>
    </row>
    <row r="21" spans="1:29" ht="28.5">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v>1</v>
      </c>
      <c r="L21" s="2124"/>
      <c r="M21" s="2116"/>
      <c r="N21" s="2116"/>
      <c r="O21" s="2123"/>
      <c r="P21" s="3401"/>
      <c r="Q21" s="2540" t="str">
        <f>B21</f>
        <v>基础设施水平</v>
      </c>
      <c r="R21" s="1556" t="s">
        <v>8</v>
      </c>
      <c r="S21" s="1557">
        <f>F21</f>
        <v>100</v>
      </c>
      <c r="T21" s="1556" t="s">
        <v>8</v>
      </c>
      <c r="U21" s="1557">
        <f>H21</f>
        <v>100</v>
      </c>
      <c r="V21" s="1556" t="s">
        <v>8</v>
      </c>
      <c r="W21" s="1557">
        <f>J21</f>
        <v>100</v>
      </c>
      <c r="X21" s="2542"/>
      <c r="Y21" s="3401"/>
      <c r="Z21" s="2541" t="str">
        <f>Q21</f>
        <v>基础设施水平</v>
      </c>
      <c r="AA21" s="1559">
        <f t="shared" ref="AA21" si="8">D21/F21</f>
        <v>1</v>
      </c>
      <c r="AB21" s="1559">
        <f t="shared" ref="AB21" si="9">D21/H21</f>
        <v>1</v>
      </c>
      <c r="AC21" s="1559">
        <f t="shared" ref="AC21" si="10">D21/J21</f>
        <v>1</v>
      </c>
    </row>
    <row r="22" spans="1:29" ht="15">
      <c r="A22" s="531"/>
      <c r="B22" s="920"/>
      <c r="C22" s="872" t="s">
        <v>3021</v>
      </c>
      <c r="D22" s="554"/>
      <c r="E22" s="872" t="s">
        <v>3021</v>
      </c>
      <c r="F22" s="556"/>
      <c r="G22" s="872" t="s">
        <v>3021</v>
      </c>
      <c r="H22" s="554"/>
      <c r="I22" s="872" t="s">
        <v>3021</v>
      </c>
      <c r="J22" s="554"/>
      <c r="K22" s="2563"/>
      <c r="L22" s="2124"/>
      <c r="M22" s="2116"/>
      <c r="N22" s="2116"/>
      <c r="O22" s="2123"/>
      <c r="P22" s="3401"/>
      <c r="Q22" s="2540"/>
      <c r="R22" s="1556"/>
      <c r="S22" s="1557"/>
      <c r="T22" s="1556"/>
      <c r="U22" s="1557"/>
      <c r="V22" s="1556"/>
      <c r="W22" s="1557"/>
      <c r="X22" s="2542"/>
      <c r="Y22" s="3401"/>
      <c r="Z22" s="2541"/>
      <c r="AA22" s="1559">
        <v>1</v>
      </c>
      <c r="AB22" s="1559">
        <v>1</v>
      </c>
      <c r="AC22" s="1559">
        <v>1</v>
      </c>
    </row>
    <row r="23" spans="1:29" ht="42.75">
      <c r="A23" s="531"/>
      <c r="B23" s="870" t="s">
        <v>297</v>
      </c>
      <c r="C23" s="898"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96">
        <v>2</v>
      </c>
      <c r="L23" s="2124"/>
      <c r="M23" s="2116"/>
      <c r="N23" s="2116"/>
      <c r="O23" s="2123"/>
      <c r="P23" s="3401"/>
      <c r="Q23" s="1555" t="str">
        <f>B23</f>
        <v>自然及人文环境</v>
      </c>
      <c r="R23" s="1556" t="s">
        <v>8</v>
      </c>
      <c r="S23" s="1557">
        <f>F23</f>
        <v>98</v>
      </c>
      <c r="T23" s="1556" t="s">
        <v>8</v>
      </c>
      <c r="U23" s="1557">
        <f>H23</f>
        <v>98</v>
      </c>
      <c r="V23" s="1556" t="s">
        <v>8</v>
      </c>
      <c r="W23" s="1557">
        <f>J23</f>
        <v>98</v>
      </c>
      <c r="X23" s="1550"/>
      <c r="Y23" s="3401"/>
      <c r="Z23" s="1558" t="str">
        <f>Q23</f>
        <v>自然及人文环境</v>
      </c>
      <c r="AA23" s="1559">
        <f t="shared" si="3"/>
        <v>1.0204081632653061</v>
      </c>
      <c r="AB23" s="1559">
        <f t="shared" si="4"/>
        <v>1.0204081632653061</v>
      </c>
      <c r="AC23" s="1559">
        <f t="shared" si="5"/>
        <v>1.0204081632653061</v>
      </c>
    </row>
    <row r="24" spans="1:29" ht="15">
      <c r="A24" s="531"/>
      <c r="B24" s="594"/>
      <c r="C24" s="575" t="s">
        <v>3025</v>
      </c>
      <c r="D24" s="554"/>
      <c r="E24" s="555" t="s">
        <v>3013</v>
      </c>
      <c r="F24" s="556"/>
      <c r="G24" s="555" t="s">
        <v>3013</v>
      </c>
      <c r="H24" s="554"/>
      <c r="I24" s="555" t="s">
        <v>3013</v>
      </c>
      <c r="J24" s="554"/>
      <c r="K24" s="897"/>
      <c r="L24" s="2124"/>
      <c r="M24" s="2116"/>
      <c r="N24" s="2116"/>
      <c r="O24" s="2123"/>
      <c r="P24" s="3401"/>
      <c r="Q24" s="1555"/>
      <c r="R24" s="1556"/>
      <c r="S24" s="1557"/>
      <c r="T24" s="1556"/>
      <c r="U24" s="1557"/>
      <c r="V24" s="1556"/>
      <c r="W24" s="1557"/>
      <c r="X24" s="1550"/>
      <c r="Y24" s="3401"/>
      <c r="Z24" s="1558"/>
      <c r="AA24" s="1559">
        <v>1</v>
      </c>
      <c r="AB24" s="1559">
        <v>1</v>
      </c>
      <c r="AC24" s="1559">
        <v>1</v>
      </c>
    </row>
    <row r="25" spans="1:29" ht="15">
      <c r="A25" s="531"/>
      <c r="B25" s="526" t="s">
        <v>547</v>
      </c>
      <c r="C25" s="582" t="s">
        <v>3055</v>
      </c>
      <c r="D25" s="539">
        <v>100</v>
      </c>
      <c r="E25" s="582" t="s">
        <v>3055</v>
      </c>
      <c r="F25" s="574">
        <f>SUMIF(86:86,E25,87:87)-SUMIF(86:86,C25,87:87)+100</f>
        <v>100</v>
      </c>
      <c r="G25" s="582" t="s">
        <v>3055</v>
      </c>
      <c r="H25" s="539">
        <f>SUMIF(86:86,G25,87:87)-SUMIF(86:86,C25,87:87)+100</f>
        <v>100</v>
      </c>
      <c r="I25" s="582" t="s">
        <v>3055</v>
      </c>
      <c r="J25" s="539">
        <f>SUMIF(86:86,I25,87:87)-SUMIF(86:86,C25,87:87)+100</f>
        <v>100</v>
      </c>
      <c r="K25" s="583">
        <v>2</v>
      </c>
      <c r="L25" s="2124"/>
      <c r="M25" s="2116"/>
      <c r="N25" s="2116"/>
      <c r="O25" s="2123"/>
      <c r="P25" s="3401"/>
      <c r="Q25" s="1555" t="str">
        <f t="shared" ref="Q25:Q46" si="11">B25</f>
        <v>临街状况</v>
      </c>
      <c r="R25" s="1556" t="s">
        <v>8</v>
      </c>
      <c r="S25" s="1557">
        <f>F25</f>
        <v>100</v>
      </c>
      <c r="T25" s="1556" t="s">
        <v>8</v>
      </c>
      <c r="U25" s="1557">
        <f>H25</f>
        <v>100</v>
      </c>
      <c r="V25" s="1556" t="s">
        <v>8</v>
      </c>
      <c r="W25" s="1557">
        <f>J25</f>
        <v>100</v>
      </c>
      <c r="X25" s="1550"/>
      <c r="Y25" s="3401"/>
      <c r="Z25" s="1558" t="str">
        <f>Q25</f>
        <v>临街状况</v>
      </c>
      <c r="AA25" s="1559">
        <f t="shared" si="3"/>
        <v>1</v>
      </c>
      <c r="AB25" s="1559">
        <f t="shared" si="4"/>
        <v>1</v>
      </c>
      <c r="AC25" s="1559">
        <f t="shared" si="5"/>
        <v>1</v>
      </c>
    </row>
    <row r="26" spans="1:29" ht="15">
      <c r="A26" s="531"/>
      <c r="B26" s="876" t="s">
        <v>758</v>
      </c>
      <c r="C26" s="3183" t="s">
        <v>3077</v>
      </c>
      <c r="D26" s="539">
        <v>100</v>
      </c>
      <c r="E26" s="3183" t="s">
        <v>3077</v>
      </c>
      <c r="F26" s="574">
        <f>SUMIF(88:88,E26,89:89)-SUMIF(88:88,C26,89:89)+100</f>
        <v>100</v>
      </c>
      <c r="G26" s="3183" t="s">
        <v>3077</v>
      </c>
      <c r="H26" s="539">
        <f>SUMIF(88:88,G26,89:89)-SUMIF(88:88,C26,89:89)+100</f>
        <v>100</v>
      </c>
      <c r="I26" s="3183" t="s">
        <v>3077</v>
      </c>
      <c r="J26" s="539">
        <f>SUMIF(88:88,I26,89:89)-SUMIF(88:88,C26,89:89)+100</f>
        <v>100</v>
      </c>
      <c r="K26" s="580"/>
      <c r="L26" s="2124"/>
      <c r="M26" s="2116"/>
      <c r="N26" s="2116"/>
      <c r="O26" s="2123"/>
      <c r="P26" s="3401"/>
      <c r="Q26" s="1555" t="str">
        <f t="shared" si="11"/>
        <v>平面位置/可视性</v>
      </c>
      <c r="R26" s="1556" t="s">
        <v>8</v>
      </c>
      <c r="S26" s="1557">
        <f>F26</f>
        <v>100</v>
      </c>
      <c r="T26" s="1556" t="s">
        <v>8</v>
      </c>
      <c r="U26" s="1557">
        <f>H26</f>
        <v>100</v>
      </c>
      <c r="V26" s="1556" t="s">
        <v>8</v>
      </c>
      <c r="W26" s="1557">
        <f>J26</f>
        <v>100</v>
      </c>
      <c r="X26" s="1550"/>
      <c r="Y26" s="3401"/>
      <c r="Z26" s="1558" t="str">
        <f>Q26</f>
        <v>平面位置/可视性</v>
      </c>
      <c r="AA26" s="1559">
        <f t="shared" si="3"/>
        <v>1</v>
      </c>
      <c r="AB26" s="1559">
        <f t="shared" si="4"/>
        <v>1</v>
      </c>
      <c r="AC26" s="1559">
        <f t="shared" si="5"/>
        <v>1</v>
      </c>
    </row>
    <row r="27" spans="1:29" s="1213"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01"/>
      <c r="Q27" s="1144" t="str">
        <f t="shared" si="11"/>
        <v>人流量</v>
      </c>
      <c r="R27" s="1551" t="s">
        <v>8</v>
      </c>
      <c r="S27" s="1552">
        <f>F27</f>
        <v>100</v>
      </c>
      <c r="T27" s="1551" t="s">
        <v>8</v>
      </c>
      <c r="U27" s="1552">
        <f>H27</f>
        <v>100</v>
      </c>
      <c r="V27" s="1551" t="s">
        <v>8</v>
      </c>
      <c r="W27" s="1552">
        <f>J27</f>
        <v>100</v>
      </c>
      <c r="X27" s="1553"/>
      <c r="Y27" s="3401"/>
      <c r="Z27" s="1143" t="str">
        <f>Q27</f>
        <v>人流量</v>
      </c>
      <c r="AA27" s="1559">
        <f>D27/F27</f>
        <v>1</v>
      </c>
      <c r="AB27" s="1559">
        <f>D27/H27</f>
        <v>1</v>
      </c>
      <c r="AC27" s="1559">
        <f>D27/J27</f>
        <v>1</v>
      </c>
    </row>
    <row r="28" spans="1:29" ht="15">
      <c r="A28" s="531"/>
      <c r="B28" s="526" t="s">
        <v>761</v>
      </c>
      <c r="C28" s="582" t="s">
        <v>3052</v>
      </c>
      <c r="D28" s="539">
        <v>100</v>
      </c>
      <c r="E28" s="582" t="s">
        <v>3052</v>
      </c>
      <c r="F28" s="574">
        <f>SUMIF(92:92,E28,93:93)-SUMIF(92:92,C28,93:93)+100</f>
        <v>100</v>
      </c>
      <c r="G28" s="582" t="s">
        <v>3052</v>
      </c>
      <c r="H28" s="539">
        <f>SUMIF(92:92,G28,93:93)-SUMIF(92:92,C28,93:93)+100</f>
        <v>100</v>
      </c>
      <c r="I28" s="582" t="s">
        <v>3052</v>
      </c>
      <c r="J28" s="539">
        <f>SUMIF(92:92,I28,93:93)-SUMIF(92:92,C28,93:93)+100</f>
        <v>100</v>
      </c>
      <c r="K28" s="580"/>
      <c r="L28" s="2124"/>
      <c r="M28" s="2116"/>
      <c r="N28" s="2116"/>
      <c r="O28" s="2123"/>
      <c r="P28" s="3401"/>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01"/>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01"/>
      <c r="Q29" s="1555">
        <f t="shared" si="11"/>
        <v>111</v>
      </c>
      <c r="R29" s="1556" t="s">
        <v>8</v>
      </c>
      <c r="S29" s="1557">
        <f t="shared" si="12"/>
        <v>100</v>
      </c>
      <c r="T29" s="1556" t="s">
        <v>8</v>
      </c>
      <c r="U29" s="1557">
        <f t="shared" si="13"/>
        <v>100</v>
      </c>
      <c r="V29" s="1556" t="s">
        <v>8</v>
      </c>
      <c r="W29" s="1557">
        <f t="shared" si="14"/>
        <v>100</v>
      </c>
      <c r="X29" s="1550"/>
      <c r="Y29" s="3401"/>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01"/>
      <c r="Q30" s="1555">
        <f t="shared" si="11"/>
        <v>111</v>
      </c>
      <c r="R30" s="1556" t="s">
        <v>8</v>
      </c>
      <c r="S30" s="1557">
        <f t="shared" si="12"/>
        <v>100</v>
      </c>
      <c r="T30" s="1556" t="s">
        <v>8</v>
      </c>
      <c r="U30" s="1557">
        <f t="shared" si="13"/>
        <v>100</v>
      </c>
      <c r="V30" s="1556" t="s">
        <v>8</v>
      </c>
      <c r="W30" s="1557">
        <f t="shared" si="14"/>
        <v>100</v>
      </c>
      <c r="X30" s="1550"/>
      <c r="Y30" s="3401"/>
      <c r="Z30" s="1558">
        <f t="shared" si="15"/>
        <v>111</v>
      </c>
      <c r="AA30" s="1559">
        <f t="shared" si="3"/>
        <v>1</v>
      </c>
      <c r="AB30" s="1559">
        <f t="shared" si="4"/>
        <v>1</v>
      </c>
      <c r="AC30" s="1559">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01"/>
      <c r="Q31" s="1555">
        <f t="shared" si="11"/>
        <v>111</v>
      </c>
      <c r="R31" s="1556" t="s">
        <v>8</v>
      </c>
      <c r="S31" s="1557">
        <f t="shared" si="12"/>
        <v>100</v>
      </c>
      <c r="T31" s="1556" t="s">
        <v>8</v>
      </c>
      <c r="U31" s="1557">
        <f t="shared" si="13"/>
        <v>100</v>
      </c>
      <c r="V31" s="1556" t="s">
        <v>8</v>
      </c>
      <c r="W31" s="1557">
        <f t="shared" si="14"/>
        <v>100</v>
      </c>
      <c r="X31" s="1550"/>
      <c r="Y31" s="3401"/>
      <c r="Z31" s="1558">
        <f t="shared" si="15"/>
        <v>111</v>
      </c>
      <c r="AA31" s="1559">
        <f t="shared" si="3"/>
        <v>1</v>
      </c>
      <c r="AB31" s="1559">
        <f t="shared" si="4"/>
        <v>1</v>
      </c>
      <c r="AC31" s="1559">
        <f t="shared" si="5"/>
        <v>1</v>
      </c>
    </row>
    <row r="32" spans="1:29" ht="15">
      <c r="A32" s="2859" t="s">
        <v>2755</v>
      </c>
      <c r="B32" s="172" t="s">
        <v>762</v>
      </c>
      <c r="C32" s="877" t="s">
        <v>3042</v>
      </c>
      <c r="D32" s="596">
        <v>100</v>
      </c>
      <c r="E32" s="877" t="s">
        <v>3042</v>
      </c>
      <c r="F32" s="574">
        <f>SUMIF(100:100,E32,101:101)-SUMIF(100:100,C32,101:101)+100</f>
        <v>100</v>
      </c>
      <c r="G32" s="877" t="s">
        <v>3042</v>
      </c>
      <c r="H32" s="539">
        <f>SUMIF(100:100,G32,101:101)-SUMIF(100:100,C32,101:101)+100</f>
        <v>100</v>
      </c>
      <c r="I32" s="877" t="s">
        <v>3042</v>
      </c>
      <c r="J32" s="596">
        <f>SUMIF(100:100,I32,101:101)-SUMIF(100:100,C32,101:101)+100</f>
        <v>100</v>
      </c>
      <c r="K32" s="583">
        <v>2</v>
      </c>
      <c r="L32" s="2124"/>
      <c r="M32" s="2116"/>
      <c r="N32" s="2116"/>
      <c r="O32" s="2123"/>
      <c r="P32" s="3402" t="s">
        <v>550</v>
      </c>
      <c r="Q32" s="1555" t="str">
        <f t="shared" si="11"/>
        <v>商业类型</v>
      </c>
      <c r="R32" s="1556" t="s">
        <v>8</v>
      </c>
      <c r="S32" s="1557">
        <f t="shared" si="12"/>
        <v>100</v>
      </c>
      <c r="T32" s="1556" t="s">
        <v>8</v>
      </c>
      <c r="U32" s="1557">
        <f t="shared" si="13"/>
        <v>100</v>
      </c>
      <c r="V32" s="1556" t="s">
        <v>8</v>
      </c>
      <c r="W32" s="1557">
        <f t="shared" si="14"/>
        <v>100</v>
      </c>
      <c r="X32" s="1550"/>
      <c r="Y32" s="3403" t="s">
        <v>550</v>
      </c>
      <c r="Z32" s="1558" t="str">
        <f t="shared" si="15"/>
        <v>商业类型</v>
      </c>
      <c r="AA32" s="1559">
        <f t="shared" si="3"/>
        <v>1</v>
      </c>
      <c r="AB32" s="1559">
        <f t="shared" si="4"/>
        <v>1</v>
      </c>
      <c r="AC32" s="1559">
        <f t="shared" si="5"/>
        <v>1</v>
      </c>
    </row>
    <row r="33" spans="1:29" s="1332" customFormat="1" ht="15">
      <c r="A33" s="602"/>
      <c r="B33" s="526" t="s">
        <v>726</v>
      </c>
      <c r="C33" s="879">
        <f>'数据-基础表'!K14/2</f>
        <v>9466.4650000000001</v>
      </c>
      <c r="D33" s="254">
        <v>100</v>
      </c>
      <c r="E33" s="533">
        <v>70</v>
      </c>
      <c r="F33" s="862">
        <f>LOOKUP(E33,103:103,104:104)-LOOKUP(C33,103:103,104:104)+100</f>
        <v>104</v>
      </c>
      <c r="G33" s="532">
        <v>62</v>
      </c>
      <c r="H33" s="254">
        <f>LOOKUP(G33,103:103,104:104)-LOOKUP(C33,103:103,104:104)+100</f>
        <v>104</v>
      </c>
      <c r="I33" s="532">
        <v>60</v>
      </c>
      <c r="J33" s="254">
        <f>LOOKUP(I33,103:103,104:104)-LOOKUP(C33,103:103,104:104)+100</f>
        <v>104</v>
      </c>
      <c r="K33" s="580"/>
      <c r="L33" s="2122"/>
      <c r="M33" s="2153"/>
      <c r="N33" s="2153"/>
      <c r="O33" s="2125"/>
      <c r="P33" s="3403"/>
      <c r="Q33" s="1587" t="str">
        <f t="shared" si="11"/>
        <v>项目建筑规模</v>
      </c>
      <c r="R33" s="1560" t="s">
        <v>8</v>
      </c>
      <c r="S33" s="1561">
        <f t="shared" si="12"/>
        <v>104</v>
      </c>
      <c r="T33" s="1560" t="s">
        <v>8</v>
      </c>
      <c r="U33" s="1561">
        <f t="shared" si="13"/>
        <v>104</v>
      </c>
      <c r="V33" s="1560" t="s">
        <v>8</v>
      </c>
      <c r="W33" s="1561">
        <f t="shared" si="14"/>
        <v>104</v>
      </c>
      <c r="X33" s="1562"/>
      <c r="Y33" s="3403"/>
      <c r="Z33" s="1563" t="str">
        <f t="shared" si="15"/>
        <v>项目建筑规模</v>
      </c>
      <c r="AA33" s="1559">
        <f t="shared" si="3"/>
        <v>0.96153846153846156</v>
      </c>
      <c r="AB33" s="1559">
        <f t="shared" si="4"/>
        <v>0.96153846153846156</v>
      </c>
      <c r="AC33" s="1559">
        <f t="shared" si="5"/>
        <v>0.96153846153846156</v>
      </c>
    </row>
    <row r="34" spans="1:29" ht="15">
      <c r="A34" s="593"/>
      <c r="B34" s="526" t="s">
        <v>727</v>
      </c>
      <c r="C34" s="880" t="s">
        <v>3046</v>
      </c>
      <c r="D34" s="539">
        <v>100</v>
      </c>
      <c r="E34" s="880" t="s">
        <v>3046</v>
      </c>
      <c r="F34" s="574">
        <f>SUMIF(105:105,E34,106:106)-SUMIF(105:105,C34,106:106)+100</f>
        <v>100</v>
      </c>
      <c r="G34" s="880" t="s">
        <v>3046</v>
      </c>
      <c r="H34" s="539">
        <f>SUMIF(105:105,G34,106:106)-SUMIF(105:105,C34,106:106)+100</f>
        <v>100</v>
      </c>
      <c r="I34" s="880" t="s">
        <v>3046</v>
      </c>
      <c r="J34" s="539">
        <f>SUMIF(105:105,I34,106:106)-SUMIF(105:105,C34,106:106)+100</f>
        <v>100</v>
      </c>
      <c r="K34" s="583"/>
      <c r="L34" s="2124"/>
      <c r="M34" s="2116"/>
      <c r="N34" s="2116"/>
      <c r="O34" s="2123"/>
      <c r="P34" s="3403"/>
      <c r="Q34" s="1555" t="str">
        <f t="shared" si="11"/>
        <v>建筑结构</v>
      </c>
      <c r="R34" s="1556" t="s">
        <v>8</v>
      </c>
      <c r="S34" s="1557">
        <f t="shared" si="12"/>
        <v>100</v>
      </c>
      <c r="T34" s="1556" t="s">
        <v>8</v>
      </c>
      <c r="U34" s="1557">
        <f t="shared" si="13"/>
        <v>100</v>
      </c>
      <c r="V34" s="1556" t="s">
        <v>8</v>
      </c>
      <c r="W34" s="1557">
        <f t="shared" si="14"/>
        <v>100</v>
      </c>
      <c r="X34" s="1550"/>
      <c r="Y34" s="3403"/>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03"/>
      <c r="Q35" s="1555" t="str">
        <f t="shared" si="11"/>
        <v>公共部分装修</v>
      </c>
      <c r="R35" s="1556" t="s">
        <v>8</v>
      </c>
      <c r="S35" s="1557">
        <f t="shared" si="12"/>
        <v>100</v>
      </c>
      <c r="T35" s="1556" t="s">
        <v>8</v>
      </c>
      <c r="U35" s="1557">
        <f t="shared" si="13"/>
        <v>100</v>
      </c>
      <c r="V35" s="1556" t="s">
        <v>8</v>
      </c>
      <c r="W35" s="1557">
        <f t="shared" si="14"/>
        <v>100</v>
      </c>
      <c r="X35" s="1550"/>
      <c r="Y35" s="3403"/>
      <c r="Z35" s="1558" t="str">
        <f t="shared" si="15"/>
        <v>公共部分装修</v>
      </c>
      <c r="AA35" s="1559">
        <f t="shared" si="3"/>
        <v>1</v>
      </c>
      <c r="AB35" s="1559">
        <f t="shared" si="4"/>
        <v>1</v>
      </c>
      <c r="AC35" s="1559">
        <f t="shared" si="5"/>
        <v>1</v>
      </c>
    </row>
    <row r="36" spans="1:29" ht="15">
      <c r="A36" s="593"/>
      <c r="B36" s="526" t="s">
        <v>764</v>
      </c>
      <c r="C36" s="881">
        <v>1</v>
      </c>
      <c r="D36" s="539">
        <v>100</v>
      </c>
      <c r="E36" s="881">
        <v>1</v>
      </c>
      <c r="F36" s="574">
        <f>LOOKUP(E36,110:110,111:111)-LOOKUP(C36,110:110,111:111)+100</f>
        <v>100</v>
      </c>
      <c r="G36" s="881">
        <v>1</v>
      </c>
      <c r="H36" s="574">
        <f>LOOKUP(G36,110:110,111:111)-LOOKUP(C36,110:110,111:111)+100</f>
        <v>100</v>
      </c>
      <c r="I36" s="881">
        <v>1</v>
      </c>
      <c r="J36" s="539">
        <f>LOOKUP(I36,110:110,111:111)-LOOKUP(C36,110:110,111:111)+100</f>
        <v>100</v>
      </c>
      <c r="K36" s="583">
        <v>2</v>
      </c>
      <c r="L36" s="2124"/>
      <c r="M36" s="2116"/>
      <c r="N36" s="2116"/>
      <c r="O36" s="2123"/>
      <c r="P36" s="3403"/>
      <c r="Q36" s="1555" t="str">
        <f t="shared" si="11"/>
        <v>成新度</v>
      </c>
      <c r="R36" s="1556" t="s">
        <v>8</v>
      </c>
      <c r="S36" s="1557">
        <f t="shared" si="12"/>
        <v>100</v>
      </c>
      <c r="T36" s="1556" t="s">
        <v>8</v>
      </c>
      <c r="U36" s="1557">
        <f t="shared" si="13"/>
        <v>100</v>
      </c>
      <c r="V36" s="1556" t="s">
        <v>8</v>
      </c>
      <c r="W36" s="1557">
        <f t="shared" si="14"/>
        <v>100</v>
      </c>
      <c r="X36" s="1550"/>
      <c r="Y36" s="3403"/>
      <c r="Z36" s="1558" t="str">
        <f t="shared" si="15"/>
        <v>成新度</v>
      </c>
      <c r="AA36" s="1559">
        <f t="shared" si="3"/>
        <v>1</v>
      </c>
      <c r="AB36" s="1559">
        <f t="shared" si="4"/>
        <v>1</v>
      </c>
      <c r="AC36" s="1559">
        <f t="shared" si="5"/>
        <v>1</v>
      </c>
    </row>
    <row r="37" spans="1:29" s="1213" customFormat="1" ht="15">
      <c r="A37" s="599"/>
      <c r="B37" s="1877" t="s">
        <v>2565</v>
      </c>
      <c r="C37" s="598" t="s">
        <v>3023</v>
      </c>
      <c r="D37" s="254">
        <v>100</v>
      </c>
      <c r="E37" s="598" t="s">
        <v>3023</v>
      </c>
      <c r="F37" s="574">
        <f>SUMIF(112:112,E37,113:113)-SUMIF(112:112,C37,113:113)+100</f>
        <v>100</v>
      </c>
      <c r="G37" s="598" t="s">
        <v>3023</v>
      </c>
      <c r="H37" s="539">
        <f>SUMIF(112:112,G37,113:113)-SUMIF(112:112,C37,113:113)+100</f>
        <v>100</v>
      </c>
      <c r="I37" s="598" t="s">
        <v>3023</v>
      </c>
      <c r="J37" s="539">
        <f>SUMIF(112:112,I37,113:113)-SUMIF(112:112,C37,113:113)+100</f>
        <v>100</v>
      </c>
      <c r="K37" s="583">
        <v>1</v>
      </c>
      <c r="L37" s="2117"/>
      <c r="M37" s="2118"/>
      <c r="N37" s="2118"/>
      <c r="O37" s="2119"/>
      <c r="P37" s="3403"/>
      <c r="Q37" s="1144" t="str">
        <f t="shared" si="11"/>
        <v>市政基础设施</v>
      </c>
      <c r="R37" s="1551" t="s">
        <v>8</v>
      </c>
      <c r="S37" s="1552">
        <f t="shared" si="12"/>
        <v>100</v>
      </c>
      <c r="T37" s="1551" t="s">
        <v>8</v>
      </c>
      <c r="U37" s="1552">
        <f t="shared" si="13"/>
        <v>100</v>
      </c>
      <c r="V37" s="1551" t="s">
        <v>8</v>
      </c>
      <c r="W37" s="1552">
        <f t="shared" si="14"/>
        <v>100</v>
      </c>
      <c r="X37" s="1553"/>
      <c r="Y37" s="3403"/>
      <c r="Z37" s="1143" t="str">
        <f t="shared" si="15"/>
        <v>市政基础设施</v>
      </c>
      <c r="AA37" s="1554">
        <f t="shared" si="3"/>
        <v>1</v>
      </c>
      <c r="AB37" s="1554">
        <f t="shared" si="4"/>
        <v>1</v>
      </c>
      <c r="AC37" s="1554">
        <f t="shared" si="5"/>
        <v>1</v>
      </c>
    </row>
    <row r="38" spans="1:29" ht="15">
      <c r="A38" s="593"/>
      <c r="B38" s="526" t="s">
        <v>765</v>
      </c>
      <c r="C38" s="598" t="s">
        <v>3034</v>
      </c>
      <c r="D38" s="539">
        <v>100</v>
      </c>
      <c r="E38" s="598" t="s">
        <v>3034</v>
      </c>
      <c r="F38" s="574">
        <f>SUMIF(114:114,E38,115:115)-SUMIF(114:114,C38,115:115)+100</f>
        <v>100</v>
      </c>
      <c r="G38" s="598" t="s">
        <v>3034</v>
      </c>
      <c r="H38" s="539">
        <f>SUMIF(114:114,G38,115:115)-SUMIF(114:114,C38,115:115)+100</f>
        <v>100</v>
      </c>
      <c r="I38" s="598" t="s">
        <v>3034</v>
      </c>
      <c r="J38" s="539">
        <f>SUMIF(114:114,I38,115:115)-SUMIF(114:114,C38,115:115)+100</f>
        <v>100</v>
      </c>
      <c r="K38" s="583">
        <v>5</v>
      </c>
      <c r="L38" s="2124"/>
      <c r="M38" s="2116"/>
      <c r="N38" s="2116"/>
      <c r="O38" s="2123"/>
      <c r="P38" s="3403" t="s">
        <v>766</v>
      </c>
      <c r="Q38" s="1555" t="str">
        <f t="shared" si="11"/>
        <v>业态</v>
      </c>
      <c r="R38" s="1556" t="s">
        <v>8</v>
      </c>
      <c r="S38" s="1557">
        <f t="shared" si="12"/>
        <v>100</v>
      </c>
      <c r="T38" s="1556" t="s">
        <v>8</v>
      </c>
      <c r="U38" s="1557">
        <f t="shared" si="13"/>
        <v>100</v>
      </c>
      <c r="V38" s="1556" t="s">
        <v>8</v>
      </c>
      <c r="W38" s="1557">
        <f t="shared" si="14"/>
        <v>100</v>
      </c>
      <c r="X38" s="1550"/>
      <c r="Y38" s="3403" t="s">
        <v>766</v>
      </c>
      <c r="Z38" s="1558" t="str">
        <f t="shared" si="15"/>
        <v>业态</v>
      </c>
      <c r="AA38" s="1559">
        <f t="shared" si="3"/>
        <v>1</v>
      </c>
      <c r="AB38" s="1559">
        <f t="shared" si="4"/>
        <v>1</v>
      </c>
      <c r="AC38" s="1559">
        <f t="shared" si="5"/>
        <v>1</v>
      </c>
    </row>
    <row r="39" spans="1:29" ht="15">
      <c r="A39" s="593"/>
      <c r="B39" s="526" t="s">
        <v>767</v>
      </c>
      <c r="C39" s="598" t="s">
        <v>3036</v>
      </c>
      <c r="D39" s="539">
        <v>100</v>
      </c>
      <c r="E39" s="598" t="s">
        <v>3036</v>
      </c>
      <c r="F39" s="574">
        <f>SUMIF(116:116,E39,117:117)-SUMIF(116:116,C39,117:117)+100</f>
        <v>100</v>
      </c>
      <c r="G39" s="598" t="s">
        <v>3036</v>
      </c>
      <c r="H39" s="539">
        <f>SUMIF(116:116,G39,117:117)-SUMIF(116:116,C39,117:117)+100</f>
        <v>100</v>
      </c>
      <c r="I39" s="598" t="s">
        <v>3036</v>
      </c>
      <c r="J39" s="539">
        <f>SUMIF(116:116,I39,117:117)-SUMIF(116:116,C39,117:117)+100</f>
        <v>100</v>
      </c>
      <c r="K39" s="583">
        <v>2</v>
      </c>
      <c r="L39" s="2124"/>
      <c r="M39" s="2116"/>
      <c r="N39" s="2116"/>
      <c r="O39" s="2123"/>
      <c r="P39" s="3403"/>
      <c r="Q39" s="1555" t="str">
        <f t="shared" si="11"/>
        <v>层高</v>
      </c>
      <c r="R39" s="1556" t="s">
        <v>8</v>
      </c>
      <c r="S39" s="1557">
        <f t="shared" si="12"/>
        <v>100</v>
      </c>
      <c r="T39" s="1556" t="s">
        <v>8</v>
      </c>
      <c r="U39" s="1557">
        <f t="shared" si="13"/>
        <v>100</v>
      </c>
      <c r="V39" s="1556" t="s">
        <v>8</v>
      </c>
      <c r="W39" s="1557">
        <f t="shared" si="14"/>
        <v>100</v>
      </c>
      <c r="X39" s="1550"/>
      <c r="Y39" s="3403"/>
      <c r="Z39" s="1558" t="str">
        <f t="shared" si="15"/>
        <v>层高</v>
      </c>
      <c r="AA39" s="1559">
        <f t="shared" si="3"/>
        <v>1</v>
      </c>
      <c r="AB39" s="1559">
        <f t="shared" si="4"/>
        <v>1</v>
      </c>
      <c r="AC39" s="1559">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03"/>
      <c r="Q40" s="1555" t="str">
        <f t="shared" si="11"/>
        <v>单套建筑面积</v>
      </c>
      <c r="R40" s="1556" t="s">
        <v>8</v>
      </c>
      <c r="S40" s="1557">
        <f t="shared" si="12"/>
        <v>100</v>
      </c>
      <c r="T40" s="1556" t="s">
        <v>8</v>
      </c>
      <c r="U40" s="1557">
        <f t="shared" si="13"/>
        <v>100</v>
      </c>
      <c r="V40" s="1556" t="s">
        <v>8</v>
      </c>
      <c r="W40" s="1557">
        <f t="shared" si="14"/>
        <v>100</v>
      </c>
      <c r="X40" s="1550"/>
      <c r="Y40" s="3403"/>
      <c r="Z40" s="1558" t="str">
        <f t="shared" si="15"/>
        <v>单套建筑面积</v>
      </c>
      <c r="AA40" s="1559">
        <f t="shared" si="3"/>
        <v>1</v>
      </c>
      <c r="AB40" s="1559">
        <f t="shared" si="4"/>
        <v>1</v>
      </c>
      <c r="AC40" s="1559">
        <f t="shared" si="5"/>
        <v>1</v>
      </c>
    </row>
    <row r="41" spans="1:29" s="1332"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03"/>
      <c r="Q41" s="1587" t="str">
        <f t="shared" si="11"/>
        <v>进深比</v>
      </c>
      <c r="R41" s="1560" t="s">
        <v>8</v>
      </c>
      <c r="S41" s="1561">
        <f t="shared" si="12"/>
        <v>100</v>
      </c>
      <c r="T41" s="1560" t="s">
        <v>8</v>
      </c>
      <c r="U41" s="1561">
        <f t="shared" si="13"/>
        <v>100</v>
      </c>
      <c r="V41" s="1560" t="s">
        <v>8</v>
      </c>
      <c r="W41" s="1561">
        <f t="shared" si="14"/>
        <v>100</v>
      </c>
      <c r="X41" s="1562"/>
      <c r="Y41" s="3403"/>
      <c r="Z41" s="1563" t="str">
        <f t="shared" si="15"/>
        <v>进深比</v>
      </c>
      <c r="AA41" s="1559">
        <f t="shared" si="3"/>
        <v>1</v>
      </c>
      <c r="AB41" s="1559">
        <f t="shared" si="4"/>
        <v>1</v>
      </c>
      <c r="AC41" s="1559">
        <f t="shared" si="5"/>
        <v>1</v>
      </c>
    </row>
    <row r="42" spans="1:29" ht="15">
      <c r="A42" s="593"/>
      <c r="B42" s="526" t="s">
        <v>770</v>
      </c>
      <c r="C42" s="598" t="s">
        <v>3018</v>
      </c>
      <c r="D42" s="539">
        <v>100</v>
      </c>
      <c r="E42" s="598" t="s">
        <v>3018</v>
      </c>
      <c r="F42" s="574">
        <f>SUMIF(122:122,E42,123:123)-SUMIF(122:122,C42,123:123)+100</f>
        <v>100</v>
      </c>
      <c r="G42" s="598" t="s">
        <v>3018</v>
      </c>
      <c r="H42" s="539">
        <f>SUMIF(122:122,G42,123:123)-SUMIF(122:122,C42,123:123)+100</f>
        <v>100</v>
      </c>
      <c r="I42" s="598" t="s">
        <v>3018</v>
      </c>
      <c r="J42" s="539">
        <f>SUMIF(122:122,I42,123:123)-SUMIF(122:122,C42,123:123)+100</f>
        <v>100</v>
      </c>
      <c r="K42" s="583">
        <v>2</v>
      </c>
      <c r="L42" s="2124"/>
      <c r="M42" s="2116"/>
      <c r="N42" s="2116"/>
      <c r="O42" s="2123"/>
      <c r="P42" s="3403"/>
      <c r="Q42" s="1555" t="str">
        <f t="shared" si="11"/>
        <v>内部装修</v>
      </c>
      <c r="R42" s="1556" t="s">
        <v>8</v>
      </c>
      <c r="S42" s="1557">
        <f t="shared" si="12"/>
        <v>100</v>
      </c>
      <c r="T42" s="1556" t="s">
        <v>8</v>
      </c>
      <c r="U42" s="1557">
        <f t="shared" si="13"/>
        <v>100</v>
      </c>
      <c r="V42" s="1556" t="s">
        <v>8</v>
      </c>
      <c r="W42" s="1557">
        <f t="shared" si="14"/>
        <v>100</v>
      </c>
      <c r="X42" s="1550"/>
      <c r="Y42" s="3403"/>
      <c r="Z42" s="1558" t="str">
        <f t="shared" si="15"/>
        <v>内部装修</v>
      </c>
      <c r="AA42" s="1559">
        <f t="shared" si="3"/>
        <v>1</v>
      </c>
      <c r="AB42" s="1559">
        <f t="shared" si="4"/>
        <v>1</v>
      </c>
      <c r="AC42" s="1559">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03"/>
      <c r="Q43" s="1555" t="str">
        <f t="shared" si="11"/>
        <v>内部装修维护情况</v>
      </c>
      <c r="R43" s="1556" t="s">
        <v>8</v>
      </c>
      <c r="S43" s="1557">
        <f t="shared" si="12"/>
        <v>100</v>
      </c>
      <c r="T43" s="1556" t="s">
        <v>8</v>
      </c>
      <c r="U43" s="1557">
        <f t="shared" si="13"/>
        <v>100</v>
      </c>
      <c r="V43" s="1556" t="s">
        <v>8</v>
      </c>
      <c r="W43" s="1557">
        <f t="shared" si="14"/>
        <v>100</v>
      </c>
      <c r="X43" s="1550"/>
      <c r="Y43" s="3403"/>
      <c r="Z43" s="1558" t="str">
        <f t="shared" si="15"/>
        <v>内部装修维护情况</v>
      </c>
      <c r="AA43" s="1559">
        <f t="shared" si="3"/>
        <v>1</v>
      </c>
      <c r="AB43" s="1559">
        <f t="shared" si="4"/>
        <v>1</v>
      </c>
      <c r="AC43" s="1559">
        <f t="shared" si="5"/>
        <v>1</v>
      </c>
    </row>
    <row r="44" spans="1:29" s="1213"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03"/>
      <c r="Q44" s="1144">
        <f t="shared" si="11"/>
        <v>111</v>
      </c>
      <c r="R44" s="1551" t="s">
        <v>8</v>
      </c>
      <c r="S44" s="1552">
        <f t="shared" si="12"/>
        <v>100</v>
      </c>
      <c r="T44" s="1551" t="s">
        <v>8</v>
      </c>
      <c r="U44" s="1552">
        <f t="shared" si="13"/>
        <v>100</v>
      </c>
      <c r="V44" s="1551" t="s">
        <v>8</v>
      </c>
      <c r="W44" s="1552">
        <f t="shared" si="14"/>
        <v>100</v>
      </c>
      <c r="X44" s="1553"/>
      <c r="Y44" s="3403"/>
      <c r="Z44" s="1143">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03"/>
      <c r="Q45" s="1555">
        <f t="shared" si="11"/>
        <v>111</v>
      </c>
      <c r="R45" s="1556" t="s">
        <v>8</v>
      </c>
      <c r="S45" s="1557">
        <f t="shared" si="12"/>
        <v>100</v>
      </c>
      <c r="T45" s="1556" t="s">
        <v>8</v>
      </c>
      <c r="U45" s="1557">
        <f t="shared" si="13"/>
        <v>100</v>
      </c>
      <c r="V45" s="1556" t="s">
        <v>8</v>
      </c>
      <c r="W45" s="1557">
        <f t="shared" si="14"/>
        <v>100</v>
      </c>
      <c r="X45" s="1550"/>
      <c r="Y45" s="3403"/>
      <c r="Z45" s="1558">
        <f t="shared" si="15"/>
        <v>111</v>
      </c>
      <c r="AA45" s="1559">
        <f t="shared" si="3"/>
        <v>1</v>
      </c>
      <c r="AB45" s="1559">
        <f t="shared" si="4"/>
        <v>1</v>
      </c>
      <c r="AC45" s="1559">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82"/>
      <c r="Q46" s="1555">
        <f t="shared" si="11"/>
        <v>111</v>
      </c>
      <c r="R46" s="1556" t="s">
        <v>8</v>
      </c>
      <c r="S46" s="1557">
        <f t="shared" si="12"/>
        <v>100</v>
      </c>
      <c r="T46" s="1556" t="s">
        <v>8</v>
      </c>
      <c r="U46" s="1557">
        <f t="shared" si="13"/>
        <v>100</v>
      </c>
      <c r="V46" s="1556" t="s">
        <v>8</v>
      </c>
      <c r="W46" s="1557">
        <f t="shared" si="14"/>
        <v>100</v>
      </c>
      <c r="X46" s="1550"/>
      <c r="Y46" s="3482"/>
      <c r="Z46" s="1558">
        <f t="shared" si="15"/>
        <v>111</v>
      </c>
      <c r="AA46" s="1559">
        <f t="shared" si="3"/>
        <v>1</v>
      </c>
      <c r="AB46" s="1559">
        <f t="shared" si="4"/>
        <v>1</v>
      </c>
      <c r="AC46" s="1559">
        <f t="shared" si="5"/>
        <v>1</v>
      </c>
    </row>
    <row r="47" spans="1:29" ht="15">
      <c r="A47" s="606" t="s">
        <v>736</v>
      </c>
      <c r="B47" s="885"/>
      <c r="C47" s="2588" t="s">
        <v>1</v>
      </c>
      <c r="D47" s="2589"/>
      <c r="E47" s="2590">
        <v>17000</v>
      </c>
      <c r="F47" s="2591"/>
      <c r="G47" s="2592">
        <v>20000</v>
      </c>
      <c r="H47" s="2593"/>
      <c r="I47" s="2590">
        <v>16000</v>
      </c>
      <c r="J47" s="2593"/>
      <c r="K47" s="1593"/>
      <c r="L47" s="2126"/>
      <c r="M47" s="2127"/>
      <c r="N47" s="2116"/>
      <c r="O47" s="2127"/>
      <c r="P47" s="3398" t="str">
        <f>A47</f>
        <v>成交单价（元/平方米）</v>
      </c>
      <c r="Q47" s="3398"/>
      <c r="R47" s="3481">
        <f>E47</f>
        <v>17000</v>
      </c>
      <c r="S47" s="3481"/>
      <c r="T47" s="3481">
        <f>G47</f>
        <v>20000</v>
      </c>
      <c r="U47" s="3481"/>
      <c r="V47" s="3481">
        <f>I47</f>
        <v>16000</v>
      </c>
      <c r="W47" s="3481"/>
      <c r="X47" s="1542"/>
      <c r="Y47" s="1564"/>
      <c r="Z47" s="1542"/>
      <c r="AA47" s="1542"/>
      <c r="AB47" s="1542"/>
      <c r="AC47" s="1542"/>
    </row>
    <row r="48" spans="1:29" ht="15.75" thickBot="1">
      <c r="A48" s="614" t="s">
        <v>2760</v>
      </c>
      <c r="B48" s="886"/>
      <c r="C48" s="2594">
        <f>R49</f>
        <v>17282</v>
      </c>
      <c r="D48" s="2595"/>
      <c r="E48" s="2596">
        <f>R48</f>
        <v>16680</v>
      </c>
      <c r="F48" s="2596"/>
      <c r="G48" s="2594">
        <f>T48</f>
        <v>19623</v>
      </c>
      <c r="H48" s="2595"/>
      <c r="I48" s="2596">
        <f>V48</f>
        <v>15543</v>
      </c>
      <c r="J48" s="2595"/>
      <c r="K48" s="1594"/>
      <c r="L48" s="2126"/>
      <c r="M48" s="2127"/>
      <c r="N48" s="2116"/>
      <c r="O48" s="2127"/>
      <c r="P48" s="3398" t="str">
        <f>A48</f>
        <v>比较价格（元/平方米）</v>
      </c>
      <c r="Q48" s="3398"/>
      <c r="R48" s="3481">
        <f>IF(F1="售价",ROUND(PRODUCT(R47,AA7:AA46),0),ROUND(PRODUCT(R47,AA7:AA46),1))</f>
        <v>16680</v>
      </c>
      <c r="S48" s="3481"/>
      <c r="T48" s="3481">
        <f>IF(F1="售价",ROUND(PRODUCT(T47,AB7:AB46),0),ROUND(PRODUCT(T47,AB7:AB46),1))</f>
        <v>19623</v>
      </c>
      <c r="U48" s="3481"/>
      <c r="V48" s="3481">
        <f>IF(F1="售价",ROUND(PRODUCT(V47,AC7:AC46),0),ROUND(PRODUCT(V47,AC7:AC46),1))</f>
        <v>15543</v>
      </c>
      <c r="W48" s="3481"/>
      <c r="X48" s="1542"/>
      <c r="Y48" s="1542"/>
      <c r="Z48" s="1542"/>
      <c r="AA48" s="1542"/>
      <c r="AB48" s="1542"/>
      <c r="AC48" s="1542"/>
    </row>
    <row r="49" spans="1:29" ht="15.75" thickBot="1">
      <c r="A49" s="620" t="s">
        <v>2935</v>
      </c>
      <c r="B49" s="621"/>
      <c r="C49" s="2597">
        <f>R49</f>
        <v>17282</v>
      </c>
      <c r="D49" s="2597"/>
      <c r="E49" s="2597"/>
      <c r="F49" s="2597"/>
      <c r="G49" s="2597"/>
      <c r="H49" s="2597"/>
      <c r="I49" s="2597"/>
      <c r="J49" s="2597"/>
      <c r="K49" s="1595"/>
      <c r="L49" s="2126"/>
      <c r="M49" s="2127"/>
      <c r="N49" s="2116"/>
      <c r="O49" s="2127"/>
      <c r="P49" s="3419" t="str">
        <f>A49</f>
        <v>估价对象XX用房的比较价格（楼面单价，元/平方米）</v>
      </c>
      <c r="Q49" s="3420"/>
      <c r="R49" s="3480">
        <f>IF(F1="售价",ROUND(AVERAGE(R48:V48),0),ROUND(AVERAGE(R48:V48),1))</f>
        <v>17282</v>
      </c>
      <c r="S49" s="3480"/>
      <c r="T49" s="3480"/>
      <c r="U49" s="3480"/>
      <c r="V49" s="3480"/>
      <c r="W49" s="348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1.9184652278177561E-2</v>
      </c>
      <c r="F52" s="626" t="str">
        <f>IF(OR(E52&gt;=0.3,E52&lt;=-0.3),"超过30%","")</f>
        <v/>
      </c>
      <c r="G52" s="625">
        <f>IF(G47&lt;G48,G48/G47-1,G47/G48-1)</f>
        <v>1.9212149008816182E-2</v>
      </c>
      <c r="H52" s="626" t="str">
        <f>IF(OR(G52&gt;=0.3,G52&lt;=-0.3),"超过30%","")</f>
        <v/>
      </c>
      <c r="I52" s="625">
        <f>IF(I47&lt;I48,I48/I47-1,I47/I48-1)</f>
        <v>2.9402303287653586E-2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0.17643884892086326</v>
      </c>
      <c r="F53" s="626" t="str">
        <f>IF(OR(E53&gt;=0.2,E53&lt;=-0.2),"超过20%","")</f>
        <v/>
      </c>
      <c r="G53" s="625">
        <f>IF(G48&lt;I48,I48/G48-1,G48/I48-1)</f>
        <v>0.26249758733835171</v>
      </c>
      <c r="H53" s="626" t="str">
        <f>IF(OR(G53&gt;=0.2,G53&lt;=-0.2),"超过20%","")</f>
        <v>超过20%</v>
      </c>
      <c r="I53" s="625">
        <f>IF(I48&lt;E48,E48/I48-1,I48/E48-1)</f>
        <v>7.3151901177378909E-2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3" t="s">
        <v>559</v>
      </c>
      <c r="D54" s="627"/>
      <c r="E54" s="625">
        <f>IF(E47&lt;G47,G47/E47-1,E47/G47-1)</f>
        <v>0.17647058823529416</v>
      </c>
      <c r="F54" s="626" t="str">
        <f>IF(OR(E54&gt;=0.3,E54&lt;=-0.3),"超过30%","")</f>
        <v/>
      </c>
      <c r="G54" s="625">
        <f>IF(G47&lt;I47,I47/G47-1,G47/I47-1)</f>
        <v>0.25</v>
      </c>
      <c r="H54" s="626" t="str">
        <f>IF(OR(G54&gt;=0.3,G54&lt;=-0.3),"超过30%","")</f>
        <v/>
      </c>
      <c r="I54" s="625">
        <f>IF(I47&lt;E47,E47/I47-1,I47/E47-1)</f>
        <v>6.25E-2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4" t="s">
        <v>529</v>
      </c>
      <c r="B58" s="645"/>
      <c r="C58" s="2754"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3"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3"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3"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8"/>
    </row>
    <row r="63" spans="1:29">
      <c r="A63" s="663" t="s">
        <v>577</v>
      </c>
      <c r="B63" s="664" t="s">
        <v>534</v>
      </c>
      <c r="C63" s="703" t="str">
        <f>C9</f>
        <v>商业</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1（含）-1.5</v>
      </c>
      <c r="D67" s="681" t="str">
        <f t="shared" ref="D67:L67" si="17">D68&amp;"（含）"&amp;"-"&amp;E68</f>
        <v>1.5（含）-2</v>
      </c>
      <c r="E67" s="681" t="str">
        <f t="shared" si="17"/>
        <v>2（含）-2.5</v>
      </c>
      <c r="F67" s="681" t="str">
        <f t="shared" si="17"/>
        <v>2.5（含）-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1</v>
      </c>
      <c r="D68" s="540">
        <v>1.5</v>
      </c>
      <c r="E68" s="540">
        <v>2</v>
      </c>
      <c r="F68" s="540">
        <v>2.5</v>
      </c>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2557</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99</v>
      </c>
      <c r="E81" s="678">
        <f>D81-$K19</f>
        <v>98</v>
      </c>
      <c r="F81" s="678">
        <f>E81-$K19</f>
        <v>97</v>
      </c>
      <c r="G81" s="678">
        <f>F81-$K19</f>
        <v>96</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2558</v>
      </c>
      <c r="C82" s="2559" t="s">
        <v>2559</v>
      </c>
      <c r="D82" s="2559" t="s">
        <v>2560</v>
      </c>
      <c r="E82" s="2559" t="s">
        <v>2561</v>
      </c>
      <c r="F82" s="2559" t="s">
        <v>2562</v>
      </c>
      <c r="G82" s="2559" t="s">
        <v>2563</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8"/>
      <c r="B86" s="672" t="s">
        <v>771</v>
      </c>
      <c r="C86" s="3180" t="s">
        <v>3053</v>
      </c>
      <c r="D86" s="3180" t="s">
        <v>3054</v>
      </c>
      <c r="E86" s="3180" t="s">
        <v>3056</v>
      </c>
      <c r="F86" s="3180" t="s">
        <v>3057</v>
      </c>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8"/>
      <c r="B88" s="672" t="str">
        <f>B26</f>
        <v>平面位置/可视性</v>
      </c>
      <c r="C88" s="3180" t="s">
        <v>3190</v>
      </c>
      <c r="D88" s="3180" t="s">
        <v>3191</v>
      </c>
      <c r="E88" s="3180" t="s">
        <v>3192</v>
      </c>
      <c r="F88" s="3195" t="s">
        <v>3193</v>
      </c>
      <c r="G88" s="3180" t="s">
        <v>3194</v>
      </c>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8"/>
      <c r="B89" s="677"/>
      <c r="C89" s="691">
        <v>100</v>
      </c>
      <c r="D89" s="670">
        <v>98</v>
      </c>
      <c r="E89" s="670">
        <v>96</v>
      </c>
      <c r="F89" s="670">
        <v>94</v>
      </c>
      <c r="G89" s="670">
        <v>92</v>
      </c>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t="s">
        <v>3038</v>
      </c>
      <c r="D92" s="687" t="s">
        <v>3039</v>
      </c>
      <c r="E92" s="687" t="s">
        <v>3040</v>
      </c>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v>100</v>
      </c>
      <c r="D93" s="670">
        <v>50</v>
      </c>
      <c r="E93" s="670">
        <v>75</v>
      </c>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3182" t="s">
        <v>3041</v>
      </c>
      <c r="D100" s="3182" t="s">
        <v>3043</v>
      </c>
      <c r="E100" s="3182" t="s">
        <v>3044</v>
      </c>
      <c r="F100" s="3182" t="s">
        <v>3045</v>
      </c>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0(含)-300</v>
      </c>
      <c r="D102" s="707" t="str">
        <f t="shared" ref="D102:L102" si="22">D103&amp;"(含)"&amp;"-"&amp;E103</f>
        <v>300(含)-1000</v>
      </c>
      <c r="E102" s="707" t="str">
        <f t="shared" si="22"/>
        <v>1000(含)-3000</v>
      </c>
      <c r="F102" s="707" t="str">
        <f t="shared" si="22"/>
        <v>3000(含)-5000</v>
      </c>
      <c r="G102" s="707" t="str">
        <f t="shared" si="22"/>
        <v>5000(含)-10000</v>
      </c>
      <c r="H102" s="707" t="str">
        <f t="shared" si="22"/>
        <v>10000(含)-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7"/>
      <c r="B103" s="728"/>
      <c r="C103" s="729">
        <v>0</v>
      </c>
      <c r="D103" s="729">
        <v>300</v>
      </c>
      <c r="E103" s="729">
        <v>1000</v>
      </c>
      <c r="F103" s="729">
        <v>3000</v>
      </c>
      <c r="G103" s="729">
        <v>5000</v>
      </c>
      <c r="H103" s="729">
        <v>10000</v>
      </c>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6"/>
      <c r="B104" s="677"/>
      <c r="C104" s="691">
        <v>100</v>
      </c>
      <c r="D104" s="670">
        <v>99</v>
      </c>
      <c r="E104" s="670">
        <v>98</v>
      </c>
      <c r="F104" s="670">
        <v>97</v>
      </c>
      <c r="G104" s="670">
        <v>96</v>
      </c>
      <c r="H104" s="670">
        <v>95</v>
      </c>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80" t="s">
        <v>3047</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102</v>
      </c>
      <c r="E111" s="678">
        <f t="shared" ref="E111:M111" si="25">D111+$K36</f>
        <v>104</v>
      </c>
      <c r="F111" s="678">
        <f t="shared" si="25"/>
        <v>106</v>
      </c>
      <c r="G111" s="678">
        <f t="shared" si="25"/>
        <v>108</v>
      </c>
      <c r="H111" s="678">
        <f t="shared" si="25"/>
        <v>110</v>
      </c>
      <c r="I111" s="678">
        <f t="shared" si="25"/>
        <v>112</v>
      </c>
      <c r="J111" s="678">
        <f t="shared" si="25"/>
        <v>114</v>
      </c>
      <c r="K111" s="678">
        <f t="shared" si="25"/>
        <v>116</v>
      </c>
      <c r="L111" s="678">
        <f t="shared" si="25"/>
        <v>118</v>
      </c>
      <c r="M111" s="678">
        <f t="shared" si="25"/>
        <v>120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7"/>
      <c r="B112" s="1878" t="s">
        <v>2556</v>
      </c>
      <c r="C112" s="3180" t="s">
        <v>3048</v>
      </c>
      <c r="D112" s="3180" t="s">
        <v>3049</v>
      </c>
      <c r="E112" s="3180" t="s">
        <v>3050</v>
      </c>
      <c r="F112" s="3180" t="s">
        <v>3051</v>
      </c>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6"/>
      <c r="B113" s="677"/>
      <c r="C113" s="678">
        <v>100</v>
      </c>
      <c r="D113" s="678">
        <f>C113-$K37</f>
        <v>99</v>
      </c>
      <c r="E113" s="678">
        <f t="shared" ref="E113:M113" si="26">D113-$K37</f>
        <v>98</v>
      </c>
      <c r="F113" s="678">
        <f t="shared" si="26"/>
        <v>97</v>
      </c>
      <c r="G113" s="678">
        <f t="shared" si="26"/>
        <v>96</v>
      </c>
      <c r="H113" s="678">
        <f t="shared" si="26"/>
        <v>95</v>
      </c>
      <c r="I113" s="678">
        <f t="shared" si="26"/>
        <v>94</v>
      </c>
      <c r="J113" s="678">
        <f t="shared" si="26"/>
        <v>93</v>
      </c>
      <c r="K113" s="678">
        <f t="shared" si="26"/>
        <v>92</v>
      </c>
      <c r="L113" s="678">
        <f t="shared" si="26"/>
        <v>91</v>
      </c>
      <c r="M113" s="678">
        <f t="shared" si="26"/>
        <v>90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3180" t="s">
        <v>3033</v>
      </c>
      <c r="D114" s="3180" t="s">
        <v>3035</v>
      </c>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9">
        <f t="shared" si="27"/>
        <v>50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3180" t="s">
        <v>3037</v>
      </c>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80" t="s">
        <v>3015</v>
      </c>
      <c r="D122" s="3180" t="s">
        <v>3016</v>
      </c>
      <c r="E122" s="3180" t="s">
        <v>3017</v>
      </c>
      <c r="F122" s="3181" t="s">
        <v>3019</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4" sqref="R24"/>
    </sheetView>
  </sheetViews>
  <sheetFormatPr defaultColWidth="9" defaultRowHeight="12.75"/>
  <cols>
    <col min="1" max="1" width="11.5" style="1243" customWidth="1"/>
    <col min="2" max="2" width="9.25" style="1211" customWidth="1"/>
    <col min="3" max="3" width="5" style="1211" customWidth="1"/>
    <col min="4" max="4" width="0" style="1211" hidden="1" customWidth="1"/>
    <col min="5" max="5" width="5" style="1211" hidden="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598"/>
    <col min="19" max="19" width="9" style="1243"/>
    <col min="20" max="35" width="9" style="256"/>
    <col min="36" max="16384" width="9" style="1243"/>
  </cols>
  <sheetData>
    <row r="1" spans="1:45" s="256" customFormat="1" ht="14.25" customHeight="1" thickBot="1">
      <c r="A1" s="364"/>
      <c r="B1" s="2216" t="s">
        <v>2303</v>
      </c>
      <c r="C1" s="3486" t="s">
        <v>2304</v>
      </c>
      <c r="D1" s="3487"/>
      <c r="E1" s="3487"/>
      <c r="F1" s="3487"/>
      <c r="G1" s="3487"/>
      <c r="H1" s="3487"/>
      <c r="I1" s="3487"/>
      <c r="J1" s="3487"/>
      <c r="K1" s="3487"/>
      <c r="L1" s="3487"/>
      <c r="M1" s="3487"/>
      <c r="N1" s="3487"/>
      <c r="O1" s="3487"/>
      <c r="P1" s="3487"/>
      <c r="Q1" s="3487"/>
      <c r="R1" s="3487"/>
      <c r="S1" s="348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7" t="s">
        <v>2306</v>
      </c>
      <c r="C2" s="948" t="str">
        <f t="shared" ref="C2:L2" si="0">C3&amp;"(含)"&amp;"-"&amp;D3</f>
        <v>0(含)-300</v>
      </c>
      <c r="D2" s="949" t="str">
        <f t="shared" si="0"/>
        <v>300(含)-1000</v>
      </c>
      <c r="E2" s="949" t="str">
        <f t="shared" si="0"/>
        <v>1000(含)-3000</v>
      </c>
      <c r="F2" s="949" t="str">
        <f t="shared" si="0"/>
        <v>3000(含)-5000</v>
      </c>
      <c r="G2" s="949" t="str">
        <f t="shared" si="0"/>
        <v>5000(含)-10000</v>
      </c>
      <c r="H2" s="949" t="str">
        <f t="shared" si="0"/>
        <v>10000(含)-0</v>
      </c>
      <c r="I2" s="949" t="str">
        <f t="shared" si="0"/>
        <v>0(含)-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f>'不动产比较法-商业'!C103</f>
        <v>0</v>
      </c>
      <c r="D3" s="952">
        <f>'不动产比较法-商业'!D103</f>
        <v>300</v>
      </c>
      <c r="E3" s="952">
        <f>'不动产比较法-商业'!E103</f>
        <v>1000</v>
      </c>
      <c r="F3" s="952">
        <f>'不动产比较法-商业'!F103</f>
        <v>3000</v>
      </c>
      <c r="G3" s="952">
        <f>'不动产比较法-商业'!G103</f>
        <v>5000</v>
      </c>
      <c r="H3" s="952">
        <f>'不动产比较法-商业'!H103</f>
        <v>10000</v>
      </c>
      <c r="I3" s="952">
        <f>'不动产比较法-商业'!I103</f>
        <v>0</v>
      </c>
      <c r="J3" s="952"/>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f>'不动产比较法-商业'!C104</f>
        <v>100</v>
      </c>
      <c r="D4" s="2227">
        <f>'不动产比较法-商业'!D104</f>
        <v>99</v>
      </c>
      <c r="E4" s="2227">
        <f>'不动产比较法-商业'!E104</f>
        <v>98</v>
      </c>
      <c r="F4" s="2227">
        <f>'不动产比较法-商业'!F104</f>
        <v>97</v>
      </c>
      <c r="G4" s="2227">
        <f>'不动产比较法-商业'!G104</f>
        <v>96</v>
      </c>
      <c r="H4" s="2227">
        <f>'不动产比较法-商业'!H104</f>
        <v>95</v>
      </c>
      <c r="I4" s="2227">
        <f>'不动产比较法-商业'!I104</f>
        <v>0</v>
      </c>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2928</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2927</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2926</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v>1</v>
      </c>
      <c r="D17" s="2262">
        <v>2</v>
      </c>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v>100</v>
      </c>
      <c r="D18" s="2274">
        <v>50</v>
      </c>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S22</f>
        <v>24540</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f>R22</f>
        <v>12962</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18932.93</v>
      </c>
      <c r="C22" s="3483" t="s">
        <v>20</v>
      </c>
      <c r="D22" s="3484"/>
      <c r="E22" s="3484"/>
      <c r="F22" s="3484"/>
      <c r="G22" s="3484"/>
      <c r="H22" s="3484"/>
      <c r="I22" s="3484"/>
      <c r="J22" s="3484"/>
      <c r="K22" s="3484"/>
      <c r="L22" s="3484"/>
      <c r="M22" s="3484"/>
      <c r="N22" s="3484"/>
      <c r="O22" s="3484"/>
      <c r="P22" s="3484"/>
      <c r="Q22" s="3485"/>
      <c r="R22" s="489">
        <f>ROUND(S22*10000/B22,0)</f>
        <v>12962</v>
      </c>
      <c r="S22" s="53">
        <f>SUM(S24:S10000)</f>
        <v>24540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f>'不动产比较法-商业'!C33</f>
        <v>9466.4650000000001</v>
      </c>
      <c r="C24" s="960">
        <v>1</v>
      </c>
      <c r="D24" s="961"/>
      <c r="E24" s="960">
        <v>1</v>
      </c>
      <c r="F24" s="961"/>
      <c r="G24" s="960">
        <v>1</v>
      </c>
      <c r="H24" s="961"/>
      <c r="I24" s="960">
        <v>1</v>
      </c>
      <c r="J24" s="961"/>
      <c r="K24" s="960">
        <v>1</v>
      </c>
      <c r="L24" s="961"/>
      <c r="M24" s="960">
        <v>1</v>
      </c>
      <c r="N24" s="961"/>
      <c r="O24" s="960">
        <v>1</v>
      </c>
      <c r="P24" s="961">
        <v>1</v>
      </c>
      <c r="Q24" s="960">
        <v>1</v>
      </c>
      <c r="R24" s="962">
        <f>'不动产比较法-商业'!C48</f>
        <v>17282</v>
      </c>
      <c r="S24" s="960">
        <f t="shared" ref="S24:S54" si="11">ROUND(R24*B24/10000,0)</f>
        <v>16360</v>
      </c>
      <c r="T24" s="1955"/>
      <c r="U24" s="1955"/>
      <c r="V24" s="1955"/>
      <c r="W24" s="1955"/>
      <c r="X24" s="1955"/>
      <c r="Y24" s="1955"/>
      <c r="Z24" s="1955"/>
      <c r="AA24" s="1955"/>
      <c r="AB24" s="1955"/>
      <c r="AC24" s="1955"/>
      <c r="AD24" s="1955"/>
      <c r="AE24" s="1955"/>
      <c r="AF24" s="1955"/>
      <c r="AG24" s="1955"/>
      <c r="AH24" s="1955"/>
      <c r="AI24" s="1955"/>
    </row>
    <row r="25" spans="1:45">
      <c r="A25" s="963"/>
      <c r="B25" s="137">
        <f>B24</f>
        <v>9466.4650000000001</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v>2</v>
      </c>
      <c r="Q25" s="53">
        <f>(SUMIF($17:$17,P25,$18:$18)-SUMIF($17:$17,$P$24,$18:$18)+100)/100</f>
        <v>0.5</v>
      </c>
      <c r="R25" s="489">
        <f>IF(B25="",0,ROUND($R$24*C25*E25*G25*I25*K25*M25*O25*Q25,0))</f>
        <v>8641</v>
      </c>
      <c r="S25" s="798">
        <f t="shared" si="11"/>
        <v>8180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0</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0</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0</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0</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0</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0</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0</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0</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0</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0</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0</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0</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0</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0</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0</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0</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0</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0</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0</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0</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0</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0</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0</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0</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0</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0</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0</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0</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0</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0</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0</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0</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0</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0</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0</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0</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0</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0</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0</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0</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0</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0</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0</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0</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0</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0</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0</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0</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0</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0</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0</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0</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0</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0</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0</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0</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0</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0</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0</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0</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0</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0</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0</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0</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0</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0</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0</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0</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0</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0</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0</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0</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0</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0</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0</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0</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0</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0</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0</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0</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0</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0</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0</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0</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0</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0</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0</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0</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0</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0</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0</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0</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0</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0</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0</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0</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0</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0</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0</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0</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0</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0</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0</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0</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0</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0</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0</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0</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0</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0</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0</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0</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0</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0</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0</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0</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0</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0</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0</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0</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0</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0</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0</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0</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0</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0</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0</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0</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0</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0</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0</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0</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0</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0</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0</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0</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0</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0</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0</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0</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0</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0</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0</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0</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0</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0</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0</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0</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0</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0</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0</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0</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0</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0</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0</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0</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0</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0</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0</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0</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0</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0</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0</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0</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0</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0</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0</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0</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0</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0</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0</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0</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0</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0</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0</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0</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0</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0</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0</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0</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0</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0</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0</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0</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0</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0</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0</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0</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0</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0</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0</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0</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0</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0</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0</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0</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0</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0</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0</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0</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0</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0</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0</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0</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0</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0</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0</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0</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0</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0</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0</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0</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0</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0</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0</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0</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0</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0</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0</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0</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0</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0</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0</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0</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0</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0</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0</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0</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0</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0</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0</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0</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0</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0</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0</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0</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0</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0</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0</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0</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0</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0</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0</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0</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0</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0</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0</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0</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0</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0</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0</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0</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0</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0</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0</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0</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0</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0</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0</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0</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0</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0</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0</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0</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0</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0</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0</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0</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0</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0</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0</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0</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0</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0</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0</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0</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0</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0</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0</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0</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0</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0</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0</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0</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0</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0</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0</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0</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0</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0</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0</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0</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0</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0</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0</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0</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0</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0</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0</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0</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0</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0</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0</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0</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0</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0</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0</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0</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0</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0</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0</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0</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0</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0</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0</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0</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0</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0</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0</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0</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0</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0</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0</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0</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0</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0</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0</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0</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0</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0</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0</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0</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0</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0</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0</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0</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0</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0</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0</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0</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0</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0</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0</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0</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0</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0</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0</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0</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0</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0</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0</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0</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0</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0</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0</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0</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0</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0</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0</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0</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0</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0</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0</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0</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0</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0</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0</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0</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0</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0</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0</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0</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0</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0</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0</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0</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0</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0</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0</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0</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0</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0</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0</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0</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0</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0</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0</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0</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0</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0</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0</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0</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0</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0</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0</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0</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0</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0</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0</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0</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0</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0</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0</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0</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0</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0</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0</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0</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0</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0</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0</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0</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0</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0</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0</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0</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0</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0</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0</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0</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0</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0</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0</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0</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0</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0</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0</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0</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0</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0</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0</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0</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0</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0</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0</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0</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0</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0</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0</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0</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0</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0</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0</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0</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0</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0</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0</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0</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0</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0</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0</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0</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0</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0</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0</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0</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0</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0</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0</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0</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0</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0</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0</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0</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0</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0</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0</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0</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0</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0</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0</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0</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0</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0</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0</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0</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0</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0</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0</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0</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0</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0</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0</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0</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0</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0</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0</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0</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0</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0</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0</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0</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0</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0</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0</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0</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0</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0</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0</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c r="D1" s="3074" t="s">
        <v>2999</v>
      </c>
      <c r="E1" s="2348" t="s">
        <v>2374</v>
      </c>
      <c r="F1" s="2349">
        <f ca="1">J53</f>
        <v>-2</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t="e">
        <f ca="1">C40+J29+L46</f>
        <v>#DIV/0!</v>
      </c>
      <c r="C2" s="2039"/>
      <c r="D2" s="2037"/>
      <c r="E2" s="2038"/>
      <c r="F2" s="2038"/>
      <c r="G2" s="1573"/>
      <c r="H2" s="2039"/>
      <c r="I2" s="2039"/>
      <c r="J2" s="2039"/>
      <c r="K2" s="2040"/>
      <c r="L2" s="2039"/>
      <c r="M2" s="2039"/>
    </row>
    <row r="3" spans="1:33" ht="18" customHeight="1" thickBot="1">
      <c r="A3" s="832" t="s">
        <v>1727</v>
      </c>
      <c r="B3" s="833">
        <f ca="1">IF(ISERROR(B2*10000/F43),0,ROUND(B2*10000/F43,0))</f>
        <v>0</v>
      </c>
      <c r="C3" s="2039"/>
      <c r="D3" s="2037"/>
      <c r="E3" s="2038"/>
      <c r="F3" s="2038"/>
      <c r="G3" s="1573"/>
      <c r="H3" s="775" t="s">
        <v>695</v>
      </c>
      <c r="I3" s="1356"/>
      <c r="J3" s="1356"/>
      <c r="K3" s="1574"/>
      <c r="L3" s="1356"/>
      <c r="M3" s="1356"/>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2458</v>
      </c>
      <c r="C5" s="55">
        <f ca="1">C6+C10+C12</f>
        <v>0</v>
      </c>
      <c r="D5" s="2457" t="s">
        <v>2461</v>
      </c>
      <c r="E5" s="2451"/>
      <c r="F5" s="2452"/>
      <c r="G5" s="1575"/>
      <c r="H5" s="780">
        <v>1</v>
      </c>
      <c r="I5" s="781" t="s">
        <v>2458</v>
      </c>
      <c r="J5" s="55">
        <f ca="1">J6+J10+J12</f>
        <v>0</v>
      </c>
      <c r="K5" s="2457" t="s">
        <v>2461</v>
      </c>
      <c r="L5" s="2451"/>
      <c r="M5" s="2452"/>
    </row>
    <row r="6" spans="1:33" ht="18" customHeight="1">
      <c r="A6" s="1812" t="s">
        <v>1824</v>
      </c>
      <c r="B6" s="3472" t="s">
        <v>2463</v>
      </c>
      <c r="C6" s="782">
        <f ca="1">ROUND(F6*F8*F7*(1-F9)/10000,0)</f>
        <v>0</v>
      </c>
      <c r="D6" s="2458" t="s">
        <v>2462</v>
      </c>
      <c r="E6" s="783" t="s">
        <v>1738</v>
      </c>
      <c r="F6" s="784">
        <f ca="1">INDIRECT("'数据-取费表'!u"&amp;$G$1)</f>
        <v>0</v>
      </c>
      <c r="G6" s="1575"/>
      <c r="H6" s="2465" t="s">
        <v>2468</v>
      </c>
      <c r="I6" s="3472" t="s">
        <v>2463</v>
      </c>
      <c r="J6" s="782">
        <f ca="1">ROUND(M6*M8*M7*(1-M9)/10000,0)</f>
        <v>0</v>
      </c>
      <c r="K6" s="340" t="s">
        <v>1737</v>
      </c>
      <c r="L6" s="783" t="s">
        <v>1738</v>
      </c>
      <c r="M6" s="784">
        <f ca="1">INDIRECT("'数据-取费表'!z"&amp;$G$1)</f>
        <v>0</v>
      </c>
    </row>
    <row r="7" spans="1:33" ht="18" customHeight="1">
      <c r="A7" s="2461"/>
      <c r="B7" s="3473"/>
      <c r="C7" s="787"/>
      <c r="D7" s="788"/>
      <c r="E7" s="783" t="s">
        <v>1739</v>
      </c>
      <c r="F7" s="784">
        <f ca="1">IF(INDIRECT("'数据-取费表'!ah"&amp;$G$1)="",INDIRECT("'数据-取费表'!k"&amp;$G$1),INDIRECT("'数据-取费表'!ah"&amp;$G$1))</f>
        <v>0</v>
      </c>
      <c r="G7" s="1575"/>
      <c r="H7" s="2450"/>
      <c r="I7" s="3473"/>
      <c r="J7" s="787"/>
      <c r="K7" s="788"/>
      <c r="L7" s="783" t="s">
        <v>1739</v>
      </c>
      <c r="M7" s="784">
        <f ca="1">F7</f>
        <v>0</v>
      </c>
    </row>
    <row r="8" spans="1:33" ht="18" customHeight="1">
      <c r="A8" s="2454"/>
      <c r="B8" s="3474"/>
      <c r="C8" s="787"/>
      <c r="D8" s="788"/>
      <c r="E8" s="783" t="s">
        <v>1740</v>
      </c>
      <c r="F8" s="784">
        <f ca="1">INDIRECT("'数据-取费表'!ai"&amp;$G$1)</f>
        <v>0</v>
      </c>
      <c r="G8" s="1575"/>
      <c r="H8" s="2450"/>
      <c r="I8" s="3474"/>
      <c r="J8" s="787"/>
      <c r="K8" s="788"/>
      <c r="L8" s="783" t="s">
        <v>1740</v>
      </c>
      <c r="M8" s="784">
        <f ca="1">INDIRECT("'数据-取费表'!ai"&amp;$G$1)</f>
        <v>0</v>
      </c>
    </row>
    <row r="9" spans="1:33" ht="18" customHeight="1">
      <c r="A9" s="785"/>
      <c r="B9" s="3475"/>
      <c r="C9" s="787"/>
      <c r="D9" s="788"/>
      <c r="E9" s="783" t="s">
        <v>1741</v>
      </c>
      <c r="F9" s="793">
        <f ca="1">INDIRECT("'数据-取费表'!w"&amp;$G$1)</f>
        <v>0</v>
      </c>
      <c r="G9" s="1575"/>
      <c r="H9" s="2466"/>
      <c r="I9" s="3474"/>
      <c r="J9" s="787"/>
      <c r="K9" s="788"/>
      <c r="L9" s="794" t="s">
        <v>1741</v>
      </c>
      <c r="M9" s="795">
        <f ca="1">INDIRECT("'数据-取费表'!ab"&amp;$G$1)</f>
        <v>0</v>
      </c>
    </row>
    <row r="10" spans="1:33" ht="18" customHeight="1">
      <c r="A10" s="1812" t="s">
        <v>2466</v>
      </c>
      <c r="B10" s="2455" t="s">
        <v>2459</v>
      </c>
      <c r="C10" s="798">
        <f ca="1">ROUND(IF(F10="押一",C6/12*F11,IF(F10="押二",C6/12*2*F11,IF(F10="押三",C6/12*3*F11,C11*F11))),0)</f>
        <v>0</v>
      </c>
      <c r="D10" s="2462" t="s">
        <v>2973</v>
      </c>
      <c r="E10" s="2459" t="s">
        <v>2464</v>
      </c>
      <c r="F10" s="2582"/>
      <c r="G10" s="1575"/>
      <c r="H10" s="2522" t="s">
        <v>2469</v>
      </c>
      <c r="I10" s="2527" t="s">
        <v>2459</v>
      </c>
      <c r="J10" s="782">
        <f ca="1">ROUND(IF(M10="押一",J6/12*M11,IF(M10="押二",J6/12*2*M11,IF(M10="押三",J6/12*3*M11,J11*M11))),0)</f>
        <v>0</v>
      </c>
      <c r="K10" s="2462" t="s">
        <v>2973</v>
      </c>
      <c r="L10" s="2459" t="s">
        <v>2464</v>
      </c>
      <c r="M10" s="2582"/>
    </row>
    <row r="11" spans="1:33" ht="18" customHeight="1">
      <c r="A11" s="789"/>
      <c r="B11" s="2456" t="s">
        <v>2573</v>
      </c>
      <c r="C11" s="2460"/>
      <c r="D11" s="788"/>
      <c r="E11" s="2459" t="s">
        <v>2465</v>
      </c>
      <c r="F11" s="795">
        <f ca="1">'数据-取费表'!B39</f>
        <v>1.4999999999999999E-2</v>
      </c>
      <c r="G11" s="1575"/>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5"/>
      <c r="H12" s="2512" t="s">
        <v>2470</v>
      </c>
      <c r="I12" s="2525" t="s">
        <v>2460</v>
      </c>
      <c r="J12" s="2526"/>
      <c r="K12" s="2501"/>
      <c r="L12" s="2502"/>
      <c r="M12" s="2515"/>
    </row>
    <row r="13" spans="1:33" ht="18" customHeight="1" thickTop="1">
      <c r="A13" s="1811">
        <v>2</v>
      </c>
      <c r="B13" s="1809" t="s">
        <v>1742</v>
      </c>
      <c r="C13" s="791">
        <f ca="1">ROUND(C29*F13,0)</f>
        <v>0</v>
      </c>
      <c r="D13" s="1816" t="s">
        <v>2297</v>
      </c>
      <c r="E13" s="1816" t="s">
        <v>1744</v>
      </c>
      <c r="F13" s="2497">
        <f ca="1">INDIRECT("'数据-取费表'!y"&amp;$G$1)</f>
        <v>0</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0</v>
      </c>
      <c r="D14" s="1961" t="s">
        <v>1745</v>
      </c>
      <c r="E14" s="1962"/>
      <c r="F14" s="804"/>
      <c r="G14" s="1575"/>
      <c r="H14" s="1631" t="s">
        <v>1830</v>
      </c>
      <c r="I14" s="2213" t="s">
        <v>2826</v>
      </c>
      <c r="J14" s="53">
        <f ca="1">C29</f>
        <v>0</v>
      </c>
      <c r="K14" s="26"/>
      <c r="L14" s="800"/>
      <c r="M14" s="801"/>
    </row>
    <row r="15" spans="1:33" s="2046" customFormat="1" ht="18" customHeight="1" thickBot="1">
      <c r="A15" s="1630" t="s">
        <v>1885</v>
      </c>
      <c r="B15" s="783" t="s">
        <v>647</v>
      </c>
      <c r="C15" s="53">
        <f ca="1">ROUND(C14*F15,0)</f>
        <v>0</v>
      </c>
      <c r="D15" s="805" t="s">
        <v>1746</v>
      </c>
      <c r="E15" s="805" t="s">
        <v>1747</v>
      </c>
      <c r="F15" s="806">
        <f>'数据-取费表'!B33</f>
        <v>0.04</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0</v>
      </c>
      <c r="K16" s="1803" t="s">
        <v>1750</v>
      </c>
      <c r="L16" s="2447"/>
      <c r="M16" s="2452"/>
    </row>
    <row r="17" spans="1:33" s="2046" customFormat="1" ht="18" customHeight="1">
      <c r="A17" s="1630" t="s">
        <v>1887</v>
      </c>
      <c r="B17" s="783" t="s">
        <v>653</v>
      </c>
      <c r="C17" s="53">
        <f ca="1">ROUND(F17*(F43+INDIRECT("'数据-取费表'!S"&amp;$G$1))/10000,0)</f>
        <v>0</v>
      </c>
      <c r="D17" s="783" t="s">
        <v>1751</v>
      </c>
      <c r="E17" s="783" t="s">
        <v>1752</v>
      </c>
      <c r="F17" s="56">
        <f>'数据-取费表'!B35</f>
        <v>200</v>
      </c>
      <c r="G17" s="1576"/>
      <c r="H17" s="1631" t="s">
        <v>1830</v>
      </c>
      <c r="I17" s="783" t="s">
        <v>656</v>
      </c>
      <c r="J17" s="53">
        <f ca="1">ROUND(IF(项目基本情况!B11="自然人",J6*M17/(1+'数据-取费表'!C42),J18+J19+J20),0)</f>
        <v>0</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0</v>
      </c>
      <c r="D18" s="783" t="s">
        <v>1746</v>
      </c>
      <c r="E18" s="783" t="s">
        <v>1747</v>
      </c>
      <c r="F18" s="808">
        <f>'数据-取费表'!B36</f>
        <v>1.4999999999999999E-2</v>
      </c>
      <c r="G18" s="1576"/>
      <c r="H18" s="1630" t="s">
        <v>1884</v>
      </c>
      <c r="I18" s="783" t="s">
        <v>1755</v>
      </c>
      <c r="J18" s="53">
        <f ca="1">ROUND(J6*M18/(1+'数据-取费表'!C42),1)</f>
        <v>0</v>
      </c>
      <c r="K18" s="244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0</v>
      </c>
      <c r="D19" s="260" t="s">
        <v>1757</v>
      </c>
      <c r="E19" s="1964"/>
      <c r="F19" s="56"/>
      <c r="G19" s="1575"/>
      <c r="H19" s="1630" t="s">
        <v>1885</v>
      </c>
      <c r="I19" s="783" t="s">
        <v>1758</v>
      </c>
      <c r="J19" s="53">
        <f ca="1">IF(K19="按租金收入计税",ROUND(J6*M19/(1+'数据-取费表'!C42),1),ROUND(C29*F33*0.7,1))</f>
        <v>0</v>
      </c>
      <c r="K19" s="810" t="s">
        <v>665</v>
      </c>
      <c r="L19" s="783" t="s">
        <v>1747</v>
      </c>
      <c r="M19" s="808">
        <f>IF(K19="按租金收入计税",'数据-取费表'!B51,'数据-取费表'!B50)</f>
        <v>1.2E-2</v>
      </c>
    </row>
    <row r="20" spans="1:33" s="2046" customFormat="1" ht="18" customHeight="1">
      <c r="A20" s="1631" t="s">
        <v>1889</v>
      </c>
      <c r="B20" s="783" t="s">
        <v>666</v>
      </c>
      <c r="C20" s="53">
        <f ca="1">ROUND(C19*F20,0)</f>
        <v>0</v>
      </c>
      <c r="D20" s="811" t="s">
        <v>1759</v>
      </c>
      <c r="E20" s="783" t="s">
        <v>1747</v>
      </c>
      <c r="F20" s="808">
        <f>'数据-取费表'!B37</f>
        <v>0.02</v>
      </c>
      <c r="G20" s="1576"/>
      <c r="H20" s="1633" t="s">
        <v>1880</v>
      </c>
      <c r="I20" s="340" t="s">
        <v>1760</v>
      </c>
      <c r="J20" s="54">
        <f ca="1">ROUND(M20*M21/10000,0)</f>
        <v>0</v>
      </c>
      <c r="K20" s="813" t="s">
        <v>1761</v>
      </c>
      <c r="L20" s="783" t="s">
        <v>1762</v>
      </c>
      <c r="M20" s="639">
        <f>'数据-取费表'!B52</f>
        <v>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2298</v>
      </c>
      <c r="E21" s="783" t="s">
        <v>1765</v>
      </c>
      <c r="F21" s="808">
        <f>'数据-取费表'!B38</f>
        <v>0.02</v>
      </c>
      <c r="G21" s="1576"/>
      <c r="H21" s="2467"/>
      <c r="I21" s="792"/>
      <c r="J21" s="69"/>
      <c r="K21" s="815"/>
      <c r="L21" s="783" t="s">
        <v>1766</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1964"/>
      <c r="F22" s="56"/>
      <c r="G22" s="1575"/>
      <c r="H22" s="1631" t="s">
        <v>1889</v>
      </c>
      <c r="I22" s="783" t="s">
        <v>1768</v>
      </c>
      <c r="J22" s="53">
        <f ca="1">ROUND(J14*M22,0)</f>
        <v>0</v>
      </c>
      <c r="K22" s="2445" t="s">
        <v>1769</v>
      </c>
      <c r="L22" s="783" t="s">
        <v>1747</v>
      </c>
      <c r="M22" s="816">
        <f ca="1">INDIRECT("'数据-取费表'!Ak"&amp;$G$1)</f>
        <v>0</v>
      </c>
    </row>
    <row r="23" spans="1:33" s="2046" customFormat="1" ht="18" customHeight="1">
      <c r="A23" s="1630" t="s">
        <v>1831</v>
      </c>
      <c r="B23" s="783" t="s">
        <v>2535</v>
      </c>
      <c r="C23" s="53">
        <f ca="1">ROUND(IF('数据-取费表'!B22&lt;=1,(C19+C20)*F24*F23/2,(C19+C20)*(POWER((1+F24),F23/2)-1)),0)</f>
        <v>0</v>
      </c>
      <c r="D23" s="2532" t="str">
        <f>IF(F23&lt;=1,"(建造成本+管理费用)×利率×(建设周期÷2)","(建造成本+管理费用)×((1+利率)^(建设周期÷2)-1)")</f>
        <v>(建造成本+管理费用)×((1+利率)^(建设周期÷2)-1)</v>
      </c>
      <c r="E23" s="783" t="s">
        <v>1770</v>
      </c>
      <c r="F23" s="639">
        <f>'数据-取费表'!B20</f>
        <v>2</v>
      </c>
      <c r="G23" s="1576"/>
      <c r="H23" s="1631" t="s">
        <v>1890</v>
      </c>
      <c r="I23" s="783" t="s">
        <v>679</v>
      </c>
      <c r="J23" s="53">
        <f ca="1">ROUND(J13*M23,0)</f>
        <v>0</v>
      </c>
      <c r="K23" s="2445" t="s">
        <v>1771</v>
      </c>
      <c r="L23" s="783" t="s">
        <v>1747</v>
      </c>
      <c r="M23" s="817">
        <f ca="1">INDIRECT("'数据-取费表'!Al"&amp;$G$1)</f>
        <v>0</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1964"/>
      <c r="F25" s="56"/>
      <c r="G25" s="1575"/>
      <c r="H25" s="1811" t="s">
        <v>1776</v>
      </c>
      <c r="I25" s="2959" t="s">
        <v>2822</v>
      </c>
      <c r="J25" s="791">
        <f ca="1">J5-J16</f>
        <v>0</v>
      </c>
      <c r="K25" s="2509" t="s">
        <v>1777</v>
      </c>
      <c r="L25" s="2510"/>
      <c r="M25" s="2511"/>
    </row>
    <row r="26" spans="1:33" ht="18" customHeight="1">
      <c r="A26" s="1630" t="s">
        <v>1831</v>
      </c>
      <c r="B26" s="783" t="s">
        <v>2438</v>
      </c>
      <c r="C26" s="53">
        <f ca="1">ROUND((C19+C20)*F26,0)</f>
        <v>0</v>
      </c>
      <c r="D26" s="811" t="s">
        <v>1778</v>
      </c>
      <c r="E26" s="794" t="s">
        <v>1779</v>
      </c>
      <c r="F26" s="793">
        <f ca="1">INDIRECT("'数据-取费表'!q"&amp;$G$1)</f>
        <v>0</v>
      </c>
      <c r="G26" s="1575"/>
      <c r="H26" s="2463" t="s">
        <v>1780</v>
      </c>
      <c r="I26" s="2214" t="s">
        <v>2827</v>
      </c>
      <c r="J26" s="782">
        <f ca="1">IF(J5&lt;&gt;0,ROUND(J25*(1-((1+M28)/(1+M26))^M27)/(M26-M28),0),0)</f>
        <v>0</v>
      </c>
      <c r="K26" s="813" t="s">
        <v>1781</v>
      </c>
      <c r="L26" s="783" t="s">
        <v>2419</v>
      </c>
      <c r="M26" s="793">
        <f ca="1">INDIRECT("'数据-取费表'!I"&amp;$G$1)</f>
        <v>0</v>
      </c>
    </row>
    <row r="27" spans="1:33" ht="18" customHeight="1">
      <c r="A27" s="1630" t="s">
        <v>1832</v>
      </c>
      <c r="B27" s="783" t="s">
        <v>686</v>
      </c>
      <c r="C27" s="53">
        <f ca="1">ROUND(F21*F26,4)</f>
        <v>0</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5.33E-2</v>
      </c>
      <c r="D28" s="811" t="s">
        <v>2299</v>
      </c>
      <c r="E28" s="783" t="s">
        <v>1785</v>
      </c>
      <c r="F28" s="808">
        <f>'数据-取费表'!B41</f>
        <v>5.6000000000000001E-2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f ca="1">ROUND((C19+C20+C23+C26)/(1-F21-C24-C27-C28),0)</f>
        <v>0</v>
      </c>
      <c r="D29" s="2506"/>
      <c r="E29" s="2507"/>
      <c r="F29" s="2508"/>
      <c r="G29" s="1576"/>
      <c r="H29" s="822" t="s">
        <v>1787</v>
      </c>
      <c r="I29" s="823" t="s">
        <v>1788</v>
      </c>
      <c r="J29" s="824">
        <f ca="1">ROUND(J26/(1+F40)^F41,0)</f>
        <v>0</v>
      </c>
      <c r="K29" s="825" t="s">
        <v>1789</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0</v>
      </c>
      <c r="D30" s="1803" t="s">
        <v>1791</v>
      </c>
      <c r="E30" s="2447"/>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0</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0</v>
      </c>
      <c r="D32" s="1959" t="s">
        <v>1795</v>
      </c>
      <c r="E32" s="783" t="s">
        <v>1796</v>
      </c>
      <c r="F32" s="808">
        <f>'数据-取费表'!B41</f>
        <v>5.6000000000000001E-2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0</v>
      </c>
      <c r="D33" s="810" t="s">
        <v>1680</v>
      </c>
      <c r="E33" s="783" t="s">
        <v>1796</v>
      </c>
      <c r="F33" s="808">
        <f>IF(D33="按租金收入计税",'数据-取费表'!B51,'数据-取费表'!B50)</f>
        <v>1.2E-2</v>
      </c>
      <c r="G33" s="2044"/>
      <c r="H33" s="2059"/>
      <c r="I33" s="2059"/>
      <c r="J33" s="2059"/>
      <c r="K33" s="2060"/>
      <c r="L33" s="2059"/>
      <c r="M33" s="2059"/>
    </row>
    <row r="34" spans="1:18" ht="18" customHeight="1">
      <c r="A34" s="1633" t="s">
        <v>1833</v>
      </c>
      <c r="B34" s="340" t="s">
        <v>1798</v>
      </c>
      <c r="C34" s="54">
        <f ca="1">ROUND(F34*F35/10000,1)</f>
        <v>0</v>
      </c>
      <c r="D34" s="813" t="s">
        <v>1799</v>
      </c>
      <c r="E34" s="783" t="s">
        <v>1800</v>
      </c>
      <c r="F34" s="639">
        <f>'数据-取费表'!B52</f>
        <v>5</v>
      </c>
      <c r="G34" s="2044"/>
      <c r="H34" s="2047"/>
      <c r="I34" s="834" t="s">
        <v>1813</v>
      </c>
      <c r="J34" s="835"/>
      <c r="K34" s="2062"/>
      <c r="L34" s="2061"/>
      <c r="M34" s="2061"/>
    </row>
    <row r="35" spans="1:18" ht="18" customHeight="1">
      <c r="A35" s="814"/>
      <c r="B35" s="792"/>
      <c r="C35" s="69"/>
      <c r="D35" s="815"/>
      <c r="E35" s="783" t="s">
        <v>1801</v>
      </c>
      <c r="F35" s="784">
        <f ca="1">INDIRECT("'数据-取费表'!r"&amp;$G$1)</f>
        <v>0</v>
      </c>
      <c r="G35" s="2044"/>
      <c r="H35" s="2047"/>
      <c r="I35" s="836" t="s">
        <v>1814</v>
      </c>
      <c r="J35" s="837">
        <f ca="1">ROUND(C13*J36,0)</f>
        <v>0</v>
      </c>
      <c r="K35" s="2060"/>
      <c r="L35" s="2059"/>
      <c r="M35" s="2059"/>
    </row>
    <row r="36" spans="1:18" ht="18" customHeight="1">
      <c r="A36" s="1631" t="s">
        <v>1889</v>
      </c>
      <c r="B36" s="783" t="s">
        <v>1802</v>
      </c>
      <c r="C36" s="53">
        <f ca="1">ROUND(C29*F36,1)</f>
        <v>0</v>
      </c>
      <c r="D36" s="1959" t="s">
        <v>1803</v>
      </c>
      <c r="E36" s="783" t="s">
        <v>1796</v>
      </c>
      <c r="F36" s="816">
        <f ca="1">INDIRECT("'数据-取费表'!Ak"&amp;$G$1)</f>
        <v>0</v>
      </c>
      <c r="G36" s="2044"/>
      <c r="H36" s="2059"/>
      <c r="I36" s="838" t="s">
        <v>1815</v>
      </c>
      <c r="J36" s="839">
        <f ca="1">INDIRECT("'数据-取费表'!j"&amp;$G$1)</f>
        <v>0</v>
      </c>
      <c r="K36" s="2064"/>
      <c r="L36" s="2059"/>
      <c r="M36" s="2059"/>
    </row>
    <row r="37" spans="1:18" ht="18" customHeight="1">
      <c r="A37" s="1631" t="s">
        <v>1890</v>
      </c>
      <c r="B37" s="783" t="s">
        <v>679</v>
      </c>
      <c r="C37" s="53">
        <f ca="1">ROUND(C13*F37,1)</f>
        <v>0</v>
      </c>
      <c r="D37" s="1959" t="s">
        <v>1804</v>
      </c>
      <c r="E37" s="783" t="s">
        <v>1796</v>
      </c>
      <c r="F37" s="817">
        <f ca="1">INDIRECT("'数据-取费表'!Al"&amp;$G$1)</f>
        <v>0</v>
      </c>
      <c r="G37" s="2044"/>
      <c r="H37" s="2059"/>
      <c r="I37" s="840" t="s">
        <v>1816</v>
      </c>
      <c r="J37" s="841"/>
      <c r="K37" s="2064"/>
      <c r="L37" s="2059"/>
      <c r="M37" s="2059"/>
    </row>
    <row r="38" spans="1:18" ht="18" customHeight="1" thickBot="1">
      <c r="A38" s="2512" t="s">
        <v>1891</v>
      </c>
      <c r="B38" s="2507" t="s">
        <v>666</v>
      </c>
      <c r="C38" s="2505">
        <f ca="1">ROUND(C5*F38,1)</f>
        <v>0</v>
      </c>
      <c r="D38" s="2506" t="s">
        <v>1805</v>
      </c>
      <c r="E38" s="2507" t="s">
        <v>1796</v>
      </c>
      <c r="F38" s="2503">
        <f ca="1">INDIRECT("'数据-取费表'!Am"&amp;$G$1)</f>
        <v>0</v>
      </c>
      <c r="G38" s="2044"/>
      <c r="H38" s="2059"/>
      <c r="I38" s="842" t="s">
        <v>1817</v>
      </c>
      <c r="J38" s="843"/>
      <c r="K38" s="2065"/>
      <c r="L38" s="2059"/>
      <c r="M38" s="2059"/>
    </row>
    <row r="39" spans="1:18" ht="24.6" customHeight="1" thickTop="1">
      <c r="A39" s="1811" t="s">
        <v>1894</v>
      </c>
      <c r="B39" s="2959" t="s">
        <v>2822</v>
      </c>
      <c r="C39" s="791">
        <f ca="1">C5-C30</f>
        <v>0</v>
      </c>
      <c r="D39" s="2509" t="s">
        <v>1806</v>
      </c>
      <c r="E39" s="2510"/>
      <c r="F39" s="2511"/>
      <c r="G39" s="2044"/>
      <c r="H39" s="2059"/>
      <c r="I39" s="836" t="s">
        <v>1818</v>
      </c>
      <c r="J39" s="844" t="e">
        <f ca="1">ROUND(J35/C39,3)</f>
        <v>#DIV/0!</v>
      </c>
      <c r="K39" s="2065"/>
      <c r="L39" s="2059"/>
      <c r="M39" s="2059"/>
    </row>
    <row r="40" spans="1:18" ht="18" customHeight="1">
      <c r="A40" s="780" t="s">
        <v>1895</v>
      </c>
      <c r="B40" s="2214" t="s">
        <v>2301</v>
      </c>
      <c r="C40" s="782" t="e">
        <f ca="1">ROUND(C39*(1-((1+F42)/(1+F40))^F41)/(F40-F42),0)</f>
        <v>#DIV/0!</v>
      </c>
      <c r="D40" s="813" t="s">
        <v>1807</v>
      </c>
      <c r="E40" s="783" t="s">
        <v>2419</v>
      </c>
      <c r="F40" s="793">
        <f ca="1">INDIRECT("'数据-取费表'!I"&amp;$G$1)</f>
        <v>0</v>
      </c>
      <c r="G40" s="2044"/>
      <c r="H40" s="2044"/>
      <c r="I40" s="836" t="s">
        <v>1819</v>
      </c>
      <c r="J40" s="844" t="e">
        <f ca="1">1-J39</f>
        <v>#DIV/0!</v>
      </c>
      <c r="K40" s="2065"/>
      <c r="L40" s="2044"/>
      <c r="M40" s="2044"/>
    </row>
    <row r="41" spans="1:18" ht="18" customHeight="1">
      <c r="A41" s="785"/>
      <c r="B41" s="786"/>
      <c r="C41" s="787"/>
      <c r="D41" s="820" t="s">
        <v>1808</v>
      </c>
      <c r="E41" s="783" t="s">
        <v>2963</v>
      </c>
      <c r="F41" s="821">
        <f ca="1">IF(INDIRECT("'数据-取费表'!af"&amp;$G$1)=0,INDIRECT("'数据-取费表'!ae"&amp;$G$1),INDIRECT("'数据-取费表'!af"&amp;$G$1))</f>
        <v>0</v>
      </c>
      <c r="G41" s="2044"/>
      <c r="H41" s="1970"/>
      <c r="I41" s="842" t="s">
        <v>1820</v>
      </c>
      <c r="J41" s="845"/>
      <c r="K41" s="2064"/>
      <c r="L41" s="1970"/>
      <c r="M41" s="1970"/>
    </row>
    <row r="42" spans="1:18" ht="18" customHeight="1">
      <c r="A42" s="789"/>
      <c r="B42" s="790"/>
      <c r="C42" s="791"/>
      <c r="D42" s="815"/>
      <c r="E42" s="783" t="s">
        <v>1809</v>
      </c>
      <c r="F42" s="793">
        <f ca="1">INDIRECT("'数据-取费表'!v"&amp;$G$1)</f>
        <v>0</v>
      </c>
      <c r="G42" s="2044"/>
      <c r="H42" s="1970"/>
      <c r="I42" s="846" t="s">
        <v>1821</v>
      </c>
      <c r="J42" s="844" t="e">
        <f ca="1">ROUND(C13/C40,3)</f>
        <v>#DIV/0!</v>
      </c>
      <c r="K42" s="2064"/>
      <c r="L42" s="1970"/>
      <c r="M42" s="1970"/>
    </row>
    <row r="43" spans="1:18" ht="18" customHeight="1" thickBot="1">
      <c r="A43" s="822" t="s">
        <v>1787</v>
      </c>
      <c r="B43" s="823" t="s">
        <v>1810</v>
      </c>
      <c r="C43" s="824" t="e">
        <f ca="1">ROUND(C40*10000/F43,0)</f>
        <v>#DIV/0!</v>
      </c>
      <c r="D43" s="825" t="s">
        <v>1811</v>
      </c>
      <c r="E43" s="826" t="s">
        <v>1812</v>
      </c>
      <c r="F43" s="827">
        <f ca="1">INDIRECT("'数据-取费表'!k"&amp;$G$1)</f>
        <v>0</v>
      </c>
      <c r="G43" s="2044"/>
      <c r="H43" s="1970"/>
      <c r="I43" s="846" t="s">
        <v>1822</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t="e">
        <f ca="1">C67-C40</f>
        <v>#DIV/0!</v>
      </c>
      <c r="D46" s="2067"/>
      <c r="E46" s="2067"/>
      <c r="F46" s="2067"/>
      <c r="I46" s="2339" t="s">
        <v>2343</v>
      </c>
      <c r="J46" s="2340"/>
      <c r="K46" s="2341"/>
      <c r="L46" s="3105">
        <f>IF(OR(M47="住宅",D1="土地（套用方法）"),0,IF(L48&gt;J51,L60,J60))</f>
        <v>0</v>
      </c>
      <c r="O46" s="2355" t="s">
        <v>2410</v>
      </c>
      <c r="P46" s="1575"/>
      <c r="Q46" s="1586"/>
      <c r="R46" s="1575"/>
    </row>
    <row r="47" spans="1:18" s="2041" customFormat="1" ht="18" customHeight="1" thickBot="1">
      <c r="A47" s="2333">
        <v>1</v>
      </c>
      <c r="B47" s="2334" t="s">
        <v>635</v>
      </c>
      <c r="C47" s="2535">
        <f ca="1">C48+C52+C54</f>
        <v>0</v>
      </c>
      <c r="D47" s="2067"/>
      <c r="E47" s="2067"/>
      <c r="F47" s="2067"/>
      <c r="I47" s="3096" t="s">
        <v>2344</v>
      </c>
      <c r="J47" s="2342"/>
      <c r="K47" s="3102" t="s">
        <v>2349</v>
      </c>
      <c r="L47" s="3106">
        <f ca="1">INDIRECT("'数据-取费表'!d"&amp;$G$1)</f>
        <v>0</v>
      </c>
      <c r="M47" s="1586" t="str">
        <f>IF(ISNUMBER(FIND("住宅",C1)),"住宅","非住宅")</f>
        <v>非住宅</v>
      </c>
      <c r="O47" s="2356" t="s">
        <v>2375</v>
      </c>
      <c r="P47" s="2357" t="s">
        <v>2376</v>
      </c>
      <c r="Q47" s="2358" t="s">
        <v>2377</v>
      </c>
      <c r="R47" s="2357" t="s">
        <v>2378</v>
      </c>
    </row>
    <row r="48" spans="1:18" s="2041" customFormat="1" ht="18" customHeight="1" thickBot="1">
      <c r="A48" s="2603" t="s">
        <v>2537</v>
      </c>
      <c r="B48" s="2604" t="s">
        <v>2538</v>
      </c>
      <c r="C48" s="2335">
        <f ca="1">ROUND(F48*F50*F49*(1-F51)/10000,0)</f>
        <v>0</v>
      </c>
      <c r="D48" s="2336" t="s">
        <v>636</v>
      </c>
      <c r="E48" s="2337" t="s">
        <v>2296</v>
      </c>
      <c r="F48" s="2338"/>
      <c r="G48" s="2072"/>
      <c r="I48" s="3075" t="s">
        <v>2345</v>
      </c>
      <c r="J48" s="2343"/>
      <c r="K48" s="3103" t="s">
        <v>2351</v>
      </c>
      <c r="L48" s="1890">
        <f ca="1">INDIRECT("'数据-取费表'!f"&amp;$G$1)</f>
        <v>0</v>
      </c>
      <c r="O48" s="2359" t="s">
        <v>2379</v>
      </c>
      <c r="P48" s="2360" t="s">
        <v>2405</v>
      </c>
      <c r="Q48" s="2361" t="e">
        <f ca="1">C40+J29</f>
        <v>#DIV/0!</v>
      </c>
      <c r="R48" s="2360" t="s">
        <v>2380</v>
      </c>
    </row>
    <row r="49" spans="1:18" s="2041" customFormat="1" ht="18" customHeight="1" thickBot="1">
      <c r="A49" s="785"/>
      <c r="B49" s="786"/>
      <c r="C49" s="787"/>
      <c r="D49" s="788"/>
      <c r="E49" s="783" t="s">
        <v>1739</v>
      </c>
      <c r="F49" s="784">
        <f ca="1">F7</f>
        <v>0</v>
      </c>
      <c r="G49" s="2072"/>
      <c r="H49" s="2075"/>
      <c r="I49" s="3075" t="s">
        <v>2346</v>
      </c>
      <c r="J49" s="2344"/>
      <c r="K49" s="3104" t="s">
        <v>2352</v>
      </c>
      <c r="L49" s="2345"/>
      <c r="O49" s="2359" t="s">
        <v>2381</v>
      </c>
      <c r="P49" s="2360" t="s">
        <v>2406</v>
      </c>
      <c r="Q49" s="2361" t="e">
        <f ca="1">J60</f>
        <v>#DIV/0!</v>
      </c>
      <c r="R49" s="2360" t="s">
        <v>2382</v>
      </c>
    </row>
    <row r="50" spans="1:18" s="2041" customFormat="1" ht="18" customHeight="1" thickBot="1">
      <c r="A50" s="785"/>
      <c r="B50" s="786"/>
      <c r="C50" s="787"/>
      <c r="D50" s="788"/>
      <c r="E50" s="783" t="s">
        <v>1740</v>
      </c>
      <c r="F50" s="784">
        <f ca="1">F8</f>
        <v>0</v>
      </c>
      <c r="G50" s="2077"/>
      <c r="H50" s="2075"/>
      <c r="I50" s="3075" t="s">
        <v>2347</v>
      </c>
      <c r="J50" s="3100">
        <f>SUMPRODUCT((I63:I65=J47)*(J62:L62=J48)*(J63:L65))</f>
        <v>0</v>
      </c>
      <c r="K50" s="3104" t="s">
        <v>2353</v>
      </c>
      <c r="L50" s="2345"/>
      <c r="O50" s="2362" t="s">
        <v>2383</v>
      </c>
      <c r="P50" s="2360" t="s">
        <v>2407</v>
      </c>
      <c r="Q50" s="2361">
        <f ca="1">C29</f>
        <v>0</v>
      </c>
      <c r="R50" s="2360" t="s">
        <v>2380</v>
      </c>
    </row>
    <row r="51" spans="1:18" s="2041" customFormat="1" ht="18" customHeight="1" thickBot="1">
      <c r="A51" s="785"/>
      <c r="B51" s="786"/>
      <c r="C51" s="787"/>
      <c r="D51" s="788"/>
      <c r="E51" s="783" t="s">
        <v>640</v>
      </c>
      <c r="F51" s="2332"/>
      <c r="H51" s="2075"/>
      <c r="I51" s="3097" t="s">
        <v>2348</v>
      </c>
      <c r="J51" s="3101">
        <f>IF(J49="",J50,J49+J50-YEAR('数据-取费表'!B2))</f>
        <v>0</v>
      </c>
      <c r="K51" s="3075" t="s">
        <v>2354</v>
      </c>
      <c r="L51" s="3107">
        <f ca="1">ROUND(-PV(INDIRECT("'数据-取费表'!h"&amp;$G$1),L48,(C39-C13*J36),0),0)</f>
        <v>0</v>
      </c>
      <c r="O51" s="2362" t="s">
        <v>2384</v>
      </c>
      <c r="P51" s="2360" t="s">
        <v>2385</v>
      </c>
      <c r="Q51" s="2363" t="e">
        <f ca="1">J58</f>
        <v>#DIV/0!</v>
      </c>
      <c r="R51" s="2364"/>
    </row>
    <row r="52" spans="1:18" s="2041" customFormat="1" ht="18" customHeight="1" thickBot="1">
      <c r="A52" s="780" t="s">
        <v>2536</v>
      </c>
      <c r="B52" s="2455" t="s">
        <v>2459</v>
      </c>
      <c r="C52" s="798">
        <f ca="1">ROUND(IF(F52="押一",C48/12*F11,IF(F52="押二",C48/12*2*F11,IF(F52="押三",C48/12*3*F11,C53*F11))),0)</f>
        <v>0</v>
      </c>
      <c r="D52" s="2462" t="s">
        <v>2974</v>
      </c>
      <c r="E52" s="2459" t="s">
        <v>2464</v>
      </c>
      <c r="F52" s="2582"/>
      <c r="I52" s="3098" t="s">
        <v>2421</v>
      </c>
      <c r="J52" s="2346"/>
      <c r="K52" s="3098" t="s">
        <v>2420</v>
      </c>
      <c r="L52" s="2346"/>
      <c r="O52" s="2362" t="s">
        <v>2386</v>
      </c>
      <c r="P52" s="2360" t="s">
        <v>2387</v>
      </c>
      <c r="Q52" s="2363">
        <f>J52</f>
        <v>0</v>
      </c>
      <c r="R52" s="2364"/>
    </row>
    <row r="53" spans="1:18" s="2041" customFormat="1" ht="39.75" customHeight="1" thickBot="1">
      <c r="A53" s="785"/>
      <c r="B53" s="2456" t="s">
        <v>2573</v>
      </c>
      <c r="C53" s="2460"/>
      <c r="D53" s="2462"/>
      <c r="E53" s="2459"/>
      <c r="F53" s="799"/>
      <c r="I53" s="3099" t="s">
        <v>2977</v>
      </c>
      <c r="J53" s="3178">
        <f ca="1">IF(M47="住宅",IF(D1="——",MAX(J51,L48),MAX(J51,L48-'数据-取费表'!B20)),IF(D1="——",MIN(J51,L48),MIN(J51,L48-'数据-取费表'!B20)))</f>
        <v>-2</v>
      </c>
      <c r="K53" s="3489" t="s">
        <v>2965</v>
      </c>
      <c r="L53" s="3490"/>
      <c r="O53" s="2362" t="s">
        <v>2388</v>
      </c>
      <c r="P53" s="2360" t="s">
        <v>2389</v>
      </c>
      <c r="Q53" s="2361">
        <f ca="1">J53</f>
        <v>-2</v>
      </c>
      <c r="R53" s="2360" t="s">
        <v>2390</v>
      </c>
    </row>
    <row r="54" spans="1:18" s="2041" customFormat="1" ht="18" customHeight="1" thickBot="1">
      <c r="A54" s="2498" t="s">
        <v>2467</v>
      </c>
      <c r="B54" s="2499" t="s">
        <v>2460</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8"/>
      <c r="O54" s="2359" t="s">
        <v>2391</v>
      </c>
      <c r="P54" s="2360" t="s">
        <v>2408</v>
      </c>
      <c r="Q54" s="2361" t="e">
        <f ca="1">Q48+Q49</f>
        <v>#DIV/0!</v>
      </c>
      <c r="R54" s="2364" t="s">
        <v>2392</v>
      </c>
    </row>
    <row r="55" spans="1:18" s="2041" customFormat="1" ht="18" customHeight="1" thickTop="1" thickBot="1">
      <c r="A55" s="796">
        <v>2</v>
      </c>
      <c r="B55" s="797" t="s">
        <v>644</v>
      </c>
      <c r="C55" s="798">
        <f ca="1">C13</f>
        <v>0</v>
      </c>
      <c r="D55" s="794"/>
      <c r="E55" s="794"/>
      <c r="F55" s="799"/>
      <c r="I55" s="3110" t="s">
        <v>2355</v>
      </c>
      <c r="J55" s="3050" t="e">
        <f ca="1">ROUND(IF(J47="钢混",J57/J50,1-(1-2%)*(J50-J57)/J50),3)</f>
        <v>#DIV/0!</v>
      </c>
      <c r="K55" s="3111" t="s">
        <v>2356</v>
      </c>
      <c r="L55" s="2347"/>
      <c r="O55" s="2365" t="s">
        <v>2411</v>
      </c>
      <c r="P55" s="1575"/>
      <c r="Q55" s="1586"/>
      <c r="R55" s="1575"/>
    </row>
    <row r="56" spans="1:18" s="2041" customFormat="1" ht="42.75" customHeight="1" thickBot="1">
      <c r="A56" s="1632"/>
      <c r="B56" s="2213" t="s">
        <v>2302</v>
      </c>
      <c r="C56" s="53">
        <f ca="1">C29</f>
        <v>0</v>
      </c>
      <c r="D56" s="2600"/>
      <c r="E56" s="783"/>
      <c r="F56" s="808"/>
      <c r="I56" s="3112" t="s">
        <v>2357</v>
      </c>
      <c r="J56" s="3122"/>
      <c r="K56" s="3075" t="s">
        <v>2362</v>
      </c>
      <c r="L56" s="1890">
        <f ca="1">IF(L48&lt;J51,"——",L48-J51)</f>
        <v>0</v>
      </c>
      <c r="O56" s="2356" t="s">
        <v>2375</v>
      </c>
      <c r="P56" s="2357" t="s">
        <v>2376</v>
      </c>
      <c r="Q56" s="2358" t="s">
        <v>2377</v>
      </c>
      <c r="R56" s="2357" t="s">
        <v>2378</v>
      </c>
    </row>
    <row r="57" spans="1:18" s="2041" customFormat="1" ht="28.5" customHeight="1" thickBot="1">
      <c r="A57" s="796" t="s">
        <v>1748</v>
      </c>
      <c r="B57" s="797" t="s">
        <v>651</v>
      </c>
      <c r="C57" s="798">
        <f ca="1">ROUND(C58+C63+C64+C65,0)</f>
        <v>0</v>
      </c>
      <c r="D57" s="26" t="s">
        <v>1750</v>
      </c>
      <c r="E57" s="2601"/>
      <c r="F57" s="56"/>
      <c r="I57" s="3113" t="s">
        <v>2358</v>
      </c>
      <c r="J57" s="3114">
        <f ca="1">IF(OR(M47="住宅",J51&lt;L48,J56="是"),"——",J51-L48)</f>
        <v>0</v>
      </c>
      <c r="K57" s="3075" t="s">
        <v>2363</v>
      </c>
      <c r="L57" s="1890">
        <f ca="1">IF(L48&lt;J51,"——",IF(L55="比较法",L49,IF(L55="基准地价",L50,L51)))</f>
        <v>0</v>
      </c>
      <c r="O57" s="2359" t="s">
        <v>2379</v>
      </c>
      <c r="P57" s="2360" t="s">
        <v>2409</v>
      </c>
      <c r="Q57" s="2361" t="e">
        <f ca="1">C40+J29</f>
        <v>#DIV/0!</v>
      </c>
      <c r="R57" s="2360" t="s">
        <v>2380</v>
      </c>
    </row>
    <row r="58" spans="1:18" s="2041" customFormat="1" ht="28.5" customHeight="1" thickBot="1">
      <c r="A58" s="1631" t="s">
        <v>1824</v>
      </c>
      <c r="B58" s="783" t="s">
        <v>656</v>
      </c>
      <c r="C58" s="53">
        <f ca="1">ROUND(IF(项目基本情况!B11="自然人",C47*F58,C59+C60+C61),1)</f>
        <v>0</v>
      </c>
      <c r="D58" s="2599" t="s">
        <v>657</v>
      </c>
      <c r="E58" s="2600" t="s">
        <v>690</v>
      </c>
      <c r="F58" s="809" t="str">
        <f ca="1">IF(项目基本情况!B11="企业","",IF(INDIRECT("'数据-取费表'!c"&amp;$G$1)="住宅",5%,IF(F48*F49*F50/12/(1+'数据-取费表'!C42)&gt;20000,12%,7%)))</f>
        <v/>
      </c>
      <c r="I58" s="3113" t="s">
        <v>2359</v>
      </c>
      <c r="J58" s="3051" t="e">
        <f ca="1">IF(J55&lt;0.4,0.4,J55)</f>
        <v>#DIV/0!</v>
      </c>
      <c r="K58" s="3075" t="s">
        <v>2364</v>
      </c>
      <c r="L58" s="1890" t="e">
        <f ca="1">ROUND(POWER(1+L52,L47-L48)*(POWER(1+L52,L48)-1)/(POWER(1+L52,L47)-1),4)</f>
        <v>#DIV/0!</v>
      </c>
      <c r="O58" s="2359" t="s">
        <v>2381</v>
      </c>
      <c r="P58" s="2360" t="s">
        <v>2412</v>
      </c>
      <c r="Q58" s="2361" t="e">
        <f ca="1">L60</f>
        <v>#DIV/0!</v>
      </c>
      <c r="R58" s="2364" t="s">
        <v>2414</v>
      </c>
    </row>
    <row r="59" spans="1:18" s="2041" customFormat="1" ht="28.5" customHeight="1" thickBot="1">
      <c r="A59" s="1630" t="s">
        <v>1831</v>
      </c>
      <c r="B59" s="783" t="s">
        <v>660</v>
      </c>
      <c r="C59" s="53">
        <f ca="1">ROUND(C47*F59/1.05,1)</f>
        <v>0</v>
      </c>
      <c r="D59" s="2600" t="s">
        <v>1756</v>
      </c>
      <c r="E59" s="783" t="s">
        <v>1747</v>
      </c>
      <c r="F59" s="808">
        <f t="shared" ref="F59:F65" si="0">F32</f>
        <v>5.6000000000000001E-2</v>
      </c>
      <c r="I59" s="3113" t="s">
        <v>2360</v>
      </c>
      <c r="J59" s="3114" t="e">
        <f ca="1">IF(OR(M47="住宅",J51&lt;L48,J56="是"),"——",ROUND(C29*J58,0))</f>
        <v>#DIV/0!</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2383</v>
      </c>
      <c r="P59" s="2360" t="s">
        <v>2413</v>
      </c>
      <c r="Q59" s="2361">
        <f>IF(L55="比较法",L49,IF(L55="基准地价",L50,0))</f>
        <v>0</v>
      </c>
      <c r="R59" s="2360" t="s">
        <v>2380</v>
      </c>
    </row>
    <row r="60" spans="1:18" s="2041" customFormat="1" ht="18" customHeight="1" thickBot="1">
      <c r="A60" s="1630" t="s">
        <v>1832</v>
      </c>
      <c r="B60" s="783" t="s">
        <v>1758</v>
      </c>
      <c r="C60" s="53">
        <f ca="1">IF(D60="按租金收入计税",ROUND(C47*F60,1),IF(D60="按房产原值计税",ROUND(C56*F60*0.7,1),INDIRECT("'数据-取费表'!Aj"&amp;$G$1)))</f>
        <v>0</v>
      </c>
      <c r="D60" s="2600" t="str">
        <f>D33</f>
        <v>按房产原值计税</v>
      </c>
      <c r="E60" s="783" t="s">
        <v>1747</v>
      </c>
      <c r="F60" s="808">
        <f t="shared" si="0"/>
        <v>1.2E-2</v>
      </c>
      <c r="I60" s="3115" t="s">
        <v>2361</v>
      </c>
      <c r="J60" s="3116" t="e">
        <f ca="1">IF(OR(M47="住宅",J51&lt;L48,J56="是"),"0",ROUND(J59/(1+J52)^J53,0))</f>
        <v>#DIV/0!</v>
      </c>
      <c r="K60" s="3117" t="s">
        <v>2366</v>
      </c>
      <c r="L60" s="3116" t="e">
        <f ca="1">IF(OR(M47="住宅",L48&lt;J51),0,ROUND(L57*(L58/L59-1),0))</f>
        <v>#DIV/0!</v>
      </c>
      <c r="O60" s="2362" t="s">
        <v>2384</v>
      </c>
      <c r="P60" s="2360" t="s">
        <v>2393</v>
      </c>
      <c r="Q60" s="2363">
        <f>L52</f>
        <v>0</v>
      </c>
      <c r="R60" s="2364"/>
    </row>
    <row r="61" spans="1:18" s="2041" customFormat="1" ht="18" customHeight="1" thickBot="1">
      <c r="A61" s="1633" t="s">
        <v>1833</v>
      </c>
      <c r="B61" s="340" t="s">
        <v>668</v>
      </c>
      <c r="C61" s="54">
        <f ca="1">ROUND(F61*F62/10000,1)</f>
        <v>0</v>
      </c>
      <c r="D61" s="813" t="s">
        <v>669</v>
      </c>
      <c r="E61" s="783" t="s">
        <v>670</v>
      </c>
      <c r="F61" s="639">
        <f t="shared" si="0"/>
        <v>5</v>
      </c>
      <c r="K61" s="2068"/>
      <c r="O61" s="2362" t="s">
        <v>2386</v>
      </c>
      <c r="P61" s="2360" t="s">
        <v>2394</v>
      </c>
      <c r="Q61" s="2361" t="e">
        <f ca="1">L58</f>
        <v>#DIV/0!</v>
      </c>
      <c r="R61" s="2364" t="s">
        <v>2395</v>
      </c>
    </row>
    <row r="62" spans="1:18" s="2041" customFormat="1" ht="15.75" thickBot="1">
      <c r="A62" s="814"/>
      <c r="B62" s="792"/>
      <c r="C62" s="69"/>
      <c r="D62" s="815"/>
      <c r="E62" s="783" t="s">
        <v>674</v>
      </c>
      <c r="F62" s="784">
        <f t="shared" ca="1" si="0"/>
        <v>0</v>
      </c>
      <c r="I62" s="3118" t="s">
        <v>2367</v>
      </c>
      <c r="J62" s="3119" t="s">
        <v>2368</v>
      </c>
      <c r="K62" s="3119" t="s">
        <v>2369</v>
      </c>
      <c r="L62" s="3119" t="s">
        <v>2350</v>
      </c>
      <c r="M62" s="3120" t="s">
        <v>2942</v>
      </c>
      <c r="O62" s="2362" t="s">
        <v>2388</v>
      </c>
      <c r="P62" s="2360" t="str">
        <f>K59</f>
        <v>建设期及建筑物耐用年限下的土地年期修正系数Kn</v>
      </c>
      <c r="Q62" s="2361" t="e">
        <f ca="1">L59</f>
        <v>#DIV/0!</v>
      </c>
      <c r="R62" s="2364" t="s">
        <v>2397</v>
      </c>
    </row>
    <row r="63" spans="1:18" s="2041" customFormat="1" ht="15.75" thickBot="1">
      <c r="A63" s="1631" t="s">
        <v>1889</v>
      </c>
      <c r="B63" s="783" t="s">
        <v>676</v>
      </c>
      <c r="C63" s="53">
        <f ca="1">ROUND(C56*F63,1)</f>
        <v>0</v>
      </c>
      <c r="D63" s="2600" t="s">
        <v>1803</v>
      </c>
      <c r="E63" s="783" t="s">
        <v>1747</v>
      </c>
      <c r="F63" s="816">
        <f t="shared" ca="1" si="0"/>
        <v>0</v>
      </c>
      <c r="I63" s="3118" t="s">
        <v>2370</v>
      </c>
      <c r="J63" s="3119">
        <v>70</v>
      </c>
      <c r="K63" s="3119">
        <v>50</v>
      </c>
      <c r="L63" s="3119">
        <v>80</v>
      </c>
      <c r="M63" s="3121">
        <v>0.02</v>
      </c>
      <c r="O63" s="2359" t="s">
        <v>2391</v>
      </c>
      <c r="P63" s="2360" t="s">
        <v>2408</v>
      </c>
      <c r="Q63" s="2361" t="e">
        <f ca="1">Q57+Q58</f>
        <v>#DIV/0!</v>
      </c>
      <c r="R63" s="2364" t="s">
        <v>2392</v>
      </c>
    </row>
    <row r="64" spans="1:18" s="2041" customFormat="1" ht="16.5" thickBot="1">
      <c r="A64" s="1631" t="s">
        <v>1890</v>
      </c>
      <c r="B64" s="783" t="s">
        <v>679</v>
      </c>
      <c r="C64" s="53">
        <f ca="1">ROUND(C55*F64,1)</f>
        <v>0</v>
      </c>
      <c r="D64" s="2600" t="s">
        <v>680</v>
      </c>
      <c r="E64" s="783" t="s">
        <v>1747</v>
      </c>
      <c r="F64" s="817">
        <f t="shared" ca="1" si="0"/>
        <v>0</v>
      </c>
      <c r="I64" s="3118" t="s">
        <v>2371</v>
      </c>
      <c r="J64" s="3119">
        <v>50</v>
      </c>
      <c r="K64" s="3119">
        <v>35</v>
      </c>
      <c r="L64" s="3119">
        <v>60</v>
      </c>
      <c r="M64" s="845">
        <v>0</v>
      </c>
      <c r="O64" s="2365" t="s">
        <v>2415</v>
      </c>
      <c r="P64" s="1575"/>
      <c r="Q64" s="1586"/>
      <c r="R64" s="1575"/>
    </row>
    <row r="65" spans="1:18" s="2041" customFormat="1" ht="15.75" thickBot="1">
      <c r="A65" s="1631" t="s">
        <v>1891</v>
      </c>
      <c r="B65" s="783" t="s">
        <v>666</v>
      </c>
      <c r="C65" s="53">
        <f ca="1">ROUND(C47*F65,1)</f>
        <v>0</v>
      </c>
      <c r="D65" s="2600" t="s">
        <v>683</v>
      </c>
      <c r="E65" s="783" t="s">
        <v>1747</v>
      </c>
      <c r="F65" s="793">
        <f t="shared" ca="1" si="0"/>
        <v>0</v>
      </c>
      <c r="I65" s="3118" t="s">
        <v>2372</v>
      </c>
      <c r="J65" s="3119">
        <v>40</v>
      </c>
      <c r="K65" s="3119">
        <v>30</v>
      </c>
      <c r="L65" s="3119">
        <v>50</v>
      </c>
      <c r="M65" s="3121">
        <v>0.02</v>
      </c>
      <c r="O65" s="2356" t="s">
        <v>2375</v>
      </c>
      <c r="P65" s="2357" t="s">
        <v>2376</v>
      </c>
      <c r="Q65" s="2358" t="s">
        <v>2377</v>
      </c>
      <c r="R65" s="2357" t="s">
        <v>2378</v>
      </c>
    </row>
    <row r="66" spans="1:18" s="2041" customFormat="1" ht="24.75" thickBot="1">
      <c r="A66" s="796" t="s">
        <v>1776</v>
      </c>
      <c r="B66" s="2960" t="s">
        <v>2822</v>
      </c>
      <c r="C66" s="798">
        <f ca="1">C47-C57</f>
        <v>0</v>
      </c>
      <c r="D66" s="2599" t="s">
        <v>700</v>
      </c>
      <c r="E66" s="2598"/>
      <c r="F66" s="819"/>
      <c r="K66" s="2068"/>
      <c r="O66" s="2359" t="s">
        <v>2379</v>
      </c>
      <c r="P66" s="2360" t="s">
        <v>2409</v>
      </c>
      <c r="Q66" s="2361" t="e">
        <f ca="1">C40+J29</f>
        <v>#DIV/0!</v>
      </c>
      <c r="R66" s="2360" t="s">
        <v>2380</v>
      </c>
    </row>
    <row r="67" spans="1:18" s="2041" customFormat="1" ht="20.25" thickBot="1">
      <c r="A67" s="780" t="s">
        <v>1780</v>
      </c>
      <c r="B67" s="2214" t="s">
        <v>2301</v>
      </c>
      <c r="C67" s="782" t="e">
        <f ca="1">ROUND(C66*(1-((1+F69)/(1+F67))^F68)/(F67-F69),0)</f>
        <v>#DIV/0!</v>
      </c>
      <c r="D67" s="813" t="s">
        <v>704</v>
      </c>
      <c r="E67" s="783" t="s">
        <v>705</v>
      </c>
      <c r="F67" s="793">
        <f ca="1">F40</f>
        <v>0</v>
      </c>
      <c r="K67" s="2068"/>
      <c r="O67" s="2359" t="s">
        <v>2381</v>
      </c>
      <c r="P67" s="2360" t="s">
        <v>2412</v>
      </c>
      <c r="Q67" s="2361" t="e">
        <f ca="1">L60</f>
        <v>#DIV/0!</v>
      </c>
      <c r="R67" s="2364" t="s">
        <v>2414</v>
      </c>
    </row>
    <row r="68" spans="1:18" ht="21.75" thickBot="1">
      <c r="A68" s="785"/>
      <c r="B68" s="786"/>
      <c r="C68" s="787"/>
      <c r="D68" s="820" t="s">
        <v>1808</v>
      </c>
      <c r="E68" s="783" t="s">
        <v>1784</v>
      </c>
      <c r="F68" s="821">
        <f ca="1">F41</f>
        <v>0</v>
      </c>
      <c r="O68" s="2362" t="s">
        <v>2383</v>
      </c>
      <c r="P68" s="2360" t="s">
        <v>2413</v>
      </c>
      <c r="Q68" s="2366">
        <f ca="1">L51</f>
        <v>0</v>
      </c>
      <c r="R68" s="2367" t="s">
        <v>2416</v>
      </c>
    </row>
    <row r="69" spans="1:18" ht="20.25" thickBot="1">
      <c r="A69" s="789"/>
      <c r="B69" s="790"/>
      <c r="C69" s="791"/>
      <c r="D69" s="815"/>
      <c r="E69" s="783" t="s">
        <v>710</v>
      </c>
      <c r="F69" s="2332"/>
      <c r="O69" s="2362" t="s">
        <v>2384</v>
      </c>
      <c r="P69" s="2368" t="s">
        <v>2398</v>
      </c>
      <c r="Q69" s="2361">
        <f ca="1">ROUND(Q70-Q71*Q72,0)</f>
        <v>0</v>
      </c>
      <c r="R69" s="2364"/>
    </row>
    <row r="70" spans="1:18" ht="15.75" thickBot="1">
      <c r="A70" s="822" t="s">
        <v>1787</v>
      </c>
      <c r="B70" s="823" t="s">
        <v>1810</v>
      </c>
      <c r="C70" s="824" t="e">
        <f ca="1">ROUND(C67*10000/F70,0)</f>
        <v>#DIV/0!</v>
      </c>
      <c r="D70" s="825" t="s">
        <v>1811</v>
      </c>
      <c r="E70" s="826" t="s">
        <v>1812</v>
      </c>
      <c r="F70" s="827">
        <f ca="1">F43</f>
        <v>0</v>
      </c>
      <c r="O70" s="2362" t="s">
        <v>2399</v>
      </c>
      <c r="P70" s="2368" t="s">
        <v>2400</v>
      </c>
      <c r="Q70" s="2361">
        <f ca="1">C39</f>
        <v>0</v>
      </c>
      <c r="R70" s="2360" t="s">
        <v>2380</v>
      </c>
    </row>
    <row r="71" spans="1:18" ht="15.75" thickBot="1">
      <c r="O71" s="2362" t="s">
        <v>2401</v>
      </c>
      <c r="P71" s="2368" t="s">
        <v>2402</v>
      </c>
      <c r="Q71" s="2361">
        <f ca="1">C13</f>
        <v>0</v>
      </c>
      <c r="R71" s="2360" t="s">
        <v>2380</v>
      </c>
    </row>
    <row r="72" spans="1:18" ht="15.75" thickBot="1">
      <c r="O72" s="2362" t="s">
        <v>2403</v>
      </c>
      <c r="P72" s="2368" t="s">
        <v>2404</v>
      </c>
      <c r="Q72" s="2363">
        <f ca="1">J36</f>
        <v>0</v>
      </c>
      <c r="R72" s="2364"/>
    </row>
    <row r="73" spans="1:18" ht="15.75" thickBot="1">
      <c r="O73" s="2362" t="s">
        <v>2386</v>
      </c>
      <c r="P73" s="2360" t="s">
        <v>2393</v>
      </c>
      <c r="Q73" s="2363">
        <f>L52</f>
        <v>0</v>
      </c>
      <c r="R73" s="2364"/>
    </row>
    <row r="74" spans="1:18" ht="20.25" thickBot="1">
      <c r="O74" s="2362" t="s">
        <v>2388</v>
      </c>
      <c r="P74" s="2360" t="s">
        <v>2394</v>
      </c>
      <c r="Q74" s="2361" t="e">
        <f ca="1">L58</f>
        <v>#DIV/0!</v>
      </c>
      <c r="R74" s="2364" t="s">
        <v>2395</v>
      </c>
    </row>
    <row r="75" spans="1:18" ht="15.75" thickBot="1">
      <c r="O75" s="2362" t="s">
        <v>2417</v>
      </c>
      <c r="P75" s="2360" t="str">
        <f>K59</f>
        <v>建设期及建筑物耐用年限下的土地年期修正系数Kn</v>
      </c>
      <c r="Q75" s="2361" t="e">
        <f ca="1">L59</f>
        <v>#DIV/0!</v>
      </c>
      <c r="R75" s="2364" t="s">
        <v>2397</v>
      </c>
    </row>
    <row r="76" spans="1:18" ht="15.75" thickBot="1">
      <c r="O76" s="2359" t="s">
        <v>2391</v>
      </c>
      <c r="P76" s="2360" t="s">
        <v>2408</v>
      </c>
      <c r="Q76" s="2361" t="e">
        <f ca="1">Q66+Q67</f>
        <v>#DIV/0!</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2471</v>
      </c>
      <c r="B1" s="3508"/>
      <c r="C1" s="3509"/>
      <c r="D1" s="3510">
        <f>SUM(I10,I15,I20,I21,I23)</f>
        <v>0</v>
      </c>
      <c r="E1" s="3510"/>
      <c r="F1" s="3510"/>
      <c r="G1" s="3510"/>
      <c r="H1" s="3510"/>
      <c r="I1" s="3511"/>
    </row>
    <row r="2" spans="1:9">
      <c r="A2" s="3497" t="s">
        <v>2472</v>
      </c>
      <c r="B2" s="3498" t="s">
        <v>2473</v>
      </c>
      <c r="C2" s="3498"/>
      <c r="D2" s="2468" t="s">
        <v>2474</v>
      </c>
      <c r="E2" s="2468" t="s">
        <v>2475</v>
      </c>
      <c r="F2" s="2468" t="s">
        <v>2476</v>
      </c>
      <c r="G2" s="2468" t="s">
        <v>2477</v>
      </c>
      <c r="H2" s="2468" t="s">
        <v>2478</v>
      </c>
      <c r="I2" s="2469" t="s">
        <v>2479</v>
      </c>
    </row>
    <row r="3" spans="1:9">
      <c r="A3" s="3497"/>
      <c r="B3" s="3498" t="s">
        <v>2480</v>
      </c>
      <c r="C3" s="3498"/>
      <c r="D3" s="2470"/>
      <c r="E3" s="2468"/>
      <c r="F3" s="2471"/>
      <c r="G3" s="2471"/>
      <c r="H3" s="2472"/>
      <c r="I3" s="2473">
        <f>ROUND(D3*E3*F3*G3*H3/10000,0)</f>
        <v>0</v>
      </c>
    </row>
    <row r="4" spans="1:9">
      <c r="A4" s="3497"/>
      <c r="B4" s="3498" t="s">
        <v>2481</v>
      </c>
      <c r="C4" s="3498"/>
      <c r="D4" s="2470"/>
      <c r="E4" s="2468"/>
      <c r="F4" s="2471"/>
      <c r="G4" s="2471"/>
      <c r="H4" s="2472"/>
      <c r="I4" s="2473">
        <f t="shared" ref="I4:I9" si="0">ROUND(D4*E4*F4*G4*H4/10000,0)</f>
        <v>0</v>
      </c>
    </row>
    <row r="5" spans="1:9">
      <c r="A5" s="3497"/>
      <c r="B5" s="3498" t="s">
        <v>2482</v>
      </c>
      <c r="C5" s="3498"/>
      <c r="D5" s="2470"/>
      <c r="E5" s="2468"/>
      <c r="F5" s="2471"/>
      <c r="G5" s="2471"/>
      <c r="H5" s="2472"/>
      <c r="I5" s="2473">
        <f t="shared" si="0"/>
        <v>0</v>
      </c>
    </row>
    <row r="6" spans="1:9">
      <c r="A6" s="3497"/>
      <c r="B6" s="3498" t="s">
        <v>2483</v>
      </c>
      <c r="C6" s="3498"/>
      <c r="D6" s="2470"/>
      <c r="E6" s="2468"/>
      <c r="F6" s="2471"/>
      <c r="G6" s="2471"/>
      <c r="H6" s="2472"/>
      <c r="I6" s="2473">
        <f t="shared" si="0"/>
        <v>0</v>
      </c>
    </row>
    <row r="7" spans="1:9">
      <c r="A7" s="3497"/>
      <c r="B7" s="3498" t="s">
        <v>2484</v>
      </c>
      <c r="C7" s="3498"/>
      <c r="D7" s="2470"/>
      <c r="E7" s="2468"/>
      <c r="F7" s="2471"/>
      <c r="G7" s="2471"/>
      <c r="H7" s="2472"/>
      <c r="I7" s="2473">
        <f t="shared" si="0"/>
        <v>0</v>
      </c>
    </row>
    <row r="8" spans="1:9">
      <c r="A8" s="3497"/>
      <c r="B8" s="3498" t="s">
        <v>2485</v>
      </c>
      <c r="C8" s="3498"/>
      <c r="D8" s="2470"/>
      <c r="E8" s="2468"/>
      <c r="F8" s="2471"/>
      <c r="G8" s="2471"/>
      <c r="H8" s="2472"/>
      <c r="I8" s="2473">
        <f t="shared" si="0"/>
        <v>0</v>
      </c>
    </row>
    <row r="9" spans="1:9">
      <c r="A9" s="3497"/>
      <c r="B9" s="3498" t="s">
        <v>2486</v>
      </c>
      <c r="C9" s="3498"/>
      <c r="D9" s="2470"/>
      <c r="E9" s="2468"/>
      <c r="F9" s="2471"/>
      <c r="G9" s="2471"/>
      <c r="H9" s="2472"/>
      <c r="I9" s="2473">
        <f t="shared" si="0"/>
        <v>0</v>
      </c>
    </row>
    <row r="10" spans="1:9">
      <c r="A10" s="3497"/>
      <c r="B10" s="3499" t="s">
        <v>2487</v>
      </c>
      <c r="C10" s="3499"/>
      <c r="D10" s="2474">
        <v>527</v>
      </c>
      <c r="E10" s="2474" t="e">
        <f>ROUND(D1*10000/D10/H9,0)</f>
        <v>#DIV/0!</v>
      </c>
      <c r="F10" s="2475"/>
      <c r="G10" s="2475"/>
      <c r="H10" s="2476"/>
      <c r="I10" s="2477">
        <f>SUM(I3:I9)</f>
        <v>0</v>
      </c>
    </row>
    <row r="11" spans="1:9" ht="14.25">
      <c r="A11" s="3497" t="s">
        <v>2488</v>
      </c>
      <c r="B11" s="3498" t="s">
        <v>2489</v>
      </c>
      <c r="C11" s="3498"/>
      <c r="D11" s="2470" t="s">
        <v>2490</v>
      </c>
      <c r="E11" s="2470" t="s">
        <v>2491</v>
      </c>
      <c r="F11" s="2471" t="s">
        <v>2492</v>
      </c>
      <c r="G11" s="2471" t="s">
        <v>2493</v>
      </c>
      <c r="H11" s="2478" t="s">
        <v>2494</v>
      </c>
      <c r="I11" s="2469" t="s">
        <v>2495</v>
      </c>
    </row>
    <row r="12" spans="1:9">
      <c r="A12" s="3497"/>
      <c r="B12" s="3498" t="s">
        <v>2496</v>
      </c>
      <c r="C12" s="3498"/>
      <c r="D12" s="2470"/>
      <c r="E12" s="2470"/>
      <c r="F12" s="2471"/>
      <c r="G12" s="2472"/>
      <c r="H12" s="2479"/>
      <c r="I12" s="2469">
        <f>ROUND(D12*E12*F12*G12/10000,0)</f>
        <v>0</v>
      </c>
    </row>
    <row r="13" spans="1:9">
      <c r="A13" s="3497"/>
      <c r="B13" s="3498" t="s">
        <v>2497</v>
      </c>
      <c r="C13" s="3498"/>
      <c r="D13" s="2470"/>
      <c r="E13" s="2470"/>
      <c r="F13" s="2471"/>
      <c r="G13" s="2472"/>
      <c r="H13" s="2479"/>
      <c r="I13" s="2469">
        <f>ROUND(D13*E13*F13*G13/10000,0)</f>
        <v>0</v>
      </c>
    </row>
    <row r="14" spans="1:9">
      <c r="A14" s="3497"/>
      <c r="B14" s="3498" t="s">
        <v>2498</v>
      </c>
      <c r="C14" s="3498"/>
      <c r="D14" s="2470"/>
      <c r="E14" s="2470"/>
      <c r="F14" s="2471"/>
      <c r="G14" s="2472"/>
      <c r="H14" s="2479"/>
      <c r="I14" s="2469">
        <f>ROUND(D14*E14*F14*G14/10000,0)</f>
        <v>0</v>
      </c>
    </row>
    <row r="15" spans="1:9">
      <c r="A15" s="3497"/>
      <c r="B15" s="3499" t="s">
        <v>2487</v>
      </c>
      <c r="C15" s="3499"/>
      <c r="D15" s="2474"/>
      <c r="E15" s="2474">
        <f>SUM(E12:E14)</f>
        <v>0</v>
      </c>
      <c r="F15" s="2475"/>
      <c r="G15" s="2472"/>
      <c r="H15" s="2479"/>
      <c r="I15" s="2480">
        <f>SUM(I12:I14)</f>
        <v>0</v>
      </c>
    </row>
    <row r="16" spans="1:9" ht="24">
      <c r="A16" s="3497" t="s">
        <v>2499</v>
      </c>
      <c r="B16" s="3498" t="s">
        <v>2500</v>
      </c>
      <c r="C16" s="3498"/>
      <c r="D16" s="2470" t="s">
        <v>2501</v>
      </c>
      <c r="E16" s="2481" t="s">
        <v>2502</v>
      </c>
      <c r="F16" s="2471" t="s">
        <v>2503</v>
      </c>
      <c r="G16" s="2472" t="s">
        <v>2493</v>
      </c>
      <c r="H16" s="2478" t="s">
        <v>2494</v>
      </c>
      <c r="I16" s="2469" t="s">
        <v>2495</v>
      </c>
    </row>
    <row r="17" spans="1:9" ht="14.25">
      <c r="A17" s="3497"/>
      <c r="B17" s="3498" t="s">
        <v>2504</v>
      </c>
      <c r="C17" s="3498"/>
      <c r="D17" s="2470"/>
      <c r="E17" s="2470"/>
      <c r="F17" s="2471"/>
      <c r="G17" s="2472"/>
      <c r="H17" s="2482"/>
      <c r="I17" s="2483">
        <f>ROUND(D17*E17*F17*G17/10000,0)</f>
        <v>0</v>
      </c>
    </row>
    <row r="18" spans="1:9" ht="14.25">
      <c r="A18" s="3497"/>
      <c r="B18" s="3498" t="s">
        <v>2505</v>
      </c>
      <c r="C18" s="3498"/>
      <c r="D18" s="2470"/>
      <c r="E18" s="2470"/>
      <c r="F18" s="2471"/>
      <c r="G18" s="2472"/>
      <c r="H18" s="2482"/>
      <c r="I18" s="2483">
        <f>ROUND(D18*E18*F18*G18/10000,0)</f>
        <v>0</v>
      </c>
    </row>
    <row r="19" spans="1:9" ht="14.25">
      <c r="A19" s="3497"/>
      <c r="B19" s="3498" t="s">
        <v>2506</v>
      </c>
      <c r="C19" s="3498"/>
      <c r="D19" s="2470"/>
      <c r="E19" s="2470"/>
      <c r="F19" s="2471"/>
      <c r="G19" s="2472"/>
      <c r="H19" s="2482"/>
      <c r="I19" s="2483">
        <f>ROUND(D19*E19*F19*G19/10000,0)</f>
        <v>0</v>
      </c>
    </row>
    <row r="20" spans="1:9">
      <c r="A20" s="3497"/>
      <c r="B20" s="3499" t="s">
        <v>2487</v>
      </c>
      <c r="C20" s="3499"/>
      <c r="D20" s="2474">
        <f>SUM(D17:D19)</f>
        <v>0</v>
      </c>
      <c r="E20" s="2474"/>
      <c r="F20" s="2475"/>
      <c r="G20" s="2472"/>
      <c r="H20" s="2479"/>
      <c r="I20" s="2480">
        <f>SUM(I17:I19)</f>
        <v>0</v>
      </c>
    </row>
    <row r="21" spans="1:9">
      <c r="A21" s="3497" t="s">
        <v>2507</v>
      </c>
      <c r="B21" s="3500"/>
      <c r="C21" s="3500"/>
      <c r="D21" s="3500"/>
      <c r="E21" s="3500"/>
      <c r="F21" s="3500"/>
      <c r="G21" s="3500"/>
      <c r="H21" s="2484">
        <v>0.1</v>
      </c>
      <c r="I21" s="2477">
        <f>ROUND(I10*H21,0)</f>
        <v>0</v>
      </c>
    </row>
    <row r="22" spans="1:9" ht="14.25">
      <c r="A22" s="3501" t="s">
        <v>2508</v>
      </c>
      <c r="B22" s="3502"/>
      <c r="C22" s="3503"/>
      <c r="D22" s="2485" t="s">
        <v>2509</v>
      </c>
      <c r="E22" s="2485" t="s">
        <v>2510</v>
      </c>
      <c r="F22" s="2486" t="s">
        <v>2511</v>
      </c>
      <c r="G22" s="2486" t="s">
        <v>2512</v>
      </c>
      <c r="H22" s="2478" t="s">
        <v>2513</v>
      </c>
      <c r="I22" s="2469" t="s">
        <v>2514</v>
      </c>
    </row>
    <row r="23" spans="1:9" ht="14.25" thickBot="1">
      <c r="A23" s="3504"/>
      <c r="B23" s="3505"/>
      <c r="C23" s="3506"/>
      <c r="D23" s="2487"/>
      <c r="E23" s="2487"/>
      <c r="F23" s="2487"/>
      <c r="G23" s="2488"/>
      <c r="H23" s="2489"/>
      <c r="I23" s="2490">
        <f>ROUND(E23*D23*F23*(1-G23)/10000,0)</f>
        <v>0</v>
      </c>
    </row>
    <row r="26" spans="1:9">
      <c r="A26" s="2491" t="s">
        <v>2515</v>
      </c>
      <c r="B26" s="2491"/>
      <c r="C26" s="2491"/>
      <c r="D26" s="2491"/>
      <c r="E26" s="3494">
        <f>C27-C30-C31-C32</f>
        <v>0</v>
      </c>
      <c r="F26" s="3494"/>
      <c r="G26" s="3494"/>
      <c r="H26" s="2992" t="s">
        <v>2842</v>
      </c>
    </row>
    <row r="27" spans="1:9">
      <c r="A27" s="2492">
        <v>1</v>
      </c>
      <c r="B27" s="2493" t="s">
        <v>2516</v>
      </c>
      <c r="C27" s="2493"/>
      <c r="D27" s="2493"/>
      <c r="E27" s="3495"/>
      <c r="F27" s="3495"/>
      <c r="G27" s="3495"/>
    </row>
    <row r="28" spans="1:9">
      <c r="A28" s="2494" t="s">
        <v>2517</v>
      </c>
      <c r="B28" s="2493" t="s">
        <v>2518</v>
      </c>
      <c r="C28" s="2493"/>
      <c r="D28" s="2493"/>
      <c r="E28" s="3495"/>
      <c r="F28" s="3495"/>
      <c r="G28" s="3495"/>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96"/>
      <c r="F32" s="3496"/>
      <c r="G32" s="3496"/>
    </row>
    <row r="33" spans="1:7" hidden="1">
      <c r="A33" s="3491" t="s">
        <v>2526</v>
      </c>
      <c r="B33" s="3492"/>
      <c r="C33" s="3492"/>
      <c r="D33" s="3493"/>
      <c r="E33" s="3494"/>
      <c r="F33" s="3494"/>
      <c r="G33" s="3494"/>
    </row>
    <row r="34" spans="1:7" hidden="1">
      <c r="A34" s="2496">
        <v>1</v>
      </c>
      <c r="B34" s="2493" t="s">
        <v>2527</v>
      </c>
      <c r="C34" s="2493"/>
      <c r="D34" s="2493"/>
      <c r="E34" s="3495"/>
      <c r="F34" s="3495"/>
      <c r="G34" s="3495"/>
    </row>
    <row r="35" spans="1:7" hidden="1">
      <c r="A35" s="2496">
        <v>2</v>
      </c>
      <c r="B35" s="2493" t="s">
        <v>2528</v>
      </c>
      <c r="C35" s="2493"/>
      <c r="D35" s="2493"/>
      <c r="E35" s="3495"/>
      <c r="F35" s="3495"/>
      <c r="G35" s="3495"/>
    </row>
    <row r="36" spans="1:7" hidden="1">
      <c r="A36" s="2496">
        <v>3</v>
      </c>
      <c r="B36" s="2493" t="s">
        <v>2529</v>
      </c>
      <c r="C36" s="2493"/>
      <c r="D36" s="2493"/>
      <c r="E36" s="3495"/>
      <c r="F36" s="3495"/>
      <c r="G36" s="3495"/>
    </row>
    <row r="37" spans="1:7" hidden="1">
      <c r="A37" s="2496">
        <v>4</v>
      </c>
      <c r="B37" s="2493" t="s">
        <v>2530</v>
      </c>
      <c r="C37" s="2493"/>
      <c r="D37" s="2493"/>
      <c r="E37" s="3495"/>
      <c r="F37" s="3495"/>
      <c r="G37" s="3495"/>
    </row>
    <row r="38" spans="1:7" hidden="1">
      <c r="A38" s="3491" t="s">
        <v>2531</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2440</v>
      </c>
      <c r="B8" s="2433" t="s">
        <v>2442</v>
      </c>
      <c r="C8" s="2434"/>
      <c r="D8" s="748"/>
      <c r="E8" s="749"/>
      <c r="F8" s="749"/>
      <c r="G8" s="750"/>
    </row>
    <row r="9" spans="1:25" s="2165" customFormat="1" ht="13.5" customHeight="1">
      <c r="A9" s="2430" t="s">
        <v>2441</v>
      </c>
      <c r="B9" s="2433" t="s">
        <v>2443</v>
      </c>
      <c r="C9" s="2434"/>
      <c r="D9" s="748"/>
      <c r="E9" s="749"/>
      <c r="F9" s="749"/>
      <c r="G9" s="750"/>
    </row>
    <row r="10" spans="1:25" s="2165" customFormat="1" ht="36">
      <c r="A10" s="2430">
        <v>2</v>
      </c>
      <c r="B10" s="747" t="s">
        <v>613</v>
      </c>
      <c r="C10" s="748">
        <f>C11+C14+C15</f>
        <v>0</v>
      </c>
      <c r="D10" s="759">
        <f>'数据-汇总表'!E3</f>
        <v>126219.51999999999</v>
      </c>
      <c r="E10" s="748">
        <f>'数据-取费表'!B31</f>
        <v>200</v>
      </c>
      <c r="F10" s="760"/>
      <c r="G10" s="758" t="s">
        <v>614</v>
      </c>
    </row>
    <row r="11" spans="1:25" s="2165" customFormat="1" ht="13.5" customHeight="1">
      <c r="A11" s="2430" t="s">
        <v>2440</v>
      </c>
      <c r="B11" s="751" t="s">
        <v>610</v>
      </c>
      <c r="C11" s="752">
        <f>'数据-取费表'!B29</f>
        <v>0</v>
      </c>
      <c r="D11" s="753"/>
      <c r="E11" s="752"/>
      <c r="F11" s="754"/>
      <c r="G11" s="2439" t="s">
        <v>2451</v>
      </c>
    </row>
    <row r="12" spans="1:25" s="2165" customFormat="1" ht="13.5" customHeight="1">
      <c r="A12" s="2437" t="s">
        <v>2448</v>
      </c>
      <c r="B12" s="755" t="s">
        <v>611</v>
      </c>
      <c r="C12" s="756">
        <f>ROUND(D12*E12/10000,0)</f>
        <v>432</v>
      </c>
      <c r="D12" s="757">
        <f>'数据-汇总表'!E5</f>
        <v>107286.59</v>
      </c>
      <c r="E12" s="756">
        <f>'数据-取费表'!B27</f>
        <v>40.270000000000003</v>
      </c>
      <c r="F12" s="754"/>
      <c r="G12" s="758"/>
    </row>
    <row r="13" spans="1:25" s="2165" customFormat="1" ht="13.5" customHeight="1">
      <c r="A13" s="2437" t="s">
        <v>2447</v>
      </c>
      <c r="B13" s="755" t="s">
        <v>612</v>
      </c>
      <c r="C13" s="756">
        <f>ROUND(D13*E13/10000,0)</f>
        <v>266</v>
      </c>
      <c r="D13" s="757">
        <f>'数据-汇总表'!E6</f>
        <v>18932.929999999993</v>
      </c>
      <c r="E13" s="756">
        <f>'数据-取费表'!B28</f>
        <v>140.27000000000001</v>
      </c>
      <c r="F13" s="754"/>
      <c r="G13" s="758"/>
    </row>
    <row r="14" spans="1:25" s="2165" customFormat="1" ht="13.5" customHeight="1">
      <c r="A14" s="2430" t="s">
        <v>2441</v>
      </c>
      <c r="B14" s="2436" t="s">
        <v>2444</v>
      </c>
      <c r="C14" s="2434"/>
      <c r="D14" s="757"/>
      <c r="E14" s="756"/>
      <c r="F14" s="2435"/>
      <c r="G14" s="2438" t="s">
        <v>2449</v>
      </c>
    </row>
    <row r="15" spans="1:25" s="2165" customFormat="1" ht="13.5" customHeight="1">
      <c r="A15" s="2430" t="s">
        <v>2446</v>
      </c>
      <c r="B15" s="2436" t="s">
        <v>2445</v>
      </c>
      <c r="C15" s="2434"/>
      <c r="D15" s="757"/>
      <c r="E15" s="756"/>
      <c r="F15" s="2435"/>
      <c r="G15" s="2438" t="s">
        <v>2450</v>
      </c>
    </row>
    <row r="16" spans="1:25" s="2166" customFormat="1" ht="48">
      <c r="A16" s="2430">
        <v>3</v>
      </c>
      <c r="B16" s="747" t="s">
        <v>615</v>
      </c>
      <c r="C16" s="2434"/>
      <c r="D16" s="759"/>
      <c r="E16" s="748"/>
      <c r="F16" s="760"/>
      <c r="G16" s="758" t="s">
        <v>2452</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0.17</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2"/>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0.94199999999999995</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777</v>
      </c>
      <c r="C1" s="503" t="s">
        <v>720</v>
      </c>
      <c r="D1" s="848"/>
      <c r="E1" s="505"/>
      <c r="F1" s="2759"/>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1" t="s">
        <v>521</v>
      </c>
      <c r="B4" s="512"/>
      <c r="C4" s="3404" t="s">
        <v>522</v>
      </c>
      <c r="D4" s="3405"/>
      <c r="E4" s="3428" t="s">
        <v>523</v>
      </c>
      <c r="F4" s="3429"/>
      <c r="G4" s="3404" t="s">
        <v>524</v>
      </c>
      <c r="H4" s="3405"/>
      <c r="I4" s="3404" t="s">
        <v>525</v>
      </c>
      <c r="J4" s="3405"/>
      <c r="K4" s="513" t="s">
        <v>526</v>
      </c>
      <c r="L4" s="2115"/>
      <c r="M4" s="2116"/>
      <c r="N4" s="2116"/>
      <c r="O4" s="2116"/>
      <c r="P4" s="3512" t="s">
        <v>527</v>
      </c>
      <c r="Q4" s="3407"/>
      <c r="R4" s="3392" t="s">
        <v>523</v>
      </c>
      <c r="S4" s="3393"/>
      <c r="T4" s="3392" t="s">
        <v>524</v>
      </c>
      <c r="U4" s="3393"/>
      <c r="V4" s="3412" t="s">
        <v>525</v>
      </c>
      <c r="W4" s="3412"/>
      <c r="X4" s="1550"/>
      <c r="Y4" s="3392" t="s">
        <v>527</v>
      </c>
      <c r="Z4" s="3393"/>
      <c r="AA4" s="3387" t="s">
        <v>523</v>
      </c>
      <c r="AB4" s="3387" t="s">
        <v>524</v>
      </c>
      <c r="AC4" s="3387" t="s">
        <v>525</v>
      </c>
    </row>
    <row r="5" spans="1:29" ht="15">
      <c r="A5" s="514"/>
      <c r="B5" s="515"/>
      <c r="C5" s="3415" t="s">
        <v>2929</v>
      </c>
      <c r="D5" s="3416"/>
      <c r="E5" s="3430" t="s">
        <v>2930</v>
      </c>
      <c r="F5" s="3431"/>
      <c r="G5" s="3415" t="s">
        <v>2931</v>
      </c>
      <c r="H5" s="3416"/>
      <c r="I5" s="3415" t="s">
        <v>2932</v>
      </c>
      <c r="J5" s="3416"/>
      <c r="K5" s="513"/>
      <c r="L5" s="2115"/>
      <c r="M5" s="2116"/>
      <c r="N5" s="2116"/>
      <c r="O5" s="2116"/>
      <c r="P5" s="3513"/>
      <c r="Q5" s="3409"/>
      <c r="R5" s="3394"/>
      <c r="S5" s="3395"/>
      <c r="T5" s="3394"/>
      <c r="U5" s="3395"/>
      <c r="V5" s="3412"/>
      <c r="W5" s="3412"/>
      <c r="X5" s="1550"/>
      <c r="Y5" s="3394"/>
      <c r="Z5" s="3395"/>
      <c r="AA5" s="3388"/>
      <c r="AB5" s="3388"/>
      <c r="AC5" s="3388"/>
    </row>
    <row r="6" spans="1:29" ht="15.75" thickBot="1">
      <c r="A6" s="516"/>
      <c r="B6" s="517"/>
      <c r="C6" s="3413" t="s">
        <v>2933</v>
      </c>
      <c r="D6" s="3414"/>
      <c r="E6" s="3432" t="s">
        <v>2933</v>
      </c>
      <c r="F6" s="3433"/>
      <c r="G6" s="3413" t="s">
        <v>2933</v>
      </c>
      <c r="H6" s="3414"/>
      <c r="I6" s="3413" t="s">
        <v>2933</v>
      </c>
      <c r="J6" s="3414"/>
      <c r="K6" s="513" t="s">
        <v>528</v>
      </c>
      <c r="L6" s="2115"/>
      <c r="M6" s="2116"/>
      <c r="N6" s="2116"/>
      <c r="O6" s="2116"/>
      <c r="P6" s="3514"/>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399" t="s">
        <v>530</v>
      </c>
      <c r="Q7" s="3399"/>
      <c r="R7" s="1551" t="s">
        <v>8</v>
      </c>
      <c r="S7" s="1552">
        <f t="shared" ref="S7:S15" si="0">F7</f>
        <v>0</v>
      </c>
      <c r="T7" s="1551" t="s">
        <v>8</v>
      </c>
      <c r="U7" s="1552">
        <f t="shared" ref="U7:U15" si="1">H7</f>
        <v>0</v>
      </c>
      <c r="V7" s="1551" t="s">
        <v>8</v>
      </c>
      <c r="W7" s="1552">
        <f t="shared" ref="W7:W15" si="2">J7</f>
        <v>0</v>
      </c>
      <c r="X7" s="1553"/>
      <c r="Y7" s="3390" t="s">
        <v>530</v>
      </c>
      <c r="Z7" s="3391"/>
      <c r="AA7" s="1554" t="e">
        <f>D7/F7</f>
        <v>#DIV/0!</v>
      </c>
      <c r="AB7" s="1554" t="e">
        <f>D7/H7</f>
        <v>#DIV/0!</v>
      </c>
      <c r="AC7" s="1554" t="e">
        <f>D7/J7</f>
        <v>#DIV/0!</v>
      </c>
    </row>
    <row r="8" spans="1:29" s="1213"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399" t="s">
        <v>533</v>
      </c>
      <c r="Q8" s="3391"/>
      <c r="R8" s="1551" t="s">
        <v>8</v>
      </c>
      <c r="S8" s="1552">
        <f t="shared" si="0"/>
        <v>0</v>
      </c>
      <c r="T8" s="1551" t="s">
        <v>8</v>
      </c>
      <c r="U8" s="1552">
        <f t="shared" si="1"/>
        <v>0</v>
      </c>
      <c r="V8" s="1551" t="s">
        <v>8</v>
      </c>
      <c r="W8" s="1552">
        <f t="shared" si="2"/>
        <v>0</v>
      </c>
      <c r="X8" s="1553"/>
      <c r="Y8" s="3390" t="s">
        <v>533</v>
      </c>
      <c r="Z8" s="3391"/>
      <c r="AA8" s="1554" t="e">
        <f t="shared" ref="AA8:AA47" si="3">D8/F8</f>
        <v>#DIV/0!</v>
      </c>
      <c r="AB8" s="1554" t="e">
        <f t="shared" ref="AB8:AB47" si="4">D8/H8</f>
        <v>#DIV/0!</v>
      </c>
      <c r="AC8" s="1554" t="e">
        <f t="shared" ref="AC8:AC47" si="5">D8/J8</f>
        <v>#DIV/0!</v>
      </c>
    </row>
    <row r="9" spans="1:29" s="1213" customFormat="1" ht="15">
      <c r="A9" s="2866"/>
      <c r="B9" s="2873" t="s">
        <v>2756</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98"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867"/>
      <c r="B10" s="2872" t="s">
        <v>2757</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8"/>
      <c r="B11" s="287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98"/>
      <c r="Q11" s="1144" t="str">
        <f t="shared" si="6"/>
        <v>容积率</v>
      </c>
      <c r="R11" s="1551" t="s">
        <v>8</v>
      </c>
      <c r="S11" s="1552" t="e">
        <f t="shared" si="0"/>
        <v>#N/A</v>
      </c>
      <c r="T11" s="1551" t="s">
        <v>8</v>
      </c>
      <c r="U11" s="1552" t="e">
        <f t="shared" si="1"/>
        <v>#N/A</v>
      </c>
      <c r="V11" s="1551" t="s">
        <v>8</v>
      </c>
      <c r="W11" s="1552" t="e">
        <f t="shared" si="2"/>
        <v>#N/A</v>
      </c>
      <c r="X11" s="1553"/>
      <c r="Y11" s="3355"/>
      <c r="Z11" s="1143" t="str">
        <f t="shared" si="7"/>
        <v>容积率</v>
      </c>
      <c r="AA11" s="1554" t="e">
        <f t="shared" si="3"/>
        <v>#N/A</v>
      </c>
      <c r="AB11" s="1554" t="e">
        <f t="shared" si="4"/>
        <v>#N/A</v>
      </c>
      <c r="AC11" s="1554" t="e">
        <f t="shared" si="5"/>
        <v>#N/A</v>
      </c>
    </row>
    <row r="12" spans="1:29" s="1213"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75"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398"/>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 t="shared" si="3"/>
        <v>1</v>
      </c>
      <c r="AB14" s="1554">
        <f t="shared" si="4"/>
        <v>1</v>
      </c>
      <c r="AC14" s="1554">
        <f t="shared" si="5"/>
        <v>1</v>
      </c>
    </row>
    <row r="15" spans="1:29" ht="71.25">
      <c r="A15" s="2862"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00" t="s">
        <v>540</v>
      </c>
      <c r="Q15" s="1555" t="str">
        <f t="shared" si="6"/>
        <v>办公集聚程度</v>
      </c>
      <c r="R15" s="1556" t="s">
        <v>8</v>
      </c>
      <c r="S15" s="1557">
        <f t="shared" si="0"/>
        <v>100</v>
      </c>
      <c r="T15" s="1556" t="s">
        <v>8</v>
      </c>
      <c r="U15" s="1557">
        <f t="shared" si="1"/>
        <v>100</v>
      </c>
      <c r="V15" s="1556" t="s">
        <v>8</v>
      </c>
      <c r="W15" s="1557">
        <f t="shared" si="2"/>
        <v>100</v>
      </c>
      <c r="X15" s="1550"/>
      <c r="Y15" s="3400"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01"/>
      <c r="Q16" s="1555"/>
      <c r="R16" s="1556"/>
      <c r="S16" s="1557"/>
      <c r="T16" s="1556"/>
      <c r="U16" s="1557"/>
      <c r="V16" s="1556"/>
      <c r="W16" s="1557"/>
      <c r="X16" s="1550"/>
      <c r="Y16" s="3401"/>
      <c r="Z16" s="1558"/>
      <c r="AA16" s="1559">
        <v>1</v>
      </c>
      <c r="AB16" s="1559">
        <v>1</v>
      </c>
      <c r="AC16" s="1559">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01"/>
      <c r="Q17" s="1555" t="str">
        <f>B17</f>
        <v>交通便捷度</v>
      </c>
      <c r="R17" s="1556" t="s">
        <v>8</v>
      </c>
      <c r="S17" s="1557">
        <f>F17</f>
        <v>100</v>
      </c>
      <c r="T17" s="1556" t="s">
        <v>8</v>
      </c>
      <c r="U17" s="1557">
        <f>H17</f>
        <v>100</v>
      </c>
      <c r="V17" s="1556" t="s">
        <v>8</v>
      </c>
      <c r="W17" s="1557">
        <f>J17</f>
        <v>100</v>
      </c>
      <c r="X17" s="1550"/>
      <c r="Y17" s="3401"/>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01"/>
      <c r="Q18" s="1555"/>
      <c r="R18" s="1556"/>
      <c r="S18" s="1557"/>
      <c r="T18" s="1556"/>
      <c r="U18" s="1557"/>
      <c r="V18" s="1556"/>
      <c r="W18" s="1557"/>
      <c r="X18" s="1550"/>
      <c r="Y18" s="3401"/>
      <c r="Z18" s="1558"/>
      <c r="AA18" s="1559">
        <v>1</v>
      </c>
      <c r="AB18" s="1559">
        <v>1</v>
      </c>
      <c r="AC18" s="1559">
        <v>1</v>
      </c>
    </row>
    <row r="19" spans="1:29" ht="42.75">
      <c r="A19" s="531"/>
      <c r="B19" s="2564"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01"/>
      <c r="Q19" s="1555" t="str">
        <f>B19</f>
        <v>公共配套设施</v>
      </c>
      <c r="R19" s="1556" t="s">
        <v>8</v>
      </c>
      <c r="S19" s="1557">
        <f>F19</f>
        <v>100</v>
      </c>
      <c r="T19" s="1556" t="s">
        <v>8</v>
      </c>
      <c r="U19" s="1557">
        <f>H19</f>
        <v>100</v>
      </c>
      <c r="V19" s="1556" t="s">
        <v>8</v>
      </c>
      <c r="W19" s="1557">
        <f>J19</f>
        <v>100</v>
      </c>
      <c r="X19" s="1550"/>
      <c r="Y19" s="3401"/>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01"/>
      <c r="Q20" s="1555"/>
      <c r="R20" s="1556"/>
      <c r="S20" s="1557"/>
      <c r="T20" s="1556"/>
      <c r="U20" s="1557"/>
      <c r="V20" s="1556"/>
      <c r="W20" s="1557"/>
      <c r="X20" s="1550"/>
      <c r="Y20" s="3401"/>
      <c r="Z20" s="1558"/>
      <c r="AA20" s="1559">
        <v>1</v>
      </c>
      <c r="AB20" s="1559">
        <v>1</v>
      </c>
      <c r="AC20" s="1559">
        <v>1</v>
      </c>
    </row>
    <row r="21" spans="1:29" ht="28.5">
      <c r="A21" s="531"/>
      <c r="B21" s="2552"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01"/>
      <c r="Q21" s="2540" t="str">
        <f>B21</f>
        <v>基础设施水平</v>
      </c>
      <c r="R21" s="1556" t="s">
        <v>8</v>
      </c>
      <c r="S21" s="1557">
        <f>F21</f>
        <v>100</v>
      </c>
      <c r="T21" s="1556" t="s">
        <v>8</v>
      </c>
      <c r="U21" s="1557">
        <f>H21</f>
        <v>100</v>
      </c>
      <c r="V21" s="1556" t="s">
        <v>8</v>
      </c>
      <c r="W21" s="1557">
        <f>J21</f>
        <v>100</v>
      </c>
      <c r="X21" s="2542"/>
      <c r="Y21" s="3401"/>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01"/>
      <c r="Q22" s="2540"/>
      <c r="R22" s="1556"/>
      <c r="S22" s="1557"/>
      <c r="T22" s="1556"/>
      <c r="U22" s="1557"/>
      <c r="V22" s="1556"/>
      <c r="W22" s="1557"/>
      <c r="X22" s="2542"/>
      <c r="Y22" s="3401"/>
      <c r="Z22" s="2541"/>
      <c r="AA22" s="1559">
        <v>1</v>
      </c>
      <c r="AB22" s="1559">
        <v>1</v>
      </c>
      <c r="AC22" s="1559">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01"/>
      <c r="Q23" s="1555" t="str">
        <f>B23</f>
        <v>环境质量</v>
      </c>
      <c r="R23" s="1556" t="s">
        <v>8</v>
      </c>
      <c r="S23" s="1557">
        <f>F23</f>
        <v>100</v>
      </c>
      <c r="T23" s="1556" t="s">
        <v>8</v>
      </c>
      <c r="U23" s="1557">
        <f>H23</f>
        <v>100</v>
      </c>
      <c r="V23" s="1556" t="s">
        <v>8</v>
      </c>
      <c r="W23" s="1557">
        <f>J23</f>
        <v>100</v>
      </c>
      <c r="X23" s="1550"/>
      <c r="Y23" s="3401"/>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01"/>
      <c r="Q24" s="1555"/>
      <c r="R24" s="1556"/>
      <c r="S24" s="1557"/>
      <c r="T24" s="1556"/>
      <c r="U24" s="1557"/>
      <c r="V24" s="1556"/>
      <c r="W24" s="1557"/>
      <c r="X24" s="1550"/>
      <c r="Y24" s="3401"/>
      <c r="Z24" s="1558"/>
      <c r="AA24" s="1559">
        <v>1</v>
      </c>
      <c r="AB24" s="1559">
        <v>1</v>
      </c>
      <c r="AC24" s="1559">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01"/>
      <c r="Q25" s="1555" t="str">
        <f>B25</f>
        <v>毗邻道路的类型与等级</v>
      </c>
      <c r="R25" s="1556" t="s">
        <v>8</v>
      </c>
      <c r="S25" s="1557">
        <f>F25</f>
        <v>100</v>
      </c>
      <c r="T25" s="1556" t="s">
        <v>8</v>
      </c>
      <c r="U25" s="1557">
        <f>H25</f>
        <v>100</v>
      </c>
      <c r="V25" s="1556" t="s">
        <v>8</v>
      </c>
      <c r="W25" s="1557">
        <f>J25</f>
        <v>100</v>
      </c>
      <c r="X25" s="1550"/>
      <c r="Y25" s="3401"/>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01"/>
      <c r="Q26" s="1555"/>
      <c r="R26" s="1556"/>
      <c r="S26" s="1557"/>
      <c r="T26" s="1556"/>
      <c r="U26" s="1557"/>
      <c r="V26" s="1556"/>
      <c r="W26" s="1557"/>
      <c r="X26" s="1550"/>
      <c r="Y26" s="3401"/>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01"/>
      <c r="Q27" s="1555" t="str">
        <f t="shared" ref="Q27:Q47" si="11">B27</f>
        <v>楼层</v>
      </c>
      <c r="R27" s="1556" t="s">
        <v>8</v>
      </c>
      <c r="S27" s="1557">
        <f>F27</f>
        <v>100</v>
      </c>
      <c r="T27" s="1556" t="s">
        <v>8</v>
      </c>
      <c r="U27" s="1557">
        <f>H27</f>
        <v>100</v>
      </c>
      <c r="V27" s="1556" t="s">
        <v>8</v>
      </c>
      <c r="W27" s="1557">
        <f>J27</f>
        <v>100</v>
      </c>
      <c r="X27" s="1550"/>
      <c r="Y27" s="3401"/>
      <c r="Z27" s="1558" t="str">
        <f>Q27</f>
        <v>楼层</v>
      </c>
      <c r="AA27" s="1559">
        <f t="shared" si="3"/>
        <v>1</v>
      </c>
      <c r="AB27" s="1559">
        <f t="shared" si="4"/>
        <v>1</v>
      </c>
      <c r="AC27" s="1559">
        <f t="shared" si="5"/>
        <v>1</v>
      </c>
    </row>
    <row r="28" spans="1:29" s="1213"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01"/>
      <c r="Q28" s="1144" t="str">
        <f t="shared" si="11"/>
        <v>朝向</v>
      </c>
      <c r="R28" s="1551" t="s">
        <v>8</v>
      </c>
      <c r="S28" s="1552">
        <f>F28</f>
        <v>100</v>
      </c>
      <c r="T28" s="1551" t="s">
        <v>8</v>
      </c>
      <c r="U28" s="1552">
        <f>H28</f>
        <v>100</v>
      </c>
      <c r="V28" s="1551" t="s">
        <v>8</v>
      </c>
      <c r="W28" s="1552">
        <f>J28</f>
        <v>100</v>
      </c>
      <c r="X28" s="1553"/>
      <c r="Y28" s="3401"/>
      <c r="Z28" s="1143"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01"/>
      <c r="Q29" s="1555">
        <f t="shared" si="11"/>
        <v>111</v>
      </c>
      <c r="R29" s="1556" t="s">
        <v>8</v>
      </c>
      <c r="S29" s="1557">
        <f t="shared" ref="S29:S47" si="12">F29</f>
        <v>100</v>
      </c>
      <c r="T29" s="1556" t="s">
        <v>8</v>
      </c>
      <c r="U29" s="1557">
        <f t="shared" ref="U29:U47" si="13">H29</f>
        <v>100</v>
      </c>
      <c r="V29" s="1556" t="s">
        <v>8</v>
      </c>
      <c r="W29" s="1557">
        <f t="shared" ref="W29:W47" si="14">J29</f>
        <v>100</v>
      </c>
      <c r="X29" s="1550"/>
      <c r="Y29" s="3401"/>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01"/>
      <c r="Q30" s="1555">
        <f t="shared" si="11"/>
        <v>111</v>
      </c>
      <c r="R30" s="1556" t="s">
        <v>8</v>
      </c>
      <c r="S30" s="1557">
        <f t="shared" si="12"/>
        <v>100</v>
      </c>
      <c r="T30" s="1556" t="s">
        <v>8</v>
      </c>
      <c r="U30" s="1557">
        <f t="shared" si="13"/>
        <v>100</v>
      </c>
      <c r="V30" s="1556" t="s">
        <v>8</v>
      </c>
      <c r="W30" s="1557">
        <f t="shared" si="14"/>
        <v>100</v>
      </c>
      <c r="X30" s="1550"/>
      <c r="Y30" s="3401"/>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01"/>
      <c r="Q31" s="1555">
        <f t="shared" si="11"/>
        <v>111</v>
      </c>
      <c r="R31" s="1556" t="s">
        <v>8</v>
      </c>
      <c r="S31" s="1557">
        <f t="shared" si="12"/>
        <v>100</v>
      </c>
      <c r="T31" s="1556" t="s">
        <v>8</v>
      </c>
      <c r="U31" s="1557">
        <f t="shared" si="13"/>
        <v>100</v>
      </c>
      <c r="V31" s="1556" t="s">
        <v>8</v>
      </c>
      <c r="W31" s="1557">
        <f t="shared" si="14"/>
        <v>100</v>
      </c>
      <c r="X31" s="1550"/>
      <c r="Y31" s="3401"/>
      <c r="Z31" s="1558">
        <f t="shared" si="15"/>
        <v>111</v>
      </c>
      <c r="AA31" s="1559">
        <f t="shared" si="3"/>
        <v>1</v>
      </c>
      <c r="AB31" s="1559">
        <f t="shared" si="4"/>
        <v>1</v>
      </c>
      <c r="AC31" s="1559">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01"/>
      <c r="Q32" s="1555">
        <f t="shared" si="11"/>
        <v>111</v>
      </c>
      <c r="R32" s="1556" t="s">
        <v>8</v>
      </c>
      <c r="S32" s="1557">
        <f t="shared" si="12"/>
        <v>100</v>
      </c>
      <c r="T32" s="1556" t="s">
        <v>8</v>
      </c>
      <c r="U32" s="1557">
        <f t="shared" si="13"/>
        <v>100</v>
      </c>
      <c r="V32" s="1556" t="s">
        <v>8</v>
      </c>
      <c r="W32" s="1557">
        <f t="shared" si="14"/>
        <v>100</v>
      </c>
      <c r="X32" s="1550"/>
      <c r="Y32" s="3401"/>
      <c r="Z32" s="1558">
        <f t="shared" si="15"/>
        <v>111</v>
      </c>
      <c r="AA32" s="1559">
        <f t="shared" si="3"/>
        <v>1</v>
      </c>
      <c r="AB32" s="1559">
        <f t="shared" si="4"/>
        <v>1</v>
      </c>
      <c r="AC32" s="1559">
        <f t="shared" si="5"/>
        <v>1</v>
      </c>
    </row>
    <row r="33" spans="1:29" ht="15">
      <c r="A33" s="2859"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02" t="s">
        <v>550</v>
      </c>
      <c r="Q33" s="1555" t="str">
        <f t="shared" si="11"/>
        <v>建筑类型</v>
      </c>
      <c r="R33" s="1556" t="s">
        <v>8</v>
      </c>
      <c r="S33" s="1557">
        <f t="shared" si="12"/>
        <v>100</v>
      </c>
      <c r="T33" s="1556" t="s">
        <v>8</v>
      </c>
      <c r="U33" s="1557">
        <f t="shared" si="13"/>
        <v>100</v>
      </c>
      <c r="V33" s="1556" t="s">
        <v>8</v>
      </c>
      <c r="W33" s="1557">
        <f t="shared" si="14"/>
        <v>100</v>
      </c>
      <c r="X33" s="1550"/>
      <c r="Y33" s="3403" t="s">
        <v>550</v>
      </c>
      <c r="Z33" s="1558" t="str">
        <f t="shared" si="15"/>
        <v>建筑类型</v>
      </c>
      <c r="AA33" s="1559">
        <f t="shared" si="3"/>
        <v>1</v>
      </c>
      <c r="AB33" s="1559">
        <f t="shared" si="4"/>
        <v>1</v>
      </c>
      <c r="AC33" s="1559">
        <f t="shared" si="5"/>
        <v>1</v>
      </c>
    </row>
    <row r="34" spans="1:29" s="1332"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03"/>
      <c r="Q34" s="1587" t="str">
        <f t="shared" si="11"/>
        <v>项目建筑规模</v>
      </c>
      <c r="R34" s="1560" t="s">
        <v>8</v>
      </c>
      <c r="S34" s="1561" t="e">
        <f t="shared" si="12"/>
        <v>#N/A</v>
      </c>
      <c r="T34" s="1560" t="s">
        <v>8</v>
      </c>
      <c r="U34" s="1561" t="e">
        <f t="shared" si="13"/>
        <v>#N/A</v>
      </c>
      <c r="V34" s="1560" t="s">
        <v>8</v>
      </c>
      <c r="W34" s="1561" t="e">
        <f t="shared" si="14"/>
        <v>#N/A</v>
      </c>
      <c r="X34" s="1562"/>
      <c r="Y34" s="3403"/>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03"/>
      <c r="Q35" s="1555" t="str">
        <f t="shared" si="11"/>
        <v>建筑结构</v>
      </c>
      <c r="R35" s="1556" t="s">
        <v>8</v>
      </c>
      <c r="S35" s="1557">
        <f t="shared" si="12"/>
        <v>100</v>
      </c>
      <c r="T35" s="1556" t="s">
        <v>8</v>
      </c>
      <c r="U35" s="1557">
        <f t="shared" si="13"/>
        <v>100</v>
      </c>
      <c r="V35" s="1556" t="s">
        <v>8</v>
      </c>
      <c r="W35" s="1557">
        <f t="shared" si="14"/>
        <v>100</v>
      </c>
      <c r="X35" s="1550"/>
      <c r="Y35" s="3403"/>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03"/>
      <c r="Q36" s="1555" t="str">
        <f t="shared" si="11"/>
        <v>公共部分装修</v>
      </c>
      <c r="R36" s="1556" t="s">
        <v>8</v>
      </c>
      <c r="S36" s="1557">
        <f t="shared" si="12"/>
        <v>100</v>
      </c>
      <c r="T36" s="1556" t="s">
        <v>8</v>
      </c>
      <c r="U36" s="1557">
        <f t="shared" si="13"/>
        <v>100</v>
      </c>
      <c r="V36" s="1556" t="s">
        <v>8</v>
      </c>
      <c r="W36" s="1557">
        <f t="shared" si="14"/>
        <v>100</v>
      </c>
      <c r="X36" s="1550"/>
      <c r="Y36" s="3403"/>
      <c r="Z36" s="1558" t="str">
        <f t="shared" si="15"/>
        <v>公共部分装修</v>
      </c>
      <c r="AA36" s="1559">
        <f t="shared" si="3"/>
        <v>1</v>
      </c>
      <c r="AB36" s="1559">
        <f t="shared" si="4"/>
        <v>1</v>
      </c>
      <c r="AC36" s="1559">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03"/>
      <c r="Q37" s="1555" t="str">
        <f t="shared" si="11"/>
        <v>成新度</v>
      </c>
      <c r="R37" s="1556" t="s">
        <v>8</v>
      </c>
      <c r="S37" s="1557" t="e">
        <f t="shared" si="12"/>
        <v>#N/A</v>
      </c>
      <c r="T37" s="1556" t="s">
        <v>8</v>
      </c>
      <c r="U37" s="1557" t="e">
        <f t="shared" si="13"/>
        <v>#N/A</v>
      </c>
      <c r="V37" s="1556" t="s">
        <v>8</v>
      </c>
      <c r="W37" s="1557" t="e">
        <f t="shared" si="14"/>
        <v>#N/A</v>
      </c>
      <c r="X37" s="1550"/>
      <c r="Y37" s="3403"/>
      <c r="Z37" s="1558" t="str">
        <f t="shared" si="15"/>
        <v>成新度</v>
      </c>
      <c r="AA37" s="1559" t="e">
        <f t="shared" si="3"/>
        <v>#N/A</v>
      </c>
      <c r="AB37" s="1559" t="e">
        <f t="shared" si="4"/>
        <v>#N/A</v>
      </c>
      <c r="AC37" s="1559"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03"/>
      <c r="Q38" s="1144" t="str">
        <f t="shared" si="11"/>
        <v>写字楼等级</v>
      </c>
      <c r="R38" s="1551" t="s">
        <v>8</v>
      </c>
      <c r="S38" s="1552">
        <f t="shared" si="12"/>
        <v>100</v>
      </c>
      <c r="T38" s="1551" t="s">
        <v>8</v>
      </c>
      <c r="U38" s="1552">
        <f t="shared" si="13"/>
        <v>100</v>
      </c>
      <c r="V38" s="1551" t="s">
        <v>8</v>
      </c>
      <c r="W38" s="1552">
        <f t="shared" si="14"/>
        <v>100</v>
      </c>
      <c r="X38" s="1553"/>
      <c r="Y38" s="3403"/>
      <c r="Z38" s="1143"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03" t="s">
        <v>550</v>
      </c>
      <c r="Q39" s="1555" t="str">
        <f t="shared" si="11"/>
        <v>物业管理</v>
      </c>
      <c r="R39" s="1556" t="s">
        <v>8</v>
      </c>
      <c r="S39" s="1557">
        <f t="shared" si="12"/>
        <v>100</v>
      </c>
      <c r="T39" s="1556" t="s">
        <v>8</v>
      </c>
      <c r="U39" s="1557">
        <f t="shared" si="13"/>
        <v>100</v>
      </c>
      <c r="V39" s="1556" t="s">
        <v>8</v>
      </c>
      <c r="W39" s="1557">
        <f t="shared" si="14"/>
        <v>100</v>
      </c>
      <c r="X39" s="1550"/>
      <c r="Y39" s="3403" t="s">
        <v>550</v>
      </c>
      <c r="Z39" s="1558" t="str">
        <f t="shared" si="15"/>
        <v>物业管理</v>
      </c>
      <c r="AA39" s="1559">
        <f t="shared" si="3"/>
        <v>1</v>
      </c>
      <c r="AB39" s="1559">
        <f t="shared" si="4"/>
        <v>1</v>
      </c>
      <c r="AC39" s="1559">
        <f t="shared" si="5"/>
        <v>1</v>
      </c>
    </row>
    <row r="40" spans="1:29" ht="15">
      <c r="A40" s="593"/>
      <c r="B40" s="1877"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03"/>
      <c r="Q40" s="1555" t="str">
        <f t="shared" si="11"/>
        <v>市政基础设施</v>
      </c>
      <c r="R40" s="1556" t="s">
        <v>8</v>
      </c>
      <c r="S40" s="1557">
        <f t="shared" si="12"/>
        <v>100</v>
      </c>
      <c r="T40" s="1556" t="s">
        <v>8</v>
      </c>
      <c r="U40" s="1557">
        <f t="shared" si="13"/>
        <v>100</v>
      </c>
      <c r="V40" s="1556" t="s">
        <v>8</v>
      </c>
      <c r="W40" s="1557">
        <f t="shared" si="14"/>
        <v>100</v>
      </c>
      <c r="X40" s="1550"/>
      <c r="Y40" s="3403"/>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03"/>
      <c r="Q41" s="1555" t="str">
        <f t="shared" si="11"/>
        <v>层高</v>
      </c>
      <c r="R41" s="1556" t="s">
        <v>8</v>
      </c>
      <c r="S41" s="1557">
        <f t="shared" si="12"/>
        <v>100</v>
      </c>
      <c r="T41" s="1556" t="s">
        <v>8</v>
      </c>
      <c r="U41" s="1557">
        <f t="shared" si="13"/>
        <v>100</v>
      </c>
      <c r="V41" s="1556" t="s">
        <v>8</v>
      </c>
      <c r="W41" s="1557">
        <f t="shared" si="14"/>
        <v>100</v>
      </c>
      <c r="X41" s="1550"/>
      <c r="Y41" s="3403"/>
      <c r="Z41" s="1558" t="str">
        <f t="shared" si="15"/>
        <v>层高</v>
      </c>
      <c r="AA41" s="1559">
        <f t="shared" si="3"/>
        <v>1</v>
      </c>
      <c r="AB41" s="1559">
        <f t="shared" si="4"/>
        <v>1</v>
      </c>
      <c r="AC41" s="1559">
        <f t="shared" si="5"/>
        <v>1</v>
      </c>
    </row>
    <row r="42" spans="1:29" s="1332"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03"/>
      <c r="Q42" s="1587" t="str">
        <f t="shared" si="11"/>
        <v>单套建筑面积</v>
      </c>
      <c r="R42" s="1560" t="s">
        <v>8</v>
      </c>
      <c r="S42" s="1561">
        <f t="shared" si="12"/>
        <v>100</v>
      </c>
      <c r="T42" s="1560" t="s">
        <v>8</v>
      </c>
      <c r="U42" s="1561">
        <f t="shared" si="13"/>
        <v>100</v>
      </c>
      <c r="V42" s="1560" t="s">
        <v>8</v>
      </c>
      <c r="W42" s="1561">
        <f t="shared" si="14"/>
        <v>100</v>
      </c>
      <c r="X42" s="1562"/>
      <c r="Y42" s="3403"/>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03"/>
      <c r="Q43" s="1555" t="str">
        <f t="shared" si="11"/>
        <v>内部装修</v>
      </c>
      <c r="R43" s="1556" t="s">
        <v>8</v>
      </c>
      <c r="S43" s="1557">
        <f t="shared" si="12"/>
        <v>100</v>
      </c>
      <c r="T43" s="1556" t="s">
        <v>8</v>
      </c>
      <c r="U43" s="1557">
        <f t="shared" si="13"/>
        <v>100</v>
      </c>
      <c r="V43" s="1556" t="s">
        <v>8</v>
      </c>
      <c r="W43" s="1557">
        <f t="shared" si="14"/>
        <v>100</v>
      </c>
      <c r="X43" s="1550"/>
      <c r="Y43" s="3403"/>
      <c r="Z43" s="1558" t="str">
        <f t="shared" si="15"/>
        <v>内部装修</v>
      </c>
      <c r="AA43" s="1559">
        <f t="shared" si="3"/>
        <v>1</v>
      </c>
      <c r="AB43" s="1559">
        <f t="shared" si="4"/>
        <v>1</v>
      </c>
      <c r="AC43" s="1559">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03"/>
      <c r="Q44" s="1555" t="str">
        <f t="shared" si="11"/>
        <v>内部装修维护情况</v>
      </c>
      <c r="R44" s="1556" t="s">
        <v>8</v>
      </c>
      <c r="S44" s="1557">
        <f t="shared" si="12"/>
        <v>100</v>
      </c>
      <c r="T44" s="1556" t="s">
        <v>8</v>
      </c>
      <c r="U44" s="1557">
        <f t="shared" si="13"/>
        <v>100</v>
      </c>
      <c r="V44" s="1556" t="s">
        <v>8</v>
      </c>
      <c r="W44" s="1557">
        <f t="shared" si="14"/>
        <v>100</v>
      </c>
      <c r="X44" s="1550"/>
      <c r="Y44" s="3403"/>
      <c r="Z44" s="1558" t="str">
        <f t="shared" si="15"/>
        <v>内部装修维护情况</v>
      </c>
      <c r="AA44" s="1559">
        <f t="shared" si="3"/>
        <v>1</v>
      </c>
      <c r="AB44" s="1559">
        <f t="shared" si="4"/>
        <v>1</v>
      </c>
      <c r="AC44" s="1559">
        <f t="shared" si="5"/>
        <v>1</v>
      </c>
    </row>
    <row r="45" spans="1:29" s="1213"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03"/>
      <c r="Q45" s="1144">
        <f t="shared" si="11"/>
        <v>111</v>
      </c>
      <c r="R45" s="1551" t="s">
        <v>8</v>
      </c>
      <c r="S45" s="1552">
        <f t="shared" si="12"/>
        <v>100</v>
      </c>
      <c r="T45" s="1551" t="s">
        <v>8</v>
      </c>
      <c r="U45" s="1552">
        <f t="shared" si="13"/>
        <v>100</v>
      </c>
      <c r="V45" s="1551" t="s">
        <v>8</v>
      </c>
      <c r="W45" s="1552">
        <f t="shared" si="14"/>
        <v>100</v>
      </c>
      <c r="X45" s="1553"/>
      <c r="Y45" s="3403"/>
      <c r="Z45" s="1143">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03"/>
      <c r="Q46" s="1555">
        <f t="shared" si="11"/>
        <v>111</v>
      </c>
      <c r="R46" s="1556" t="s">
        <v>8</v>
      </c>
      <c r="S46" s="1557">
        <f t="shared" si="12"/>
        <v>100</v>
      </c>
      <c r="T46" s="1556" t="s">
        <v>8</v>
      </c>
      <c r="U46" s="1557">
        <f t="shared" si="13"/>
        <v>100</v>
      </c>
      <c r="V46" s="1556" t="s">
        <v>8</v>
      </c>
      <c r="W46" s="1557">
        <f t="shared" si="14"/>
        <v>100</v>
      </c>
      <c r="X46" s="1550"/>
      <c r="Y46" s="3403"/>
      <c r="Z46" s="1558">
        <f t="shared" si="15"/>
        <v>111</v>
      </c>
      <c r="AA46" s="1559">
        <f t="shared" si="3"/>
        <v>1</v>
      </c>
      <c r="AB46" s="1559">
        <f t="shared" si="4"/>
        <v>1</v>
      </c>
      <c r="AC46" s="1559">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82"/>
      <c r="Q47" s="1555">
        <f t="shared" si="11"/>
        <v>111</v>
      </c>
      <c r="R47" s="1556" t="s">
        <v>8</v>
      </c>
      <c r="S47" s="1557">
        <f t="shared" si="12"/>
        <v>100</v>
      </c>
      <c r="T47" s="1556" t="s">
        <v>8</v>
      </c>
      <c r="U47" s="1557">
        <f t="shared" si="13"/>
        <v>100</v>
      </c>
      <c r="V47" s="1556" t="s">
        <v>8</v>
      </c>
      <c r="W47" s="1557">
        <f t="shared" si="14"/>
        <v>100</v>
      </c>
      <c r="X47" s="1550"/>
      <c r="Y47" s="3482"/>
      <c r="Z47" s="1558">
        <f t="shared" si="15"/>
        <v>111</v>
      </c>
      <c r="AA47" s="1559">
        <f t="shared" si="3"/>
        <v>1</v>
      </c>
      <c r="AB47" s="1559">
        <f t="shared" si="4"/>
        <v>1</v>
      </c>
      <c r="AC47" s="1559">
        <f t="shared" si="5"/>
        <v>1</v>
      </c>
    </row>
    <row r="48" spans="1:29" ht="15">
      <c r="A48" s="606" t="s">
        <v>736</v>
      </c>
      <c r="B48" s="885"/>
      <c r="C48" s="2588" t="s">
        <v>1</v>
      </c>
      <c r="D48" s="2589"/>
      <c r="E48" s="2590"/>
      <c r="F48" s="2591"/>
      <c r="G48" s="2592"/>
      <c r="H48" s="2593"/>
      <c r="I48" s="2590"/>
      <c r="J48" s="2593"/>
      <c r="K48" s="1593"/>
      <c r="L48" s="2126"/>
      <c r="M48" s="2116"/>
      <c r="N48" s="2116"/>
      <c r="O48" s="2116"/>
      <c r="P48" s="3420" t="str">
        <f>A48</f>
        <v>成交单价（元/平方米）</v>
      </c>
      <c r="Q48" s="3398"/>
      <c r="R48" s="3481">
        <f>E48</f>
        <v>0</v>
      </c>
      <c r="S48" s="3481"/>
      <c r="T48" s="3481">
        <f>G48</f>
        <v>0</v>
      </c>
      <c r="U48" s="3481"/>
      <c r="V48" s="3481">
        <f>I48</f>
        <v>0</v>
      </c>
      <c r="W48" s="3481"/>
      <c r="X48" s="1542"/>
      <c r="Y48" s="1564"/>
      <c r="Z48" s="1542"/>
      <c r="AA48" s="1542"/>
      <c r="AB48" s="1542"/>
      <c r="AC48" s="1542"/>
    </row>
    <row r="49" spans="1:29" ht="15.75" thickBot="1">
      <c r="A49" s="614" t="s">
        <v>2760</v>
      </c>
      <c r="B49" s="886"/>
      <c r="C49" s="2594" t="e">
        <f>R50</f>
        <v>#DIV/0!</v>
      </c>
      <c r="D49" s="2595"/>
      <c r="E49" s="2596" t="e">
        <f>R49</f>
        <v>#DIV/0!</v>
      </c>
      <c r="F49" s="2596"/>
      <c r="G49" s="2594" t="e">
        <f>T49</f>
        <v>#DIV/0!</v>
      </c>
      <c r="H49" s="2595"/>
      <c r="I49" s="2596" t="e">
        <f>V49</f>
        <v>#DIV/0!</v>
      </c>
      <c r="J49" s="2595"/>
      <c r="K49" s="1594"/>
      <c r="L49" s="2126"/>
      <c r="M49" s="2116"/>
      <c r="N49" s="2116"/>
      <c r="O49" s="2116"/>
      <c r="P49" s="3420" t="str">
        <f>A49</f>
        <v>比较价格（元/平方米）</v>
      </c>
      <c r="Q49" s="3398"/>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2"/>
      <c r="Y49" s="1542"/>
      <c r="Z49" s="1542"/>
      <c r="AA49" s="1542"/>
      <c r="AB49" s="1542"/>
      <c r="AC49" s="1542"/>
    </row>
    <row r="50" spans="1:29" ht="15.75" thickBot="1">
      <c r="A50" s="620" t="s">
        <v>2935</v>
      </c>
      <c r="B50" s="621"/>
      <c r="C50" s="2597" t="e">
        <f>R50</f>
        <v>#DIV/0!</v>
      </c>
      <c r="D50" s="2597"/>
      <c r="E50" s="2597"/>
      <c r="F50" s="2597"/>
      <c r="G50" s="2597"/>
      <c r="H50" s="2597"/>
      <c r="I50" s="2597"/>
      <c r="J50" s="2597"/>
      <c r="K50" s="1595"/>
      <c r="L50" s="2126"/>
      <c r="M50" s="2116"/>
      <c r="N50" s="2116"/>
      <c r="O50" s="2116"/>
      <c r="P50" s="3515" t="str">
        <f>A50</f>
        <v>估价对象XX用房的比较价格（楼面单价，元/平方米）</v>
      </c>
      <c r="Q50" s="3420"/>
      <c r="R50" s="3480" t="e">
        <f>IF(F1="售价",ROUND(AVERAGE(R49:V49),0),ROUND(AVERAGE(R49:V49),1))</f>
        <v>#DIV/0!</v>
      </c>
      <c r="S50" s="3480"/>
      <c r="T50" s="3480"/>
      <c r="U50" s="3480"/>
      <c r="V50" s="3480"/>
      <c r="W50" s="3480"/>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4" t="s">
        <v>529</v>
      </c>
      <c r="B59" s="645"/>
      <c r="C59" s="2754" t="str">
        <f>YEAR(C7)&amp;"-"&amp;MONTH(C7)</f>
        <v>2019-12</v>
      </c>
      <c r="D59" s="2756">
        <f>EDATE(C59,-1)</f>
        <v>43770</v>
      </c>
      <c r="E59" s="2756">
        <f t="shared" ref="E59:O59" si="16">EDATE(D59,-1)</f>
        <v>43739</v>
      </c>
      <c r="F59" s="2756">
        <f t="shared" si="16"/>
        <v>43709</v>
      </c>
      <c r="G59" s="2756">
        <f t="shared" si="16"/>
        <v>43678</v>
      </c>
      <c r="H59" s="2756">
        <f t="shared" si="16"/>
        <v>43647</v>
      </c>
      <c r="I59" s="2756">
        <f t="shared" si="16"/>
        <v>43617</v>
      </c>
      <c r="J59" s="2756">
        <f t="shared" si="16"/>
        <v>43586</v>
      </c>
      <c r="K59" s="2756">
        <f t="shared" si="16"/>
        <v>43556</v>
      </c>
      <c r="L59" s="2756">
        <f t="shared" si="16"/>
        <v>43525</v>
      </c>
      <c r="M59" s="2756">
        <f t="shared" si="16"/>
        <v>43497</v>
      </c>
      <c r="N59" s="2756">
        <f t="shared" si="16"/>
        <v>43466</v>
      </c>
      <c r="O59" s="2756">
        <f t="shared" si="16"/>
        <v>43435</v>
      </c>
      <c r="P59" s="2193"/>
      <c r="Q59" s="2143"/>
      <c r="R59" s="2143"/>
      <c r="S59" s="2143"/>
      <c r="T59" s="2143"/>
      <c r="U59" s="2143"/>
      <c r="V59" s="2143"/>
      <c r="W59" s="2143"/>
      <c r="X59" s="2143"/>
      <c r="Y59" s="2143"/>
      <c r="Z59" s="2143"/>
      <c r="AA59" s="2143"/>
      <c r="AB59" s="2143"/>
      <c r="AC59" s="2143"/>
    </row>
    <row r="60" spans="1:29" s="1213"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3"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3"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2557</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2558</v>
      </c>
      <c r="C83" s="2559" t="s">
        <v>2559</v>
      </c>
      <c r="D83" s="2559" t="s">
        <v>2560</v>
      </c>
      <c r="E83" s="2559" t="s">
        <v>2561</v>
      </c>
      <c r="F83" s="2559" t="s">
        <v>2562</v>
      </c>
      <c r="G83" s="2559" t="s">
        <v>2563</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2556</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788</v>
      </c>
      <c r="C1" s="503" t="s">
        <v>720</v>
      </c>
      <c r="D1" s="848"/>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29"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29"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521</v>
      </c>
      <c r="B4" s="512"/>
      <c r="C4" s="3404" t="s">
        <v>522</v>
      </c>
      <c r="D4" s="3405"/>
      <c r="E4" s="3428" t="s">
        <v>523</v>
      </c>
      <c r="F4" s="3429"/>
      <c r="G4" s="3404" t="s">
        <v>524</v>
      </c>
      <c r="H4" s="3405"/>
      <c r="I4" s="3404" t="s">
        <v>525</v>
      </c>
      <c r="J4" s="3405"/>
      <c r="K4" s="513" t="s">
        <v>526</v>
      </c>
      <c r="L4" s="2115"/>
      <c r="M4" s="2116"/>
      <c r="N4" s="2116"/>
      <c r="O4" s="2116"/>
      <c r="P4" s="3406" t="s">
        <v>527</v>
      </c>
      <c r="Q4" s="3407"/>
      <c r="R4" s="3392" t="s">
        <v>523</v>
      </c>
      <c r="S4" s="3393"/>
      <c r="T4" s="3392" t="s">
        <v>524</v>
      </c>
      <c r="U4" s="3393"/>
      <c r="V4" s="3412" t="s">
        <v>525</v>
      </c>
      <c r="W4" s="3412"/>
      <c r="X4" s="1550"/>
      <c r="Y4" s="3392" t="s">
        <v>527</v>
      </c>
      <c r="Z4" s="3393"/>
      <c r="AA4" s="3387" t="s">
        <v>523</v>
      </c>
      <c r="AB4" s="3388" t="s">
        <v>524</v>
      </c>
      <c r="AC4" s="3387" t="s">
        <v>525</v>
      </c>
    </row>
    <row r="5" spans="1:29" ht="15">
      <c r="A5" s="514"/>
      <c r="B5" s="515"/>
      <c r="C5" s="3415" t="s">
        <v>2929</v>
      </c>
      <c r="D5" s="3416"/>
      <c r="E5" s="3430" t="s">
        <v>2930</v>
      </c>
      <c r="F5" s="3431"/>
      <c r="G5" s="3415" t="s">
        <v>2931</v>
      </c>
      <c r="H5" s="3416"/>
      <c r="I5" s="3415" t="s">
        <v>2932</v>
      </c>
      <c r="J5" s="3416"/>
      <c r="K5" s="513"/>
      <c r="L5" s="2115"/>
      <c r="M5" s="2116"/>
      <c r="N5" s="2116"/>
      <c r="O5" s="2116"/>
      <c r="P5" s="3408"/>
      <c r="Q5" s="3409"/>
      <c r="R5" s="3394"/>
      <c r="S5" s="3395"/>
      <c r="T5" s="3394"/>
      <c r="U5" s="3395"/>
      <c r="V5" s="3412"/>
      <c r="W5" s="3412"/>
      <c r="X5" s="1550"/>
      <c r="Y5" s="3394"/>
      <c r="Z5" s="3395"/>
      <c r="AA5" s="3388"/>
      <c r="AB5" s="3388"/>
      <c r="AC5" s="3388"/>
    </row>
    <row r="6" spans="1:29" ht="15.75" thickBot="1">
      <c r="A6" s="516"/>
      <c r="B6" s="517"/>
      <c r="C6" s="3413" t="s">
        <v>2933</v>
      </c>
      <c r="D6" s="3414"/>
      <c r="E6" s="3432" t="s">
        <v>2933</v>
      </c>
      <c r="F6" s="3433"/>
      <c r="G6" s="3413" t="s">
        <v>2933</v>
      </c>
      <c r="H6" s="3414"/>
      <c r="I6" s="3413" t="s">
        <v>2933</v>
      </c>
      <c r="J6" s="3414"/>
      <c r="K6" s="513" t="s">
        <v>528</v>
      </c>
      <c r="L6" s="2115"/>
      <c r="M6" s="2116"/>
      <c r="N6" s="2116"/>
      <c r="O6" s="2116"/>
      <c r="P6" s="3410"/>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90" t="s">
        <v>530</v>
      </c>
      <c r="Q7" s="3399"/>
      <c r="R7" s="1551" t="s">
        <v>8</v>
      </c>
      <c r="S7" s="1552">
        <f t="shared" ref="S7:S15" si="0">F7</f>
        <v>0</v>
      </c>
      <c r="T7" s="1551" t="s">
        <v>8</v>
      </c>
      <c r="U7" s="1552">
        <f t="shared" ref="U7:U15" si="1">H7</f>
        <v>0</v>
      </c>
      <c r="V7" s="1551" t="s">
        <v>8</v>
      </c>
      <c r="W7" s="1552">
        <f t="shared" ref="W7:W15" si="2">J7</f>
        <v>0</v>
      </c>
      <c r="X7" s="1553"/>
      <c r="Y7" s="3390" t="s">
        <v>530</v>
      </c>
      <c r="Z7" s="3391"/>
      <c r="AA7" s="1554" t="e">
        <f>D7/F7</f>
        <v>#DIV/0!</v>
      </c>
      <c r="AB7" s="1554" t="e">
        <f>D7/H7</f>
        <v>#DIV/0!</v>
      </c>
      <c r="AC7" s="1554" t="e">
        <f>D7/J7</f>
        <v>#DIV/0!</v>
      </c>
    </row>
    <row r="8" spans="1:29" s="1213"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90" t="s">
        <v>533</v>
      </c>
      <c r="Q8" s="3391"/>
      <c r="R8" s="1551" t="s">
        <v>8</v>
      </c>
      <c r="S8" s="1552">
        <f t="shared" si="0"/>
        <v>0</v>
      </c>
      <c r="T8" s="1551" t="s">
        <v>8</v>
      </c>
      <c r="U8" s="1552">
        <f t="shared" si="1"/>
        <v>0</v>
      </c>
      <c r="V8" s="1551" t="s">
        <v>8</v>
      </c>
      <c r="W8" s="1552">
        <f t="shared" si="2"/>
        <v>0</v>
      </c>
      <c r="X8" s="1553"/>
      <c r="Y8" s="3390" t="s">
        <v>533</v>
      </c>
      <c r="Z8" s="3391"/>
      <c r="AA8" s="1554" t="e">
        <f t="shared" ref="AA8:AA40" si="3">D8/F8</f>
        <v>#DIV/0!</v>
      </c>
      <c r="AB8" s="1554" t="e">
        <f t="shared" ref="AB8:AB40" si="4">D8/H8</f>
        <v>#DIV/0!</v>
      </c>
      <c r="AC8" s="1554" t="e">
        <f t="shared" ref="AC8:AC40" si="5">D8/J8</f>
        <v>#DIV/0!</v>
      </c>
    </row>
    <row r="9" spans="1:29" s="1213" customFormat="1" ht="15">
      <c r="A9" s="2866"/>
      <c r="B9" s="2873" t="s">
        <v>2756</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98"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867"/>
      <c r="B10" s="2872" t="s">
        <v>2757</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8"/>
      <c r="B11" s="287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98"/>
      <c r="Q11" s="1144" t="str">
        <f t="shared" si="6"/>
        <v>容积率</v>
      </c>
      <c r="R11" s="1551" t="s">
        <v>8</v>
      </c>
      <c r="S11" s="1552" t="e">
        <f t="shared" si="0"/>
        <v>#N/A</v>
      </c>
      <c r="T11" s="1551" t="s">
        <v>8</v>
      </c>
      <c r="U11" s="1552" t="e">
        <f t="shared" si="1"/>
        <v>#N/A</v>
      </c>
      <c r="V11" s="1551" t="s">
        <v>8</v>
      </c>
      <c r="W11" s="1552" t="e">
        <f t="shared" si="2"/>
        <v>#N/A</v>
      </c>
      <c r="X11" s="1553"/>
      <c r="Y11" s="3355"/>
      <c r="Z11" s="1143" t="str">
        <f t="shared" si="7"/>
        <v>容积率</v>
      </c>
      <c r="AA11" s="1554" t="e">
        <f t="shared" si="3"/>
        <v>#N/A</v>
      </c>
      <c r="AB11" s="1554" t="e">
        <f t="shared" si="4"/>
        <v>#N/A</v>
      </c>
      <c r="AC11" s="1554" t="e">
        <f t="shared" si="5"/>
        <v>#N/A</v>
      </c>
    </row>
    <row r="12" spans="1:29" s="1213" customFormat="1" ht="15">
      <c r="A12" s="2869"/>
      <c r="B12" s="2875">
        <v>111</v>
      </c>
      <c r="C12" s="527"/>
      <c r="D12" s="537">
        <v>100</v>
      </c>
      <c r="E12" s="538"/>
      <c r="F12" s="254">
        <f>SUMIF(64:64,E12,65:65)-SUMIF(64:64,C12,65:65)+100</f>
        <v>100</v>
      </c>
      <c r="G12" s="918"/>
      <c r="H12" s="254">
        <f>SUMIF(64:64,G12,65:65)-SUMIF(64:64,C12,65:65)+100</f>
        <v>100</v>
      </c>
      <c r="I12" s="879"/>
      <c r="J12" s="254">
        <f>SUMIF(64:64,I12,65:65)-SUMIF(64:64,C12,65:65)+100</f>
        <v>100</v>
      </c>
      <c r="K12" s="580"/>
      <c r="L12" s="2117"/>
      <c r="M12" s="2118"/>
      <c r="N12" s="2118"/>
      <c r="O12" s="2119"/>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9"/>
      <c r="J13" s="539">
        <f>SUMIF(66:66,I13,67:67)-SUMIF(66:66,C13,67:67)+100</f>
        <v>100</v>
      </c>
      <c r="K13" s="580"/>
      <c r="L13" s="2124"/>
      <c r="M13" s="2116"/>
      <c r="N13" s="2116"/>
      <c r="O13" s="2123"/>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75" thickBot="1">
      <c r="A14" s="2870"/>
      <c r="B14" s="2876">
        <v>111</v>
      </c>
      <c r="C14" s="544"/>
      <c r="D14" s="545">
        <v>100</v>
      </c>
      <c r="E14" s="544"/>
      <c r="F14" s="545">
        <f>SUMIF(68:68,E14,69:69)-SUMIF(68:68,C14,69:69)+100</f>
        <v>100</v>
      </c>
      <c r="G14" s="918"/>
      <c r="H14" s="545">
        <f>SUMIF(68:68,G14,69:69)-SUMIF(68:68,C14,69:69)+100</f>
        <v>100</v>
      </c>
      <c r="I14" s="879"/>
      <c r="J14" s="545">
        <f>SUMIF(68:68,I14,69:69)-SUMIF(68:68,C14,69:69)+100</f>
        <v>100</v>
      </c>
      <c r="K14" s="580"/>
      <c r="L14" s="2124"/>
      <c r="M14" s="2116"/>
      <c r="N14" s="2116"/>
      <c r="O14" s="2123"/>
      <c r="P14" s="3398"/>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 t="shared" si="3"/>
        <v>1</v>
      </c>
      <c r="AB14" s="1554">
        <f t="shared" si="4"/>
        <v>1</v>
      </c>
      <c r="AC14" s="1554">
        <f t="shared" si="5"/>
        <v>1</v>
      </c>
    </row>
    <row r="15" spans="1:29" ht="57">
      <c r="A15" s="2862" t="s">
        <v>2754</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00" t="s">
        <v>540</v>
      </c>
      <c r="Q15" s="1555" t="str">
        <f t="shared" si="6"/>
        <v>产业集聚程度</v>
      </c>
      <c r="R15" s="1556" t="s">
        <v>8</v>
      </c>
      <c r="S15" s="1557">
        <f t="shared" si="0"/>
        <v>100</v>
      </c>
      <c r="T15" s="1556" t="s">
        <v>8</v>
      </c>
      <c r="U15" s="1557">
        <f t="shared" si="1"/>
        <v>100</v>
      </c>
      <c r="V15" s="1556" t="s">
        <v>8</v>
      </c>
      <c r="W15" s="1557">
        <f t="shared" si="2"/>
        <v>100</v>
      </c>
      <c r="X15" s="1550"/>
      <c r="Y15" s="3400"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01"/>
      <c r="Q16" s="1555"/>
      <c r="R16" s="1556"/>
      <c r="S16" s="1557"/>
      <c r="T16" s="1556"/>
      <c r="U16" s="1557"/>
      <c r="V16" s="1556"/>
      <c r="W16" s="1557"/>
      <c r="X16" s="1550"/>
      <c r="Y16" s="3401"/>
      <c r="Z16" s="1558"/>
      <c r="AA16" s="1559">
        <v>1</v>
      </c>
      <c r="AB16" s="1559">
        <v>1</v>
      </c>
      <c r="AC16" s="1559">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01"/>
      <c r="Q17" s="1555" t="str">
        <f>B17</f>
        <v>交通便捷度</v>
      </c>
      <c r="R17" s="1556" t="s">
        <v>8</v>
      </c>
      <c r="S17" s="1557">
        <f>F17</f>
        <v>100</v>
      </c>
      <c r="T17" s="1556" t="s">
        <v>8</v>
      </c>
      <c r="U17" s="1557">
        <f>H17</f>
        <v>100</v>
      </c>
      <c r="V17" s="1556" t="s">
        <v>8</v>
      </c>
      <c r="W17" s="1557">
        <f>J17</f>
        <v>100</v>
      </c>
      <c r="X17" s="1550"/>
      <c r="Y17" s="3401"/>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01"/>
      <c r="Q18" s="1555"/>
      <c r="R18" s="1556"/>
      <c r="S18" s="1557"/>
      <c r="T18" s="1556"/>
      <c r="U18" s="1557"/>
      <c r="V18" s="1556"/>
      <c r="W18" s="1557"/>
      <c r="X18" s="1550"/>
      <c r="Y18" s="3401"/>
      <c r="Z18" s="1558"/>
      <c r="AA18" s="1559">
        <v>1</v>
      </c>
      <c r="AB18" s="1559">
        <v>1</v>
      </c>
      <c r="AC18" s="1559">
        <v>1</v>
      </c>
    </row>
    <row r="19" spans="1:29" ht="42.75">
      <c r="A19" s="531"/>
      <c r="B19" s="256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01"/>
      <c r="Q19" s="1555" t="str">
        <f>B19</f>
        <v>公共配套设施</v>
      </c>
      <c r="R19" s="1556" t="s">
        <v>8</v>
      </c>
      <c r="S19" s="1557">
        <f>F19</f>
        <v>100</v>
      </c>
      <c r="T19" s="1556" t="s">
        <v>8</v>
      </c>
      <c r="U19" s="1557">
        <f>H19</f>
        <v>100</v>
      </c>
      <c r="V19" s="1556" t="s">
        <v>8</v>
      </c>
      <c r="W19" s="1557">
        <f>J19</f>
        <v>100</v>
      </c>
      <c r="X19" s="1550"/>
      <c r="Y19" s="3401"/>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01"/>
      <c r="Q20" s="1555"/>
      <c r="R20" s="1556"/>
      <c r="S20" s="1557"/>
      <c r="T20" s="1556"/>
      <c r="U20" s="1557"/>
      <c r="V20" s="1556"/>
      <c r="W20" s="1557"/>
      <c r="X20" s="1550"/>
      <c r="Y20" s="3401"/>
      <c r="Z20" s="1558"/>
      <c r="AA20" s="1559">
        <v>1</v>
      </c>
      <c r="AB20" s="1559">
        <v>1</v>
      </c>
      <c r="AC20" s="1559">
        <v>1</v>
      </c>
    </row>
    <row r="21" spans="1:29" ht="28.5">
      <c r="A21" s="531"/>
      <c r="B21" s="255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01"/>
      <c r="Q21" s="2540" t="str">
        <f>B21</f>
        <v>基础设施水平</v>
      </c>
      <c r="R21" s="1556" t="s">
        <v>8</v>
      </c>
      <c r="S21" s="1557">
        <f>F21</f>
        <v>100</v>
      </c>
      <c r="T21" s="1556" t="s">
        <v>8</v>
      </c>
      <c r="U21" s="1557">
        <f>H21</f>
        <v>100</v>
      </c>
      <c r="V21" s="1556" t="s">
        <v>8</v>
      </c>
      <c r="W21" s="1557">
        <f>J21</f>
        <v>100</v>
      </c>
      <c r="X21" s="2542"/>
      <c r="Y21" s="3401"/>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01"/>
      <c r="Q22" s="2540"/>
      <c r="R22" s="1556"/>
      <c r="S22" s="1557"/>
      <c r="T22" s="1556"/>
      <c r="U22" s="1557"/>
      <c r="V22" s="1556"/>
      <c r="W22" s="1557"/>
      <c r="X22" s="2542"/>
      <c r="Y22" s="3401"/>
      <c r="Z22" s="2541"/>
      <c r="AA22" s="1559">
        <v>1</v>
      </c>
      <c r="AB22" s="1559">
        <v>1</v>
      </c>
      <c r="AC22" s="1559">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01"/>
      <c r="Q23" s="1555" t="str">
        <f>B23</f>
        <v>环境质量</v>
      </c>
      <c r="R23" s="1556" t="s">
        <v>8</v>
      </c>
      <c r="S23" s="1557">
        <f>F23</f>
        <v>100</v>
      </c>
      <c r="T23" s="1556" t="s">
        <v>8</v>
      </c>
      <c r="U23" s="1557">
        <f>H23</f>
        <v>100</v>
      </c>
      <c r="V23" s="1556" t="s">
        <v>8</v>
      </c>
      <c r="W23" s="1557">
        <f>J23</f>
        <v>100</v>
      </c>
      <c r="X23" s="1550"/>
      <c r="Y23" s="3401"/>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01"/>
      <c r="Q24" s="1555"/>
      <c r="R24" s="1556"/>
      <c r="S24" s="1557"/>
      <c r="T24" s="1556"/>
      <c r="U24" s="1557"/>
      <c r="V24" s="1556"/>
      <c r="W24" s="1557"/>
      <c r="X24" s="1550"/>
      <c r="Y24" s="3401"/>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01"/>
      <c r="Q25" s="1555">
        <f>B25</f>
        <v>111</v>
      </c>
      <c r="R25" s="1556" t="s">
        <v>8</v>
      </c>
      <c r="S25" s="1557">
        <f>F25</f>
        <v>100</v>
      </c>
      <c r="T25" s="1556" t="s">
        <v>8</v>
      </c>
      <c r="U25" s="1557">
        <f>H25</f>
        <v>100</v>
      </c>
      <c r="V25" s="1556" t="s">
        <v>8</v>
      </c>
      <c r="W25" s="1557">
        <f>J25</f>
        <v>100</v>
      </c>
      <c r="X25" s="1550"/>
      <c r="Y25" s="3401"/>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01"/>
      <c r="Q26" s="1555">
        <f t="shared" ref="Q26:Q40" si="11">B26</f>
        <v>111</v>
      </c>
      <c r="R26" s="1556" t="s">
        <v>8</v>
      </c>
      <c r="S26" s="1557">
        <f>F26</f>
        <v>100</v>
      </c>
      <c r="T26" s="1556" t="s">
        <v>8</v>
      </c>
      <c r="U26" s="1557">
        <f>H26</f>
        <v>100</v>
      </c>
      <c r="V26" s="1556" t="s">
        <v>8</v>
      </c>
      <c r="W26" s="1557">
        <f>J26</f>
        <v>100</v>
      </c>
      <c r="X26" s="1550"/>
      <c r="Y26" s="3401"/>
      <c r="Z26" s="1558">
        <f>Q26</f>
        <v>111</v>
      </c>
      <c r="AA26" s="1559">
        <f t="shared" si="3"/>
        <v>1</v>
      </c>
      <c r="AB26" s="1559">
        <f t="shared" si="4"/>
        <v>1</v>
      </c>
      <c r="AC26" s="1559">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01"/>
      <c r="Q27" s="1144">
        <f t="shared" si="11"/>
        <v>111</v>
      </c>
      <c r="R27" s="1551" t="s">
        <v>8</v>
      </c>
      <c r="S27" s="1552">
        <f>F27</f>
        <v>100</v>
      </c>
      <c r="T27" s="1551" t="s">
        <v>8</v>
      </c>
      <c r="U27" s="1552">
        <f>H27</f>
        <v>100</v>
      </c>
      <c r="V27" s="1551" t="s">
        <v>8</v>
      </c>
      <c r="W27" s="1552">
        <f>J27</f>
        <v>100</v>
      </c>
      <c r="X27" s="1553"/>
      <c r="Y27" s="3401"/>
      <c r="Z27" s="1143">
        <f>Q27</f>
        <v>111</v>
      </c>
      <c r="AA27" s="1559">
        <f>D27/F27</f>
        <v>1</v>
      </c>
      <c r="AB27" s="1559">
        <f>D27/H27</f>
        <v>1</v>
      </c>
      <c r="AC27" s="1559">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01"/>
      <c r="Q28" s="1555">
        <f t="shared" si="11"/>
        <v>111</v>
      </c>
      <c r="R28" s="1556" t="s">
        <v>8</v>
      </c>
      <c r="S28" s="1557">
        <f t="shared" ref="S28:S40" si="12">F28</f>
        <v>100</v>
      </c>
      <c r="T28" s="1556" t="s">
        <v>8</v>
      </c>
      <c r="U28" s="1557">
        <f t="shared" ref="U28:U40" si="13">H28</f>
        <v>100</v>
      </c>
      <c r="V28" s="1556" t="s">
        <v>8</v>
      </c>
      <c r="W28" s="1557">
        <f t="shared" ref="W28:W40" si="14">J28</f>
        <v>100</v>
      </c>
      <c r="X28" s="1550"/>
      <c r="Y28" s="3401"/>
      <c r="Z28" s="1558">
        <f t="shared" ref="Z28:Z40" si="15">Q28</f>
        <v>111</v>
      </c>
      <c r="AA28" s="1559">
        <f t="shared" si="3"/>
        <v>1</v>
      </c>
      <c r="AB28" s="1559">
        <f t="shared" si="4"/>
        <v>1</v>
      </c>
      <c r="AC28" s="1559">
        <f t="shared" si="5"/>
        <v>1</v>
      </c>
    </row>
    <row r="29" spans="1:29" ht="15">
      <c r="A29" s="2859"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02" t="s">
        <v>550</v>
      </c>
      <c r="Q29" s="1555" t="str">
        <f t="shared" si="11"/>
        <v>建筑类型</v>
      </c>
      <c r="R29" s="1556" t="s">
        <v>8</v>
      </c>
      <c r="S29" s="1557">
        <f t="shared" si="12"/>
        <v>100</v>
      </c>
      <c r="T29" s="1556" t="s">
        <v>8</v>
      </c>
      <c r="U29" s="1557">
        <f t="shared" si="13"/>
        <v>100</v>
      </c>
      <c r="V29" s="1556" t="s">
        <v>8</v>
      </c>
      <c r="W29" s="1557">
        <f t="shared" si="14"/>
        <v>100</v>
      </c>
      <c r="X29" s="1550"/>
      <c r="Y29" s="3403" t="s">
        <v>550</v>
      </c>
      <c r="Z29" s="1558" t="str">
        <f t="shared" si="15"/>
        <v>建筑类型</v>
      </c>
      <c r="AA29" s="1559">
        <f t="shared" si="3"/>
        <v>1</v>
      </c>
      <c r="AB29" s="1559">
        <f t="shared" si="4"/>
        <v>1</v>
      </c>
      <c r="AC29" s="1559">
        <f t="shared" si="5"/>
        <v>1</v>
      </c>
    </row>
    <row r="30" spans="1:29" s="1332"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03"/>
      <c r="Q30" s="1587" t="str">
        <f t="shared" si="11"/>
        <v>项目建筑规模</v>
      </c>
      <c r="R30" s="1560" t="s">
        <v>8</v>
      </c>
      <c r="S30" s="1561" t="e">
        <f t="shared" si="12"/>
        <v>#N/A</v>
      </c>
      <c r="T30" s="1560" t="s">
        <v>8</v>
      </c>
      <c r="U30" s="1561" t="e">
        <f t="shared" si="13"/>
        <v>#N/A</v>
      </c>
      <c r="V30" s="1560" t="s">
        <v>8</v>
      </c>
      <c r="W30" s="1561" t="e">
        <f t="shared" si="14"/>
        <v>#N/A</v>
      </c>
      <c r="X30" s="1562"/>
      <c r="Y30" s="3403"/>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03"/>
      <c r="Q31" s="1555" t="str">
        <f t="shared" si="11"/>
        <v>建筑结构</v>
      </c>
      <c r="R31" s="1556" t="s">
        <v>8</v>
      </c>
      <c r="S31" s="1557">
        <f t="shared" si="12"/>
        <v>100</v>
      </c>
      <c r="T31" s="1556" t="s">
        <v>8</v>
      </c>
      <c r="U31" s="1557">
        <f t="shared" si="13"/>
        <v>100</v>
      </c>
      <c r="V31" s="1556" t="s">
        <v>8</v>
      </c>
      <c r="W31" s="1557">
        <f t="shared" si="14"/>
        <v>100</v>
      </c>
      <c r="X31" s="1550"/>
      <c r="Y31" s="3403"/>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03"/>
      <c r="Q32" s="1555" t="str">
        <f t="shared" si="11"/>
        <v>公共部分装修</v>
      </c>
      <c r="R32" s="1556" t="s">
        <v>8</v>
      </c>
      <c r="S32" s="1557">
        <f t="shared" si="12"/>
        <v>100</v>
      </c>
      <c r="T32" s="1556" t="s">
        <v>8</v>
      </c>
      <c r="U32" s="1557">
        <f t="shared" si="13"/>
        <v>100</v>
      </c>
      <c r="V32" s="1556" t="s">
        <v>8</v>
      </c>
      <c r="W32" s="1557">
        <f t="shared" si="14"/>
        <v>100</v>
      </c>
      <c r="X32" s="1550"/>
      <c r="Y32" s="3403"/>
      <c r="Z32" s="1558" t="str">
        <f t="shared" si="15"/>
        <v>公共部分装修</v>
      </c>
      <c r="AA32" s="1559">
        <f t="shared" si="3"/>
        <v>1</v>
      </c>
      <c r="AB32" s="1559">
        <f t="shared" si="4"/>
        <v>1</v>
      </c>
      <c r="AC32" s="1559">
        <f t="shared" si="5"/>
        <v>1</v>
      </c>
    </row>
    <row r="33" spans="1:29" ht="15">
      <c r="A33" s="593"/>
      <c r="B33" s="526" t="s">
        <v>764</v>
      </c>
      <c r="C33" s="879"/>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03"/>
      <c r="Q33" s="1555" t="str">
        <f t="shared" si="11"/>
        <v>成新度</v>
      </c>
      <c r="R33" s="1556" t="s">
        <v>8</v>
      </c>
      <c r="S33" s="1557" t="e">
        <f t="shared" si="12"/>
        <v>#N/A</v>
      </c>
      <c r="T33" s="1556" t="s">
        <v>8</v>
      </c>
      <c r="U33" s="1557" t="e">
        <f t="shared" si="13"/>
        <v>#N/A</v>
      </c>
      <c r="V33" s="1556" t="s">
        <v>8</v>
      </c>
      <c r="W33" s="1557" t="e">
        <f t="shared" si="14"/>
        <v>#N/A</v>
      </c>
      <c r="X33" s="1550"/>
      <c r="Y33" s="3403"/>
      <c r="Z33" s="1558" t="str">
        <f t="shared" si="15"/>
        <v>成新度</v>
      </c>
      <c r="AA33" s="1559" t="e">
        <f t="shared" si="3"/>
        <v>#N/A</v>
      </c>
      <c r="AB33" s="1559" t="e">
        <f t="shared" si="4"/>
        <v>#N/A</v>
      </c>
      <c r="AC33" s="1559"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03"/>
      <c r="Q34" s="1144" t="str">
        <f t="shared" si="11"/>
        <v>物业管理</v>
      </c>
      <c r="R34" s="1551" t="s">
        <v>8</v>
      </c>
      <c r="S34" s="1552">
        <f t="shared" si="12"/>
        <v>100</v>
      </c>
      <c r="T34" s="1551" t="s">
        <v>8</v>
      </c>
      <c r="U34" s="1552">
        <f t="shared" si="13"/>
        <v>100</v>
      </c>
      <c r="V34" s="1551" t="s">
        <v>8</v>
      </c>
      <c r="W34" s="1552">
        <f t="shared" si="14"/>
        <v>100</v>
      </c>
      <c r="X34" s="1553"/>
      <c r="Y34" s="3403"/>
      <c r="Z34" s="1143" t="str">
        <f t="shared" si="15"/>
        <v>物业管理</v>
      </c>
      <c r="AA34" s="1554">
        <f t="shared" si="3"/>
        <v>1</v>
      </c>
      <c r="AB34" s="1554">
        <f t="shared" si="4"/>
        <v>1</v>
      </c>
      <c r="AC34" s="1554">
        <f t="shared" si="5"/>
        <v>1</v>
      </c>
    </row>
    <row r="35" spans="1:29" ht="15">
      <c r="A35" s="593"/>
      <c r="B35" s="1877"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03" t="s">
        <v>550</v>
      </c>
      <c r="Q35" s="1555" t="str">
        <f t="shared" si="11"/>
        <v>市政基础设施</v>
      </c>
      <c r="R35" s="1556" t="s">
        <v>8</v>
      </c>
      <c r="S35" s="1557">
        <f t="shared" si="12"/>
        <v>100</v>
      </c>
      <c r="T35" s="1556" t="s">
        <v>8</v>
      </c>
      <c r="U35" s="1557">
        <f t="shared" si="13"/>
        <v>100</v>
      </c>
      <c r="V35" s="1556" t="s">
        <v>8</v>
      </c>
      <c r="W35" s="1557">
        <f t="shared" si="14"/>
        <v>100</v>
      </c>
      <c r="X35" s="1550"/>
      <c r="Y35" s="3403"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03"/>
      <c r="Q36" s="1555" t="str">
        <f t="shared" si="11"/>
        <v>内部装修</v>
      </c>
      <c r="R36" s="1556" t="s">
        <v>8</v>
      </c>
      <c r="S36" s="1557">
        <f t="shared" si="12"/>
        <v>100</v>
      </c>
      <c r="T36" s="1556" t="s">
        <v>8</v>
      </c>
      <c r="U36" s="1557">
        <f t="shared" si="13"/>
        <v>100</v>
      </c>
      <c r="V36" s="1556" t="s">
        <v>8</v>
      </c>
      <c r="W36" s="1557">
        <f t="shared" si="14"/>
        <v>100</v>
      </c>
      <c r="X36" s="1550"/>
      <c r="Y36" s="3403"/>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03"/>
      <c r="Q37" s="1555" t="str">
        <f t="shared" si="11"/>
        <v>内部装修状况</v>
      </c>
      <c r="R37" s="1556" t="s">
        <v>8</v>
      </c>
      <c r="S37" s="1557">
        <f t="shared" si="12"/>
        <v>100</v>
      </c>
      <c r="T37" s="1556" t="s">
        <v>8</v>
      </c>
      <c r="U37" s="1557">
        <f t="shared" si="13"/>
        <v>100</v>
      </c>
      <c r="V37" s="1556" t="s">
        <v>8</v>
      </c>
      <c r="W37" s="1557">
        <f t="shared" si="14"/>
        <v>100</v>
      </c>
      <c r="X37" s="1550"/>
      <c r="Y37" s="3403"/>
      <c r="Z37" s="1558" t="str">
        <f t="shared" si="15"/>
        <v>内部装修状况</v>
      </c>
      <c r="AA37" s="1559">
        <f t="shared" si="3"/>
        <v>1</v>
      </c>
      <c r="AB37" s="1559">
        <f t="shared" si="4"/>
        <v>1</v>
      </c>
      <c r="AC37" s="1559">
        <f t="shared" si="5"/>
        <v>1</v>
      </c>
    </row>
    <row r="38" spans="1:29" s="1332"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03"/>
      <c r="Q38" s="1587">
        <f t="shared" si="11"/>
        <v>111</v>
      </c>
      <c r="R38" s="1560" t="s">
        <v>8</v>
      </c>
      <c r="S38" s="1561">
        <f t="shared" si="12"/>
        <v>100</v>
      </c>
      <c r="T38" s="1560" t="s">
        <v>8</v>
      </c>
      <c r="U38" s="1561">
        <f t="shared" si="13"/>
        <v>100</v>
      </c>
      <c r="V38" s="1560" t="s">
        <v>8</v>
      </c>
      <c r="W38" s="1561">
        <f t="shared" si="14"/>
        <v>100</v>
      </c>
      <c r="X38" s="1562"/>
      <c r="Y38" s="3403"/>
      <c r="Z38" s="1563">
        <f t="shared" si="15"/>
        <v>111</v>
      </c>
      <c r="AA38" s="1559">
        <f t="shared" si="3"/>
        <v>1</v>
      </c>
      <c r="AB38" s="1559">
        <f t="shared" si="4"/>
        <v>1</v>
      </c>
      <c r="AC38" s="1559">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03"/>
      <c r="Q39" s="1555">
        <f t="shared" si="11"/>
        <v>111</v>
      </c>
      <c r="R39" s="1556" t="s">
        <v>8</v>
      </c>
      <c r="S39" s="1557">
        <f t="shared" si="12"/>
        <v>100</v>
      </c>
      <c r="T39" s="1556" t="s">
        <v>8</v>
      </c>
      <c r="U39" s="1557">
        <f t="shared" si="13"/>
        <v>100</v>
      </c>
      <c r="V39" s="1556" t="s">
        <v>8</v>
      </c>
      <c r="W39" s="1557">
        <f t="shared" si="14"/>
        <v>100</v>
      </c>
      <c r="X39" s="1550"/>
      <c r="Y39" s="3403"/>
      <c r="Z39" s="1558">
        <f t="shared" si="15"/>
        <v>111</v>
      </c>
      <c r="AA39" s="1559">
        <f t="shared" si="3"/>
        <v>1</v>
      </c>
      <c r="AB39" s="1559">
        <f t="shared" si="4"/>
        <v>1</v>
      </c>
      <c r="AC39" s="1559">
        <f t="shared" si="5"/>
        <v>1</v>
      </c>
    </row>
    <row r="40" spans="1:29" ht="15.75" thickBot="1">
      <c r="A40" s="884"/>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82"/>
      <c r="Q40" s="1555">
        <f t="shared" si="11"/>
        <v>111</v>
      </c>
      <c r="R40" s="1556" t="s">
        <v>8</v>
      </c>
      <c r="S40" s="1557">
        <f t="shared" si="12"/>
        <v>100</v>
      </c>
      <c r="T40" s="1556" t="s">
        <v>8</v>
      </c>
      <c r="U40" s="1557">
        <f t="shared" si="13"/>
        <v>100</v>
      </c>
      <c r="V40" s="1556" t="s">
        <v>8</v>
      </c>
      <c r="W40" s="1557">
        <f t="shared" si="14"/>
        <v>100</v>
      </c>
      <c r="X40" s="1550"/>
      <c r="Y40" s="3482"/>
      <c r="Z40" s="1558">
        <f t="shared" si="15"/>
        <v>111</v>
      </c>
      <c r="AA40" s="1559">
        <f t="shared" si="3"/>
        <v>1</v>
      </c>
      <c r="AB40" s="1559">
        <f t="shared" si="4"/>
        <v>1</v>
      </c>
      <c r="AC40" s="1559">
        <f t="shared" si="5"/>
        <v>1</v>
      </c>
    </row>
    <row r="41" spans="1:29" ht="15">
      <c r="A41" s="606" t="s">
        <v>736</v>
      </c>
      <c r="B41" s="885"/>
      <c r="C41" s="2588" t="s">
        <v>1</v>
      </c>
      <c r="D41" s="2589"/>
      <c r="E41" s="2590"/>
      <c r="F41" s="2591"/>
      <c r="G41" s="2592"/>
      <c r="H41" s="2593"/>
      <c r="I41" s="2590"/>
      <c r="J41" s="2593"/>
      <c r="K41" s="1593"/>
      <c r="L41" s="2126"/>
      <c r="M41" s="2127"/>
      <c r="N41" s="2116"/>
      <c r="O41" s="2127"/>
      <c r="P41" s="3398" t="str">
        <f>A41</f>
        <v>成交单价（元/平方米）</v>
      </c>
      <c r="Q41" s="3398"/>
      <c r="R41" s="3481">
        <f>E41</f>
        <v>0</v>
      </c>
      <c r="S41" s="3481"/>
      <c r="T41" s="3481">
        <f>G41</f>
        <v>0</v>
      </c>
      <c r="U41" s="3481"/>
      <c r="V41" s="3481">
        <f>I41</f>
        <v>0</v>
      </c>
      <c r="W41" s="3481"/>
      <c r="X41" s="1542"/>
      <c r="Y41" s="1564"/>
      <c r="Z41" s="1542"/>
      <c r="AA41" s="1542"/>
      <c r="AB41" s="1542"/>
      <c r="AC41" s="1542"/>
    </row>
    <row r="42" spans="1:29" ht="15.75" thickBot="1">
      <c r="A42" s="614" t="s">
        <v>2760</v>
      </c>
      <c r="B42" s="886"/>
      <c r="C42" s="2594" t="e">
        <f>R43</f>
        <v>#DIV/0!</v>
      </c>
      <c r="D42" s="2595"/>
      <c r="E42" s="2596" t="e">
        <f>R42</f>
        <v>#DIV/0!</v>
      </c>
      <c r="F42" s="2596"/>
      <c r="G42" s="2594" t="e">
        <f>T42</f>
        <v>#DIV/0!</v>
      </c>
      <c r="H42" s="2595"/>
      <c r="I42" s="2596" t="e">
        <f>V42</f>
        <v>#DIV/0!</v>
      </c>
      <c r="J42" s="2595"/>
      <c r="K42" s="1594"/>
      <c r="L42" s="2126"/>
      <c r="M42" s="2127"/>
      <c r="N42" s="2116"/>
      <c r="O42" s="2127"/>
      <c r="P42" s="3398" t="str">
        <f>A42</f>
        <v>比较价格（元/平方米）</v>
      </c>
      <c r="Q42" s="3398"/>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2"/>
      <c r="Y42" s="1542"/>
      <c r="Z42" s="1542"/>
      <c r="AA42" s="1542"/>
      <c r="AB42" s="1542"/>
      <c r="AC42" s="1542"/>
    </row>
    <row r="43" spans="1:29" ht="15.75" thickBot="1">
      <c r="A43" s="620" t="s">
        <v>2935</v>
      </c>
      <c r="B43" s="621"/>
      <c r="C43" s="2597" t="e">
        <f>R43</f>
        <v>#DIV/0!</v>
      </c>
      <c r="D43" s="2597"/>
      <c r="E43" s="2597"/>
      <c r="F43" s="2597"/>
      <c r="G43" s="2597"/>
      <c r="H43" s="2597"/>
      <c r="I43" s="2597"/>
      <c r="J43" s="2597"/>
      <c r="K43" s="1595"/>
      <c r="L43" s="2126"/>
      <c r="M43" s="2127"/>
      <c r="N43" s="2127"/>
      <c r="O43" s="2127"/>
      <c r="P43" s="3419" t="str">
        <f>A43</f>
        <v>估价对象XX用房的比较价格（楼面单价，元/平方米）</v>
      </c>
      <c r="Q43" s="3420"/>
      <c r="R43" s="3480" t="e">
        <f>IF(F1="售价",ROUND(AVERAGE(R42:V42),0),ROUND(AVERAGE(R42:V42),1))</f>
        <v>#DIV/0!</v>
      </c>
      <c r="S43" s="3480"/>
      <c r="T43" s="3480"/>
      <c r="U43" s="3480"/>
      <c r="V43" s="3480"/>
      <c r="W43" s="3480"/>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4" t="s">
        <v>529</v>
      </c>
      <c r="B52" s="645"/>
      <c r="C52" s="2754" t="str">
        <f>YEAR(C7)&amp;"-"&amp;MONTH(C7)</f>
        <v>2019-12</v>
      </c>
      <c r="D52" s="2756">
        <f>EDATE(C52,-1)</f>
        <v>43770</v>
      </c>
      <c r="E52" s="2756">
        <f t="shared" ref="E52:O52" si="16">EDATE(D52,-1)</f>
        <v>43739</v>
      </c>
      <c r="F52" s="2756">
        <f t="shared" si="16"/>
        <v>43709</v>
      </c>
      <c r="G52" s="2756">
        <f t="shared" si="16"/>
        <v>43678</v>
      </c>
      <c r="H52" s="2756">
        <f t="shared" si="16"/>
        <v>43647</v>
      </c>
      <c r="I52" s="2756">
        <f t="shared" si="16"/>
        <v>43617</v>
      </c>
      <c r="J52" s="2756">
        <f t="shared" si="16"/>
        <v>43586</v>
      </c>
      <c r="K52" s="2756">
        <f t="shared" si="16"/>
        <v>43556</v>
      </c>
      <c r="L52" s="2756">
        <f t="shared" si="16"/>
        <v>43525</v>
      </c>
      <c r="M52" s="2756">
        <f t="shared" si="16"/>
        <v>43497</v>
      </c>
      <c r="N52" s="2756">
        <f t="shared" si="16"/>
        <v>43466</v>
      </c>
      <c r="O52" s="2756">
        <f t="shared" si="16"/>
        <v>43435</v>
      </c>
      <c r="P52" s="2142"/>
      <c r="Q52" s="2143"/>
      <c r="R52" s="2143"/>
      <c r="S52" s="2143"/>
      <c r="T52" s="2143"/>
      <c r="U52" s="2143"/>
      <c r="V52" s="2143"/>
      <c r="W52" s="2143"/>
      <c r="X52" s="2143"/>
      <c r="Y52" s="2143"/>
      <c r="Z52" s="2143"/>
      <c r="AA52" s="2143"/>
      <c r="AB52" s="2143"/>
      <c r="AC52" s="2143"/>
    </row>
    <row r="53" spans="1:29" s="1213"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3"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3"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2557</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2558</v>
      </c>
      <c r="C76" s="2559" t="s">
        <v>2559</v>
      </c>
      <c r="D76" s="2559" t="s">
        <v>2560</v>
      </c>
      <c r="E76" s="2559" t="s">
        <v>2561</v>
      </c>
      <c r="F76" s="2559" t="s">
        <v>2562</v>
      </c>
      <c r="G76" s="2559" t="s">
        <v>2563</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2556</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受贵公司委托，我公司对出让国有建设用地使用权市场价格进行了预评估。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45078.46平方米。根据《建设工程规划许可证》[]、《出让合同》[]，估价对象规划建筑面积为126219.52平方米。</v>
      </c>
    </row>
    <row r="7" spans="1:4" ht="93.75">
      <c r="A7" s="2825" t="s">
        <v>2748</v>
      </c>
    </row>
    <row r="8" spans="1:4" ht="18.75">
      <c r="A8" s="1776" t="s">
        <v>1906</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2019年12月16日</v>
      </c>
    </row>
    <row r="12" spans="1:4" ht="18.75">
      <c r="A12" s="1779" t="s">
        <v>2025</v>
      </c>
    </row>
    <row r="13" spans="1:4" ht="18.75">
      <c r="A13" s="1773" t="s">
        <v>2071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根据《国有土地使用证》[]，估价对象（分摊）出让国有建设用地使用权面积为45078.46平方米。根据《建设工程规划许可证》[]、《出让合同》[]，估价对象规划建筑面积为126219.52平方米。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2074</v>
      </c>
    </row>
    <row r="23" spans="1:1" ht="18.75">
      <c r="A23" s="2827" t="s">
        <v>2749</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9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795</v>
      </c>
      <c r="B3" s="509" t="e">
        <f>IF(B37="元/平方米",C39,ROUND(B2*10000/D3,0))</f>
        <v>#DIV/0!</v>
      </c>
      <c r="C3" s="851" t="s">
        <v>796</v>
      </c>
      <c r="D3" s="850">
        <f>SUMIF('数据-汇总表'!$C19:$C33,D1,'数据-汇总表'!$E19:$E33)</f>
        <v>0</v>
      </c>
      <c r="E3" s="1830" t="s">
        <v>2076</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04" t="s">
        <v>798</v>
      </c>
      <c r="D4" s="3405"/>
      <c r="E4" s="3404" t="s">
        <v>799</v>
      </c>
      <c r="F4" s="3405"/>
      <c r="G4" s="3404" t="s">
        <v>800</v>
      </c>
      <c r="H4" s="3405"/>
      <c r="I4" s="3404" t="s">
        <v>801</v>
      </c>
      <c r="J4" s="3405"/>
      <c r="K4" s="513" t="s">
        <v>802</v>
      </c>
      <c r="L4" s="2115"/>
      <c r="M4" s="2116"/>
      <c r="N4" s="2116"/>
      <c r="O4" s="2116"/>
      <c r="P4" s="3406" t="s">
        <v>803</v>
      </c>
      <c r="Q4" s="3407"/>
      <c r="R4" s="3392" t="s">
        <v>799</v>
      </c>
      <c r="S4" s="3393"/>
      <c r="T4" s="3392" t="s">
        <v>800</v>
      </c>
      <c r="U4" s="3393"/>
      <c r="V4" s="3412" t="s">
        <v>801</v>
      </c>
      <c r="W4" s="3412"/>
      <c r="X4" s="1550"/>
      <c r="Y4" s="3392" t="s">
        <v>803</v>
      </c>
      <c r="Z4" s="3393"/>
      <c r="AA4" s="3387" t="s">
        <v>799</v>
      </c>
      <c r="AB4" s="3388" t="s">
        <v>800</v>
      </c>
      <c r="AC4" s="3387" t="s">
        <v>801</v>
      </c>
    </row>
    <row r="5" spans="1:29" ht="15">
      <c r="A5" s="514"/>
      <c r="B5" s="515"/>
      <c r="C5" s="3415" t="s">
        <v>2929</v>
      </c>
      <c r="D5" s="3416"/>
      <c r="E5" s="3415" t="s">
        <v>2930</v>
      </c>
      <c r="F5" s="3416"/>
      <c r="G5" s="3415" t="s">
        <v>2931</v>
      </c>
      <c r="H5" s="3416"/>
      <c r="I5" s="3415" t="s">
        <v>2932</v>
      </c>
      <c r="J5" s="3416"/>
      <c r="K5" s="513"/>
      <c r="L5" s="2115"/>
      <c r="M5" s="2116"/>
      <c r="N5" s="2116"/>
      <c r="O5" s="2116"/>
      <c r="P5" s="3408"/>
      <c r="Q5" s="3409"/>
      <c r="R5" s="3394"/>
      <c r="S5" s="3395"/>
      <c r="T5" s="3394"/>
      <c r="U5" s="3395"/>
      <c r="V5" s="3412"/>
      <c r="W5" s="3412"/>
      <c r="X5" s="1550"/>
      <c r="Y5" s="3394"/>
      <c r="Z5" s="3395"/>
      <c r="AA5" s="3388"/>
      <c r="AB5" s="3388"/>
      <c r="AC5" s="3388"/>
    </row>
    <row r="6" spans="1:29" ht="15.75" thickBot="1">
      <c r="A6" s="516"/>
      <c r="B6" s="517"/>
      <c r="C6" s="3413" t="s">
        <v>2933</v>
      </c>
      <c r="D6" s="3414"/>
      <c r="E6" s="3417" t="s">
        <v>2933</v>
      </c>
      <c r="F6" s="3418"/>
      <c r="G6" s="3413" t="s">
        <v>2933</v>
      </c>
      <c r="H6" s="3414"/>
      <c r="I6" s="3413" t="s">
        <v>2933</v>
      </c>
      <c r="J6" s="3414"/>
      <c r="K6" s="513" t="s">
        <v>528</v>
      </c>
      <c r="L6" s="2115"/>
      <c r="M6" s="2116"/>
      <c r="N6" s="2116"/>
      <c r="O6" s="2116"/>
      <c r="P6" s="3410"/>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390" t="s">
        <v>530</v>
      </c>
      <c r="Q7" s="3399"/>
      <c r="R7" s="1551" t="s">
        <v>8</v>
      </c>
      <c r="S7" s="1552">
        <f t="shared" ref="S7:S14" si="0">F7</f>
        <v>0</v>
      </c>
      <c r="T7" s="1551" t="s">
        <v>8</v>
      </c>
      <c r="U7" s="1552">
        <f t="shared" ref="U7:U14" si="1">H7</f>
        <v>0</v>
      </c>
      <c r="V7" s="1551" t="s">
        <v>8</v>
      </c>
      <c r="W7" s="1552">
        <f t="shared" ref="W7:W14" si="2">J7</f>
        <v>0</v>
      </c>
      <c r="X7" s="1553"/>
      <c r="Y7" s="3390" t="s">
        <v>530</v>
      </c>
      <c r="Z7" s="3391"/>
      <c r="AA7" s="1554" t="e">
        <f>D7/F7</f>
        <v>#DIV/0!</v>
      </c>
      <c r="AB7" s="1554" t="e">
        <f>D7/H7</f>
        <v>#DIV/0!</v>
      </c>
      <c r="AC7" s="1554" t="e">
        <f>D7/J7</f>
        <v>#DIV/0!</v>
      </c>
    </row>
    <row r="8" spans="1:29" s="1213"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390" t="s">
        <v>533</v>
      </c>
      <c r="Q8" s="3391"/>
      <c r="R8" s="1551" t="s">
        <v>8</v>
      </c>
      <c r="S8" s="1552">
        <f t="shared" si="0"/>
        <v>0</v>
      </c>
      <c r="T8" s="1551" t="s">
        <v>8</v>
      </c>
      <c r="U8" s="1552">
        <f t="shared" si="1"/>
        <v>0</v>
      </c>
      <c r="V8" s="1551" t="s">
        <v>8</v>
      </c>
      <c r="W8" s="1552">
        <f t="shared" si="2"/>
        <v>0</v>
      </c>
      <c r="X8" s="1553"/>
      <c r="Y8" s="3390" t="s">
        <v>533</v>
      </c>
      <c r="Z8" s="3391"/>
      <c r="AA8" s="1554" t="e">
        <f t="shared" ref="AA8:AA36" si="3">D8/F8</f>
        <v>#DIV/0!</v>
      </c>
      <c r="AB8" s="1554" t="e">
        <f t="shared" ref="AB8:AB36" si="4">D8/H8</f>
        <v>#DIV/0!</v>
      </c>
      <c r="AC8" s="1554" t="e">
        <f t="shared" ref="AC8:AC36" si="5">D8/J8</f>
        <v>#DIV/0!</v>
      </c>
    </row>
    <row r="9" spans="1:29" s="1213" customFormat="1" ht="15">
      <c r="A9" s="2866"/>
      <c r="B9" s="2873" t="s">
        <v>2756</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398" t="s">
        <v>535</v>
      </c>
      <c r="Q9" s="1144" t="str">
        <f t="shared" ref="Q9:Q14" si="6">B9</f>
        <v>用途</v>
      </c>
      <c r="R9" s="1551" t="s">
        <v>8</v>
      </c>
      <c r="S9" s="1552">
        <f t="shared" si="0"/>
        <v>100</v>
      </c>
      <c r="T9" s="1551" t="s">
        <v>8</v>
      </c>
      <c r="U9" s="1552">
        <f t="shared" si="1"/>
        <v>100</v>
      </c>
      <c r="V9" s="1551" t="s">
        <v>8</v>
      </c>
      <c r="W9" s="1552">
        <f t="shared" si="2"/>
        <v>100</v>
      </c>
      <c r="X9" s="1553"/>
      <c r="Y9" s="3355" t="s">
        <v>536</v>
      </c>
      <c r="Z9" s="1143" t="str">
        <f t="shared" ref="Z9:Z14" si="7">Q9</f>
        <v>用途</v>
      </c>
      <c r="AA9" s="1554">
        <f t="shared" si="3"/>
        <v>1</v>
      </c>
      <c r="AB9" s="1554">
        <f t="shared" si="4"/>
        <v>1</v>
      </c>
      <c r="AC9" s="1554">
        <f t="shared" si="5"/>
        <v>1</v>
      </c>
    </row>
    <row r="10" spans="1:29" s="1331" customFormat="1" ht="27">
      <c r="A10" s="2867"/>
      <c r="B10" s="2872" t="s">
        <v>2757</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98"/>
      <c r="Q11" s="1144">
        <f t="shared" si="6"/>
        <v>111</v>
      </c>
      <c r="R11" s="1551" t="s">
        <v>8</v>
      </c>
      <c r="S11" s="1552">
        <f t="shared" si="0"/>
        <v>100</v>
      </c>
      <c r="T11" s="1551" t="s">
        <v>8</v>
      </c>
      <c r="U11" s="1552">
        <f t="shared" si="1"/>
        <v>100</v>
      </c>
      <c r="V11" s="1551" t="s">
        <v>8</v>
      </c>
      <c r="W11" s="1552">
        <f t="shared" si="2"/>
        <v>100</v>
      </c>
      <c r="X11" s="1553"/>
      <c r="Y11" s="3355"/>
      <c r="Z11" s="1143">
        <f t="shared" si="7"/>
        <v>111</v>
      </c>
      <c r="AA11" s="1554">
        <f t="shared" si="3"/>
        <v>1</v>
      </c>
      <c r="AB11" s="1554">
        <f t="shared" si="4"/>
        <v>1</v>
      </c>
      <c r="AC11" s="1554">
        <f t="shared" si="5"/>
        <v>1</v>
      </c>
    </row>
    <row r="12" spans="1:29" s="1213"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85.5">
      <c r="A14" s="2862" t="s">
        <v>2754</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00" t="s">
        <v>540</v>
      </c>
      <c r="Q14" s="1555" t="str">
        <f t="shared" si="6"/>
        <v>交通便捷度</v>
      </c>
      <c r="R14" s="1556" t="s">
        <v>8</v>
      </c>
      <c r="S14" s="1557">
        <f t="shared" si="0"/>
        <v>100</v>
      </c>
      <c r="T14" s="1556" t="s">
        <v>8</v>
      </c>
      <c r="U14" s="1557">
        <f t="shared" si="1"/>
        <v>100</v>
      </c>
      <c r="V14" s="1556" t="s">
        <v>8</v>
      </c>
      <c r="W14" s="1557">
        <f t="shared" si="2"/>
        <v>100</v>
      </c>
      <c r="X14" s="1550"/>
      <c r="Y14" s="3400" t="s">
        <v>540</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401"/>
      <c r="Q15" s="1555"/>
      <c r="R15" s="1556"/>
      <c r="S15" s="1557"/>
      <c r="T15" s="1556"/>
      <c r="U15" s="1557"/>
      <c r="V15" s="1556"/>
      <c r="W15" s="1557"/>
      <c r="X15" s="1550"/>
      <c r="Y15" s="3401"/>
      <c r="Z15" s="1558"/>
      <c r="AA15" s="1559">
        <v>1</v>
      </c>
      <c r="AB15" s="1559">
        <v>1</v>
      </c>
      <c r="AC15" s="1559">
        <v>1</v>
      </c>
    </row>
    <row r="16" spans="1:29" ht="42.75">
      <c r="A16" s="514"/>
      <c r="B16" s="2564"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01"/>
      <c r="Q16" s="1555" t="str">
        <f>B16</f>
        <v>公共配套设施</v>
      </c>
      <c r="R16" s="1556" t="s">
        <v>8</v>
      </c>
      <c r="S16" s="1557">
        <f>F16</f>
        <v>100</v>
      </c>
      <c r="T16" s="1556" t="s">
        <v>8</v>
      </c>
      <c r="U16" s="1557">
        <f>H16</f>
        <v>100</v>
      </c>
      <c r="V16" s="1556" t="s">
        <v>8</v>
      </c>
      <c r="W16" s="1557">
        <f>J16</f>
        <v>100</v>
      </c>
      <c r="X16" s="1550"/>
      <c r="Y16" s="3401"/>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401"/>
      <c r="Q17" s="1555"/>
      <c r="R17" s="1556"/>
      <c r="S17" s="1557"/>
      <c r="T17" s="1556"/>
      <c r="U17" s="1557"/>
      <c r="V17" s="1556"/>
      <c r="W17" s="1557"/>
      <c r="X17" s="1550"/>
      <c r="Y17" s="3401"/>
      <c r="Z17" s="1558"/>
      <c r="AA17" s="1559">
        <v>1</v>
      </c>
      <c r="AB17" s="1559">
        <v>1</v>
      </c>
      <c r="AC17" s="1559">
        <v>1</v>
      </c>
    </row>
    <row r="18" spans="1:29" ht="28.5">
      <c r="A18" s="514"/>
      <c r="B18" s="2552"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01"/>
      <c r="Q18" s="2540" t="str">
        <f>B18</f>
        <v>基础设施水平</v>
      </c>
      <c r="R18" s="1556" t="s">
        <v>8</v>
      </c>
      <c r="S18" s="1557">
        <f>F18</f>
        <v>100</v>
      </c>
      <c r="T18" s="1556" t="s">
        <v>8</v>
      </c>
      <c r="U18" s="1557">
        <f>H18</f>
        <v>100</v>
      </c>
      <c r="V18" s="1556" t="s">
        <v>8</v>
      </c>
      <c r="W18" s="1557">
        <f>J18</f>
        <v>100</v>
      </c>
      <c r="X18" s="2542"/>
      <c r="Y18" s="3401"/>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01"/>
      <c r="Q19" s="2540"/>
      <c r="R19" s="1556"/>
      <c r="S19" s="1557"/>
      <c r="T19" s="1556"/>
      <c r="U19" s="1557"/>
      <c r="V19" s="1556"/>
      <c r="W19" s="1557"/>
      <c r="X19" s="2542"/>
      <c r="Y19" s="3401"/>
      <c r="Z19" s="2541"/>
      <c r="AA19" s="1559">
        <v>1</v>
      </c>
      <c r="AB19" s="1559">
        <v>1</v>
      </c>
      <c r="AC19" s="1559">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01"/>
      <c r="Q20" s="1555" t="str">
        <f>B20</f>
        <v>自然及人文环境</v>
      </c>
      <c r="R20" s="1556" t="s">
        <v>8</v>
      </c>
      <c r="S20" s="1557">
        <f>F20</f>
        <v>100</v>
      </c>
      <c r="T20" s="1556" t="s">
        <v>8</v>
      </c>
      <c r="U20" s="1557">
        <f>H20</f>
        <v>100</v>
      </c>
      <c r="V20" s="1556" t="s">
        <v>8</v>
      </c>
      <c r="W20" s="1557">
        <f>J20</f>
        <v>100</v>
      </c>
      <c r="X20" s="1550"/>
      <c r="Y20" s="3401"/>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401"/>
      <c r="Q21" s="1555"/>
      <c r="R21" s="1556"/>
      <c r="S21" s="1557"/>
      <c r="T21" s="1556"/>
      <c r="U21" s="1557"/>
      <c r="V21" s="1556"/>
      <c r="W21" s="1557"/>
      <c r="X21" s="1550"/>
      <c r="Y21" s="3401"/>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01"/>
      <c r="Q22" s="1555" t="str">
        <f>B22</f>
        <v>楼层</v>
      </c>
      <c r="R22" s="1556" t="s">
        <v>8</v>
      </c>
      <c r="S22" s="1557">
        <f>F22</f>
        <v>100</v>
      </c>
      <c r="T22" s="1556" t="s">
        <v>8</v>
      </c>
      <c r="U22" s="1557">
        <f>H22</f>
        <v>100</v>
      </c>
      <c r="V22" s="1556" t="s">
        <v>8</v>
      </c>
      <c r="W22" s="1557">
        <f>J22</f>
        <v>100</v>
      </c>
      <c r="X22" s="1550"/>
      <c r="Y22" s="3401"/>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01"/>
      <c r="Q23" s="1555">
        <f>B23</f>
        <v>111</v>
      </c>
      <c r="R23" s="1556" t="s">
        <v>8</v>
      </c>
      <c r="S23" s="1557">
        <f>F23</f>
        <v>100</v>
      </c>
      <c r="T23" s="1556" t="s">
        <v>8</v>
      </c>
      <c r="U23" s="1557">
        <f>H23</f>
        <v>100</v>
      </c>
      <c r="V23" s="1556" t="s">
        <v>8</v>
      </c>
      <c r="W23" s="1557">
        <f>J23</f>
        <v>100</v>
      </c>
      <c r="X23" s="1550"/>
      <c r="Y23" s="3401"/>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01"/>
      <c r="Q24" s="1555">
        <f t="shared" ref="Q24:Q36" si="11">B24</f>
        <v>111</v>
      </c>
      <c r="R24" s="1556" t="s">
        <v>8</v>
      </c>
      <c r="S24" s="1557">
        <f>F24</f>
        <v>100</v>
      </c>
      <c r="T24" s="1556" t="s">
        <v>8</v>
      </c>
      <c r="U24" s="1557">
        <f>H24</f>
        <v>100</v>
      </c>
      <c r="V24" s="1556" t="s">
        <v>8</v>
      </c>
      <c r="W24" s="1557">
        <f>J24</f>
        <v>100</v>
      </c>
      <c r="X24" s="1550"/>
      <c r="Y24" s="3401"/>
      <c r="Z24" s="1558">
        <f>Q24</f>
        <v>111</v>
      </c>
      <c r="AA24" s="1559">
        <f t="shared" si="3"/>
        <v>1</v>
      </c>
      <c r="AB24" s="1559">
        <f t="shared" si="4"/>
        <v>1</v>
      </c>
      <c r="AC24" s="1559">
        <f t="shared" si="5"/>
        <v>1</v>
      </c>
    </row>
    <row r="25" spans="1:29" s="1213"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01"/>
      <c r="Q25" s="1144">
        <f t="shared" si="11"/>
        <v>111</v>
      </c>
      <c r="R25" s="1551" t="s">
        <v>8</v>
      </c>
      <c r="S25" s="1552">
        <f>F25</f>
        <v>100</v>
      </c>
      <c r="T25" s="1551" t="s">
        <v>8</v>
      </c>
      <c r="U25" s="1552">
        <f>H25</f>
        <v>100</v>
      </c>
      <c r="V25" s="1551" t="s">
        <v>8</v>
      </c>
      <c r="W25" s="1552">
        <f>J25</f>
        <v>100</v>
      </c>
      <c r="X25" s="1553"/>
      <c r="Y25" s="3401"/>
      <c r="Z25" s="1143">
        <f>Q25</f>
        <v>111</v>
      </c>
      <c r="AA25" s="1559">
        <f>D25/F25</f>
        <v>1</v>
      </c>
      <c r="AB25" s="1559">
        <f>D25/H25</f>
        <v>1</v>
      </c>
      <c r="AC25" s="1559">
        <f>D25/J25</f>
        <v>1</v>
      </c>
    </row>
    <row r="26" spans="1:29" ht="15">
      <c r="A26" s="2859" t="s">
        <v>2755</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02"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03" t="s">
        <v>550</v>
      </c>
      <c r="Z26" s="1558" t="str">
        <f t="shared" ref="Z26:Z36" si="15">Q26</f>
        <v>配套类型</v>
      </c>
      <c r="AA26" s="1559">
        <f t="shared" si="3"/>
        <v>1</v>
      </c>
      <c r="AB26" s="1559">
        <f t="shared" si="4"/>
        <v>1</v>
      </c>
      <c r="AC26" s="1559">
        <f t="shared" si="5"/>
        <v>1</v>
      </c>
    </row>
    <row r="27" spans="1:29" s="1332"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03"/>
      <c r="Q27" s="1587" t="str">
        <f t="shared" si="11"/>
        <v>项目停车位配比</v>
      </c>
      <c r="R27" s="1560" t="s">
        <v>8</v>
      </c>
      <c r="S27" s="1561">
        <f t="shared" si="12"/>
        <v>100</v>
      </c>
      <c r="T27" s="1560" t="s">
        <v>8</v>
      </c>
      <c r="U27" s="1561">
        <f t="shared" si="13"/>
        <v>100</v>
      </c>
      <c r="V27" s="1560" t="s">
        <v>8</v>
      </c>
      <c r="W27" s="1561">
        <f t="shared" si="14"/>
        <v>100</v>
      </c>
      <c r="X27" s="1562"/>
      <c r="Y27" s="3403"/>
      <c r="Z27" s="1563" t="str">
        <f t="shared" si="15"/>
        <v>项目停车位配比</v>
      </c>
      <c r="AA27" s="1559">
        <f t="shared" si="3"/>
        <v>1</v>
      </c>
      <c r="AB27" s="1559">
        <f t="shared" si="4"/>
        <v>1</v>
      </c>
      <c r="AC27" s="1559">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03"/>
      <c r="Q28" s="1555" t="str">
        <f t="shared" si="11"/>
        <v>公共部分装修</v>
      </c>
      <c r="R28" s="1556" t="s">
        <v>8</v>
      </c>
      <c r="S28" s="1557">
        <f t="shared" si="12"/>
        <v>100</v>
      </c>
      <c r="T28" s="1556" t="s">
        <v>8</v>
      </c>
      <c r="U28" s="1557">
        <f t="shared" si="13"/>
        <v>100</v>
      </c>
      <c r="V28" s="1556" t="s">
        <v>8</v>
      </c>
      <c r="W28" s="1557">
        <f t="shared" si="14"/>
        <v>100</v>
      </c>
      <c r="X28" s="1550"/>
      <c r="Y28" s="3403"/>
      <c r="Z28" s="1558" t="str">
        <f t="shared" si="15"/>
        <v>公共部分装修</v>
      </c>
      <c r="AA28" s="1559">
        <f t="shared" si="3"/>
        <v>1</v>
      </c>
      <c r="AB28" s="1559">
        <f t="shared" si="4"/>
        <v>1</v>
      </c>
      <c r="AC28" s="1559">
        <f t="shared" si="5"/>
        <v>1</v>
      </c>
    </row>
    <row r="29" spans="1:29" ht="15">
      <c r="A29" s="929"/>
      <c r="B29" s="581" t="s">
        <v>809</v>
      </c>
      <c r="C29" s="879"/>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03"/>
      <c r="Q29" s="1555" t="str">
        <f t="shared" si="11"/>
        <v>成新率</v>
      </c>
      <c r="R29" s="1556" t="s">
        <v>8</v>
      </c>
      <c r="S29" s="1557" t="e">
        <f t="shared" si="12"/>
        <v>#N/A</v>
      </c>
      <c r="T29" s="1556" t="s">
        <v>8</v>
      </c>
      <c r="U29" s="1557" t="e">
        <f t="shared" si="13"/>
        <v>#N/A</v>
      </c>
      <c r="V29" s="1556" t="s">
        <v>8</v>
      </c>
      <c r="W29" s="1557" t="e">
        <f t="shared" si="14"/>
        <v>#N/A</v>
      </c>
      <c r="X29" s="1550"/>
      <c r="Y29" s="3403"/>
      <c r="Z29" s="1558" t="str">
        <f t="shared" si="15"/>
        <v>成新率</v>
      </c>
      <c r="AA29" s="1559" t="e">
        <f t="shared" si="3"/>
        <v>#N/A</v>
      </c>
      <c r="AB29" s="1559" t="e">
        <f t="shared" si="4"/>
        <v>#N/A</v>
      </c>
      <c r="AC29" s="1559"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03"/>
      <c r="Q30" s="1555" t="str">
        <f t="shared" si="11"/>
        <v>物业等级</v>
      </c>
      <c r="R30" s="1556" t="s">
        <v>8</v>
      </c>
      <c r="S30" s="1557">
        <f t="shared" si="12"/>
        <v>100</v>
      </c>
      <c r="T30" s="1556" t="s">
        <v>8</v>
      </c>
      <c r="U30" s="1557">
        <f t="shared" si="13"/>
        <v>100</v>
      </c>
      <c r="V30" s="1556" t="s">
        <v>8</v>
      </c>
      <c r="W30" s="1557">
        <f t="shared" si="14"/>
        <v>100</v>
      </c>
      <c r="X30" s="1550"/>
      <c r="Y30" s="3403"/>
      <c r="Z30" s="1558" t="str">
        <f t="shared" si="15"/>
        <v>物业等级</v>
      </c>
      <c r="AA30" s="1559">
        <f t="shared" si="3"/>
        <v>1</v>
      </c>
      <c r="AB30" s="1559">
        <f t="shared" si="4"/>
        <v>1</v>
      </c>
      <c r="AC30" s="1559">
        <f t="shared" si="5"/>
        <v>1</v>
      </c>
    </row>
    <row r="31" spans="1:29" s="1213" customFormat="1" ht="15">
      <c r="A31" s="931"/>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03"/>
      <c r="Q31" s="1144" t="str">
        <f t="shared" si="11"/>
        <v>停车位面积</v>
      </c>
      <c r="R31" s="1551" t="s">
        <v>8</v>
      </c>
      <c r="S31" s="1552" t="e">
        <f t="shared" si="12"/>
        <v>#N/A</v>
      </c>
      <c r="T31" s="1551" t="s">
        <v>8</v>
      </c>
      <c r="U31" s="1552" t="e">
        <f t="shared" si="13"/>
        <v>#N/A</v>
      </c>
      <c r="V31" s="1551" t="s">
        <v>8</v>
      </c>
      <c r="W31" s="1552" t="e">
        <f t="shared" si="14"/>
        <v>#N/A</v>
      </c>
      <c r="X31" s="1553"/>
      <c r="Y31" s="3403"/>
      <c r="Z31" s="1143" t="str">
        <f t="shared" si="15"/>
        <v>停车位面积</v>
      </c>
      <c r="AA31" s="1554" t="e">
        <f t="shared" si="3"/>
        <v>#N/A</v>
      </c>
      <c r="AB31" s="1554" t="e">
        <f t="shared" si="4"/>
        <v>#N/A</v>
      </c>
      <c r="AC31" s="1554"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03" t="s">
        <v>550</v>
      </c>
      <c r="Q32" s="1555" t="str">
        <f t="shared" si="11"/>
        <v>车位类型</v>
      </c>
      <c r="R32" s="1556" t="s">
        <v>8</v>
      </c>
      <c r="S32" s="1557">
        <f t="shared" si="12"/>
        <v>100</v>
      </c>
      <c r="T32" s="1556" t="s">
        <v>8</v>
      </c>
      <c r="U32" s="1557">
        <f t="shared" si="13"/>
        <v>100</v>
      </c>
      <c r="V32" s="1556" t="s">
        <v>8</v>
      </c>
      <c r="W32" s="1557">
        <f t="shared" si="14"/>
        <v>100</v>
      </c>
      <c r="X32" s="1550"/>
      <c r="Y32" s="3403" t="s">
        <v>550</v>
      </c>
      <c r="Z32" s="1558" t="str">
        <f t="shared" si="15"/>
        <v>车位类型</v>
      </c>
      <c r="AA32" s="1559">
        <f t="shared" si="3"/>
        <v>1</v>
      </c>
      <c r="AB32" s="1559">
        <f t="shared" si="4"/>
        <v>1</v>
      </c>
      <c r="AC32" s="1559">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03"/>
      <c r="Q33" s="1555" t="str">
        <f t="shared" si="11"/>
        <v>是否直接入户</v>
      </c>
      <c r="R33" s="1556" t="s">
        <v>8</v>
      </c>
      <c r="S33" s="1557">
        <f t="shared" si="12"/>
        <v>100</v>
      </c>
      <c r="T33" s="1556" t="s">
        <v>8</v>
      </c>
      <c r="U33" s="1557">
        <f t="shared" si="13"/>
        <v>100</v>
      </c>
      <c r="V33" s="1556" t="s">
        <v>8</v>
      </c>
      <c r="W33" s="1557">
        <f t="shared" si="14"/>
        <v>100</v>
      </c>
      <c r="X33" s="1550"/>
      <c r="Y33" s="3403"/>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03"/>
      <c r="Q34" s="1555">
        <f t="shared" si="11"/>
        <v>111</v>
      </c>
      <c r="R34" s="1556" t="s">
        <v>8</v>
      </c>
      <c r="S34" s="1557">
        <f t="shared" si="12"/>
        <v>100</v>
      </c>
      <c r="T34" s="1556" t="s">
        <v>8</v>
      </c>
      <c r="U34" s="1557">
        <f t="shared" si="13"/>
        <v>100</v>
      </c>
      <c r="V34" s="1556" t="s">
        <v>8</v>
      </c>
      <c r="W34" s="1557">
        <f t="shared" si="14"/>
        <v>100</v>
      </c>
      <c r="X34" s="1550"/>
      <c r="Y34" s="3403"/>
      <c r="Z34" s="1558">
        <f t="shared" si="15"/>
        <v>111</v>
      </c>
      <c r="AA34" s="1559">
        <f t="shared" si="3"/>
        <v>1</v>
      </c>
      <c r="AB34" s="1559">
        <f t="shared" si="4"/>
        <v>1</v>
      </c>
      <c r="AC34" s="1559">
        <f t="shared" si="5"/>
        <v>1</v>
      </c>
    </row>
    <row r="35" spans="1:29" s="1332"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03"/>
      <c r="Q35" s="1587">
        <f t="shared" si="11"/>
        <v>111</v>
      </c>
      <c r="R35" s="1560" t="s">
        <v>8</v>
      </c>
      <c r="S35" s="1561">
        <f t="shared" si="12"/>
        <v>100</v>
      </c>
      <c r="T35" s="1560" t="s">
        <v>8</v>
      </c>
      <c r="U35" s="1561">
        <f t="shared" si="13"/>
        <v>100</v>
      </c>
      <c r="V35" s="1560" t="s">
        <v>8</v>
      </c>
      <c r="W35" s="1561">
        <f t="shared" si="14"/>
        <v>100</v>
      </c>
      <c r="X35" s="1562"/>
      <c r="Y35" s="3403"/>
      <c r="Z35" s="1563">
        <f t="shared" si="15"/>
        <v>111</v>
      </c>
      <c r="AA35" s="1559">
        <f t="shared" si="3"/>
        <v>1</v>
      </c>
      <c r="AB35" s="1559">
        <f t="shared" si="4"/>
        <v>1</v>
      </c>
      <c r="AC35" s="1559">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03"/>
      <c r="Q36" s="1555">
        <f t="shared" si="11"/>
        <v>111</v>
      </c>
      <c r="R36" s="1556" t="s">
        <v>8</v>
      </c>
      <c r="S36" s="1557">
        <f t="shared" si="12"/>
        <v>100</v>
      </c>
      <c r="T36" s="1556" t="s">
        <v>8</v>
      </c>
      <c r="U36" s="1557">
        <f t="shared" si="13"/>
        <v>100</v>
      </c>
      <c r="V36" s="1556" t="s">
        <v>8</v>
      </c>
      <c r="W36" s="1557">
        <f t="shared" si="14"/>
        <v>100</v>
      </c>
      <c r="X36" s="1550"/>
      <c r="Y36" s="3403"/>
      <c r="Z36" s="1558">
        <f t="shared" si="15"/>
        <v>111</v>
      </c>
      <c r="AA36" s="1559">
        <f t="shared" si="3"/>
        <v>1</v>
      </c>
      <c r="AB36" s="1559">
        <f t="shared" si="4"/>
        <v>1</v>
      </c>
      <c r="AC36" s="1559">
        <f t="shared" si="5"/>
        <v>1</v>
      </c>
    </row>
    <row r="37" spans="1:29" ht="15">
      <c r="A37" s="1828" t="s">
        <v>2077</v>
      </c>
      <c r="B37" s="1829" t="s">
        <v>2078</v>
      </c>
      <c r="C37" s="2588" t="s">
        <v>1</v>
      </c>
      <c r="D37" s="2589"/>
      <c r="E37" s="2590"/>
      <c r="F37" s="2591"/>
      <c r="G37" s="2592"/>
      <c r="H37" s="2593"/>
      <c r="I37" s="2590"/>
      <c r="J37" s="2593"/>
      <c r="K37" s="1593"/>
      <c r="L37" s="2126"/>
      <c r="M37" s="2127"/>
      <c r="N37" s="2116"/>
      <c r="O37" s="2127"/>
      <c r="P37" s="3398" t="str">
        <f>A37</f>
        <v>成交单价</v>
      </c>
      <c r="Q37" s="3398"/>
      <c r="R37" s="3481">
        <f>E37</f>
        <v>0</v>
      </c>
      <c r="S37" s="3481"/>
      <c r="T37" s="3481">
        <f>G37</f>
        <v>0</v>
      </c>
      <c r="U37" s="3481"/>
      <c r="V37" s="3481">
        <f>I37</f>
        <v>0</v>
      </c>
      <c r="W37" s="3481"/>
      <c r="X37" s="1542"/>
      <c r="Y37" s="1564"/>
      <c r="Z37" s="1542"/>
      <c r="AA37" s="1542"/>
      <c r="AB37" s="1542"/>
      <c r="AC37" s="1542"/>
    </row>
    <row r="38" spans="1:29" ht="15.75" thickBot="1">
      <c r="A38" s="614" t="s">
        <v>2760</v>
      </c>
      <c r="B38" s="886"/>
      <c r="C38" s="2594" t="e">
        <f>R39</f>
        <v>#DIV/0!</v>
      </c>
      <c r="D38" s="2595"/>
      <c r="E38" s="2596" t="e">
        <f>R38</f>
        <v>#DIV/0!</v>
      </c>
      <c r="F38" s="2596"/>
      <c r="G38" s="2594" t="e">
        <f>T38</f>
        <v>#DIV/0!</v>
      </c>
      <c r="H38" s="2595"/>
      <c r="I38" s="2596" t="e">
        <f>V38</f>
        <v>#DIV/0!</v>
      </c>
      <c r="J38" s="2595"/>
      <c r="K38" s="1594"/>
      <c r="L38" s="2126"/>
      <c r="M38" s="2127"/>
      <c r="N38" s="2127"/>
      <c r="O38" s="2127"/>
      <c r="P38" s="3398" t="str">
        <f>A38</f>
        <v>比较价格（元/平方米）</v>
      </c>
      <c r="Q38" s="3398"/>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2"/>
      <c r="Y38" s="1542"/>
      <c r="Z38" s="1542"/>
      <c r="AA38" s="1542"/>
      <c r="AB38" s="1542"/>
      <c r="AC38" s="1542"/>
    </row>
    <row r="39" spans="1:29" ht="15.75" thickBot="1">
      <c r="A39" s="620" t="s">
        <v>2935</v>
      </c>
      <c r="B39" s="621"/>
      <c r="C39" s="2597" t="e">
        <f>R39</f>
        <v>#DIV/0!</v>
      </c>
      <c r="D39" s="2597"/>
      <c r="E39" s="2597"/>
      <c r="F39" s="2597"/>
      <c r="G39" s="2597"/>
      <c r="H39" s="2597"/>
      <c r="I39" s="2597"/>
      <c r="J39" s="2597"/>
      <c r="K39" s="1595"/>
      <c r="L39" s="2126"/>
      <c r="M39" s="2127"/>
      <c r="N39" s="2127"/>
      <c r="O39" s="2127"/>
      <c r="P39" s="3419" t="str">
        <f>A39</f>
        <v>估价对象XX用房的比较价格（楼面单价，元/平方米）</v>
      </c>
      <c r="Q39" s="3420"/>
      <c r="R39" s="3480" t="e">
        <f>IF(F1="售价",ROUND(AVERAGE(R38:V38),0),ROUND(AVERAGE(R38:V38),1))</f>
        <v>#DIV/0!</v>
      </c>
      <c r="S39" s="3480"/>
      <c r="T39" s="3480"/>
      <c r="U39" s="3480"/>
      <c r="V39" s="3480"/>
      <c r="W39" s="3480"/>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4" t="s">
        <v>529</v>
      </c>
      <c r="B48" s="645"/>
      <c r="C48" s="2754" t="str">
        <f>YEAR(C7)&amp;"-"&amp;MONTH(C7)</f>
        <v>2019-12</v>
      </c>
      <c r="D48" s="2756">
        <f>EDATE(C48,-1)</f>
        <v>43770</v>
      </c>
      <c r="E48" s="2756">
        <f t="shared" ref="E48:O48" si="16">EDATE(D48,-1)</f>
        <v>43739</v>
      </c>
      <c r="F48" s="2756">
        <f t="shared" si="16"/>
        <v>43709</v>
      </c>
      <c r="G48" s="2756">
        <f t="shared" si="16"/>
        <v>43678</v>
      </c>
      <c r="H48" s="2756">
        <f t="shared" si="16"/>
        <v>43647</v>
      </c>
      <c r="I48" s="2756">
        <f t="shared" si="16"/>
        <v>43617</v>
      </c>
      <c r="J48" s="2756">
        <f t="shared" si="16"/>
        <v>43586</v>
      </c>
      <c r="K48" s="2756">
        <f t="shared" si="16"/>
        <v>43556</v>
      </c>
      <c r="L48" s="2756">
        <f t="shared" si="16"/>
        <v>43525</v>
      </c>
      <c r="M48" s="2756">
        <f t="shared" si="16"/>
        <v>43497</v>
      </c>
      <c r="N48" s="2756">
        <f t="shared" si="16"/>
        <v>43466</v>
      </c>
      <c r="O48" s="2756">
        <f t="shared" si="16"/>
        <v>43435</v>
      </c>
      <c r="P48" s="2142"/>
      <c r="Q48" s="2143"/>
      <c r="R48" s="2143"/>
      <c r="S48" s="2143"/>
      <c r="T48" s="2143"/>
      <c r="U48" s="2143"/>
      <c r="V48" s="2143"/>
      <c r="W48" s="2143"/>
      <c r="X48" s="2143"/>
      <c r="Y48" s="2143"/>
      <c r="Z48" s="2143"/>
      <c r="AA48" s="2143"/>
      <c r="AB48" s="2143"/>
      <c r="AC48" s="2143"/>
    </row>
    <row r="49" spans="1:29" s="1213" customFormat="1" ht="15">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3"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3"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2557</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2558</v>
      </c>
      <c r="C67" s="2559" t="s">
        <v>2559</v>
      </c>
      <c r="D67" s="2559" t="s">
        <v>2560</v>
      </c>
      <c r="E67" s="2559" t="s">
        <v>2561</v>
      </c>
      <c r="F67" s="2559" t="s">
        <v>2562</v>
      </c>
      <c r="G67" s="2559" t="s">
        <v>2563</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2"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04" t="s">
        <v>798</v>
      </c>
      <c r="D4" s="3405"/>
      <c r="E4" s="3428" t="s">
        <v>799</v>
      </c>
      <c r="F4" s="3429"/>
      <c r="G4" s="3404" t="s">
        <v>800</v>
      </c>
      <c r="H4" s="3405"/>
      <c r="I4" s="3404" t="s">
        <v>801</v>
      </c>
      <c r="J4" s="3405"/>
      <c r="K4" s="513" t="s">
        <v>802</v>
      </c>
      <c r="L4" s="2115"/>
      <c r="M4" s="2116"/>
      <c r="N4" s="2116"/>
      <c r="O4" s="2116"/>
      <c r="P4" s="3406" t="s">
        <v>803</v>
      </c>
      <c r="Q4" s="3407"/>
      <c r="R4" s="3392" t="s">
        <v>799</v>
      </c>
      <c r="S4" s="3393"/>
      <c r="T4" s="3392" t="s">
        <v>800</v>
      </c>
      <c r="U4" s="3393"/>
      <c r="V4" s="3412" t="s">
        <v>801</v>
      </c>
      <c r="W4" s="3412"/>
      <c r="X4" s="1550"/>
      <c r="Y4" s="3392" t="s">
        <v>803</v>
      </c>
      <c r="Z4" s="3393"/>
      <c r="AA4" s="3387" t="s">
        <v>799</v>
      </c>
      <c r="AB4" s="3388" t="s">
        <v>800</v>
      </c>
      <c r="AC4" s="3387" t="s">
        <v>801</v>
      </c>
    </row>
    <row r="5" spans="1:29" ht="15">
      <c r="A5" s="514"/>
      <c r="B5" s="515"/>
      <c r="C5" s="3415" t="s">
        <v>2929</v>
      </c>
      <c r="D5" s="3416"/>
      <c r="E5" s="3430" t="s">
        <v>2930</v>
      </c>
      <c r="F5" s="3431"/>
      <c r="G5" s="3415" t="s">
        <v>2931</v>
      </c>
      <c r="H5" s="3416"/>
      <c r="I5" s="3415" t="s">
        <v>2932</v>
      </c>
      <c r="J5" s="3416"/>
      <c r="K5" s="513"/>
      <c r="L5" s="2115"/>
      <c r="M5" s="2116"/>
      <c r="N5" s="2116"/>
      <c r="O5" s="2116"/>
      <c r="P5" s="3408"/>
      <c r="Q5" s="3409"/>
      <c r="R5" s="3394"/>
      <c r="S5" s="3395"/>
      <c r="T5" s="3394"/>
      <c r="U5" s="3395"/>
      <c r="V5" s="3412"/>
      <c r="W5" s="3412"/>
      <c r="X5" s="1550"/>
      <c r="Y5" s="3394"/>
      <c r="Z5" s="3395"/>
      <c r="AA5" s="3388"/>
      <c r="AB5" s="3388"/>
      <c r="AC5" s="3388"/>
    </row>
    <row r="6" spans="1:29" ht="15.75" thickBot="1">
      <c r="A6" s="516"/>
      <c r="B6" s="517"/>
      <c r="C6" s="3413" t="s">
        <v>2933</v>
      </c>
      <c r="D6" s="3414"/>
      <c r="E6" s="3432" t="s">
        <v>2933</v>
      </c>
      <c r="F6" s="3433"/>
      <c r="G6" s="3413" t="s">
        <v>2933</v>
      </c>
      <c r="H6" s="3414"/>
      <c r="I6" s="3413" t="s">
        <v>2933</v>
      </c>
      <c r="J6" s="3414"/>
      <c r="K6" s="513" t="s">
        <v>528</v>
      </c>
      <c r="L6" s="2115"/>
      <c r="M6" s="2116"/>
      <c r="N6" s="2116"/>
      <c r="O6" s="2116"/>
      <c r="P6" s="3410"/>
      <c r="Q6" s="3411"/>
      <c r="R6" s="3394"/>
      <c r="S6" s="3395"/>
      <c r="T6" s="3396"/>
      <c r="U6" s="3397"/>
      <c r="V6" s="3412"/>
      <c r="W6" s="3412"/>
      <c r="X6" s="1550"/>
      <c r="Y6" s="3396"/>
      <c r="Z6" s="3397"/>
      <c r="AA6" s="3389"/>
      <c r="AB6" s="3389"/>
      <c r="AC6" s="3389"/>
    </row>
    <row r="7" spans="1:29" s="1213" customFormat="1" ht="15.75" thickBot="1">
      <c r="A7" s="2864"/>
      <c r="B7" s="2871" t="s">
        <v>529</v>
      </c>
      <c r="C7" s="518">
        <f>'数据-取费表'!B2</f>
        <v>43815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90" t="s">
        <v>530</v>
      </c>
      <c r="Q7" s="3399"/>
      <c r="R7" s="1551" t="s">
        <v>8</v>
      </c>
      <c r="S7" s="1552">
        <f t="shared" ref="S7:S14" si="0">F7</f>
        <v>0</v>
      </c>
      <c r="T7" s="1551" t="s">
        <v>8</v>
      </c>
      <c r="U7" s="1552">
        <f t="shared" ref="U7:U14" si="1">H7</f>
        <v>0</v>
      </c>
      <c r="V7" s="1551" t="s">
        <v>8</v>
      </c>
      <c r="W7" s="1552">
        <f t="shared" ref="W7:W14" si="2">J7</f>
        <v>0</v>
      </c>
      <c r="X7" s="1553"/>
      <c r="Y7" s="3390" t="s">
        <v>530</v>
      </c>
      <c r="Z7" s="3391"/>
      <c r="AA7" s="1554" t="e">
        <f>D7/F7</f>
        <v>#DIV/0!</v>
      </c>
      <c r="AB7" s="1554" t="e">
        <f>D7/H7</f>
        <v>#DIV/0!</v>
      </c>
      <c r="AC7" s="1554" t="e">
        <f>D7/J7</f>
        <v>#DIV/0!</v>
      </c>
    </row>
    <row r="8" spans="1:29" s="1213"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90" t="s">
        <v>533</v>
      </c>
      <c r="Q8" s="3391"/>
      <c r="R8" s="1551" t="s">
        <v>8</v>
      </c>
      <c r="S8" s="1552">
        <f t="shared" si="0"/>
        <v>0</v>
      </c>
      <c r="T8" s="1551" t="s">
        <v>8</v>
      </c>
      <c r="U8" s="1552">
        <f t="shared" si="1"/>
        <v>0</v>
      </c>
      <c r="V8" s="1551" t="s">
        <v>8</v>
      </c>
      <c r="W8" s="1552">
        <f t="shared" si="2"/>
        <v>0</v>
      </c>
      <c r="X8" s="1553"/>
      <c r="Y8" s="3390" t="s">
        <v>533</v>
      </c>
      <c r="Z8" s="3391"/>
      <c r="AA8" s="1554" t="e">
        <f t="shared" ref="AA8:AA34" si="3">D8/F8</f>
        <v>#DIV/0!</v>
      </c>
      <c r="AB8" s="1554" t="e">
        <f t="shared" ref="AB8:AB34" si="4">D8/H8</f>
        <v>#DIV/0!</v>
      </c>
      <c r="AC8" s="1554" t="e">
        <f t="shared" ref="AC8:AC34" si="5">D8/J8</f>
        <v>#DIV/0!</v>
      </c>
    </row>
    <row r="9" spans="1:29" s="1213" customFormat="1" ht="15">
      <c r="A9" s="2866"/>
      <c r="B9" s="2873" t="s">
        <v>2756</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98" t="s">
        <v>535</v>
      </c>
      <c r="Q9" s="1144" t="str">
        <f t="shared" ref="Q9:Q14" si="6">B9</f>
        <v>用途</v>
      </c>
      <c r="R9" s="1551" t="s">
        <v>8</v>
      </c>
      <c r="S9" s="1552">
        <f t="shared" si="0"/>
        <v>100</v>
      </c>
      <c r="T9" s="1551" t="s">
        <v>8</v>
      </c>
      <c r="U9" s="1552">
        <f t="shared" si="1"/>
        <v>100</v>
      </c>
      <c r="V9" s="1551" t="s">
        <v>8</v>
      </c>
      <c r="W9" s="1552">
        <f t="shared" si="2"/>
        <v>100</v>
      </c>
      <c r="X9" s="1553"/>
      <c r="Y9" s="3355" t="s">
        <v>536</v>
      </c>
      <c r="Z9" s="1143" t="str">
        <f t="shared" ref="Z9:Z14" si="7">Q9</f>
        <v>用途</v>
      </c>
      <c r="AA9" s="1554">
        <f t="shared" si="3"/>
        <v>1</v>
      </c>
      <c r="AB9" s="1554">
        <f t="shared" si="4"/>
        <v>1</v>
      </c>
      <c r="AC9" s="1554">
        <f t="shared" si="5"/>
        <v>1</v>
      </c>
    </row>
    <row r="10" spans="1:29" s="1331" customFormat="1" ht="27">
      <c r="A10" s="2867"/>
      <c r="B10" s="2872" t="s">
        <v>2757</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98"/>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869"/>
      <c r="B11" s="2875">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398"/>
      <c r="Q11" s="1144">
        <f t="shared" si="6"/>
        <v>111</v>
      </c>
      <c r="R11" s="1551" t="s">
        <v>8</v>
      </c>
      <c r="S11" s="1552">
        <f t="shared" si="0"/>
        <v>100</v>
      </c>
      <c r="T11" s="1551" t="s">
        <v>8</v>
      </c>
      <c r="U11" s="1552">
        <f t="shared" si="1"/>
        <v>100</v>
      </c>
      <c r="V11" s="1551" t="s">
        <v>8</v>
      </c>
      <c r="W11" s="1552">
        <f t="shared" si="2"/>
        <v>100</v>
      </c>
      <c r="X11" s="1553"/>
      <c r="Y11" s="3355"/>
      <c r="Z11" s="1143">
        <f t="shared" si="7"/>
        <v>111</v>
      </c>
      <c r="AA11" s="1554">
        <f t="shared" si="3"/>
        <v>1</v>
      </c>
      <c r="AB11" s="1554">
        <f t="shared" si="4"/>
        <v>1</v>
      </c>
      <c r="AC11" s="1554">
        <f t="shared" si="5"/>
        <v>1</v>
      </c>
    </row>
    <row r="12" spans="1:29" s="1213" customFormat="1" ht="15">
      <c r="A12" s="2869"/>
      <c r="B12" s="2875">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398"/>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75" thickBot="1">
      <c r="A13" s="2870"/>
      <c r="B13" s="2876">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398"/>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85.5">
      <c r="A14" s="2862" t="s">
        <v>2754</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00" t="s">
        <v>540</v>
      </c>
      <c r="Q14" s="1555" t="str">
        <f t="shared" si="6"/>
        <v>交通便捷度</v>
      </c>
      <c r="R14" s="1556" t="s">
        <v>8</v>
      </c>
      <c r="S14" s="1557">
        <f t="shared" si="0"/>
        <v>100</v>
      </c>
      <c r="T14" s="1556" t="s">
        <v>8</v>
      </c>
      <c r="U14" s="1557">
        <f t="shared" si="1"/>
        <v>100</v>
      </c>
      <c r="V14" s="1556" t="s">
        <v>8</v>
      </c>
      <c r="W14" s="1557">
        <f t="shared" si="2"/>
        <v>100</v>
      </c>
      <c r="X14" s="1550"/>
      <c r="Y14" s="3400"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01"/>
      <c r="Q15" s="1555"/>
      <c r="R15" s="1556"/>
      <c r="S15" s="1557"/>
      <c r="T15" s="1556"/>
      <c r="U15" s="1557"/>
      <c r="V15" s="1556"/>
      <c r="W15" s="1557"/>
      <c r="X15" s="1550"/>
      <c r="Y15" s="3401"/>
      <c r="Z15" s="1558"/>
      <c r="AA15" s="1559">
        <v>1</v>
      </c>
      <c r="AB15" s="1559">
        <v>1</v>
      </c>
      <c r="AC15" s="1559">
        <v>1</v>
      </c>
    </row>
    <row r="16" spans="1:29" ht="42.75">
      <c r="A16" s="531"/>
      <c r="B16" s="2564"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01"/>
      <c r="Q16" s="1555" t="str">
        <f>B16</f>
        <v>公共配套设施</v>
      </c>
      <c r="R16" s="1556" t="s">
        <v>8</v>
      </c>
      <c r="S16" s="1557">
        <f>F16</f>
        <v>100</v>
      </c>
      <c r="T16" s="1556" t="s">
        <v>8</v>
      </c>
      <c r="U16" s="1557">
        <f>H16</f>
        <v>100</v>
      </c>
      <c r="V16" s="1556" t="s">
        <v>8</v>
      </c>
      <c r="W16" s="1557">
        <f>J16</f>
        <v>100</v>
      </c>
      <c r="X16" s="1550"/>
      <c r="Y16" s="3401"/>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01"/>
      <c r="Q17" s="1555"/>
      <c r="R17" s="1556"/>
      <c r="S17" s="1557"/>
      <c r="T17" s="1556"/>
      <c r="U17" s="1557"/>
      <c r="V17" s="1556"/>
      <c r="W17" s="1557"/>
      <c r="X17" s="1550"/>
      <c r="Y17" s="3401"/>
      <c r="Z17" s="1558"/>
      <c r="AA17" s="1559">
        <v>1</v>
      </c>
      <c r="AB17" s="1559">
        <v>1</v>
      </c>
      <c r="AC17" s="1559">
        <v>1</v>
      </c>
    </row>
    <row r="18" spans="1:29" ht="28.5">
      <c r="A18" s="531"/>
      <c r="B18" s="2552"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01"/>
      <c r="Q18" s="2540" t="str">
        <f>B18</f>
        <v>基础设施水平</v>
      </c>
      <c r="R18" s="1556" t="s">
        <v>8</v>
      </c>
      <c r="S18" s="1557">
        <f>F18</f>
        <v>100</v>
      </c>
      <c r="T18" s="1556" t="s">
        <v>8</v>
      </c>
      <c r="U18" s="1557">
        <f>H18</f>
        <v>100</v>
      </c>
      <c r="V18" s="1556" t="s">
        <v>8</v>
      </c>
      <c r="W18" s="1557">
        <f>J18</f>
        <v>100</v>
      </c>
      <c r="X18" s="2542"/>
      <c r="Y18" s="3401"/>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01"/>
      <c r="Q19" s="2540"/>
      <c r="R19" s="1556"/>
      <c r="S19" s="1557"/>
      <c r="T19" s="1556"/>
      <c r="U19" s="1557"/>
      <c r="V19" s="1556"/>
      <c r="W19" s="1557"/>
      <c r="X19" s="2542"/>
      <c r="Y19" s="3401"/>
      <c r="Z19" s="2541"/>
      <c r="AA19" s="1559">
        <v>1</v>
      </c>
      <c r="AB19" s="1559">
        <v>1</v>
      </c>
      <c r="AC19" s="1559">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01"/>
      <c r="Q20" s="1555" t="str">
        <f>B20</f>
        <v>自然及人文环境</v>
      </c>
      <c r="R20" s="1556" t="s">
        <v>8</v>
      </c>
      <c r="S20" s="1557">
        <f>F20</f>
        <v>100</v>
      </c>
      <c r="T20" s="1556" t="s">
        <v>8</v>
      </c>
      <c r="U20" s="1557">
        <f>H20</f>
        <v>100</v>
      </c>
      <c r="V20" s="1556" t="s">
        <v>8</v>
      </c>
      <c r="W20" s="1557">
        <f>J20</f>
        <v>100</v>
      </c>
      <c r="X20" s="1550"/>
      <c r="Y20" s="3401"/>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01"/>
      <c r="Q21" s="1555"/>
      <c r="R21" s="1556"/>
      <c r="S21" s="1557"/>
      <c r="T21" s="1556"/>
      <c r="U21" s="1557"/>
      <c r="V21" s="1556"/>
      <c r="W21" s="1557"/>
      <c r="X21" s="1550"/>
      <c r="Y21" s="3401"/>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01"/>
      <c r="Q22" s="1555" t="str">
        <f>B22</f>
        <v>楼层</v>
      </c>
      <c r="R22" s="1556" t="s">
        <v>8</v>
      </c>
      <c r="S22" s="1557">
        <f>F22</f>
        <v>100</v>
      </c>
      <c r="T22" s="1556" t="s">
        <v>8</v>
      </c>
      <c r="U22" s="1557">
        <f>H22</f>
        <v>100</v>
      </c>
      <c r="V22" s="1556" t="s">
        <v>8</v>
      </c>
      <c r="W22" s="1557">
        <f>J22</f>
        <v>100</v>
      </c>
      <c r="X22" s="1550"/>
      <c r="Y22" s="3401"/>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01"/>
      <c r="Q23" s="1555">
        <f>B23</f>
        <v>111</v>
      </c>
      <c r="R23" s="1556" t="s">
        <v>8</v>
      </c>
      <c r="S23" s="1557">
        <f>F23</f>
        <v>100</v>
      </c>
      <c r="T23" s="1556" t="s">
        <v>8</v>
      </c>
      <c r="U23" s="1557">
        <f>H23</f>
        <v>100</v>
      </c>
      <c r="V23" s="1556" t="s">
        <v>8</v>
      </c>
      <c r="W23" s="1557">
        <f>J23</f>
        <v>100</v>
      </c>
      <c r="X23" s="1550"/>
      <c r="Y23" s="3401"/>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01"/>
      <c r="Q24" s="1555">
        <f t="shared" ref="Q24:Q34" si="11">B24</f>
        <v>111</v>
      </c>
      <c r="R24" s="1556" t="s">
        <v>8</v>
      </c>
      <c r="S24" s="1557">
        <f>F24</f>
        <v>100</v>
      </c>
      <c r="T24" s="1556" t="s">
        <v>8</v>
      </c>
      <c r="U24" s="1557">
        <f>H24</f>
        <v>100</v>
      </c>
      <c r="V24" s="1556" t="s">
        <v>8</v>
      </c>
      <c r="W24" s="1557">
        <f>J24</f>
        <v>100</v>
      </c>
      <c r="X24" s="1550"/>
      <c r="Y24" s="3401"/>
      <c r="Z24" s="1558">
        <f>Q24</f>
        <v>111</v>
      </c>
      <c r="AA24" s="1559">
        <f t="shared" si="3"/>
        <v>1</v>
      </c>
      <c r="AB24" s="1559">
        <f t="shared" si="4"/>
        <v>1</v>
      </c>
      <c r="AC24" s="1559">
        <f t="shared" si="5"/>
        <v>1</v>
      </c>
    </row>
    <row r="25" spans="1:29" s="1213"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01"/>
      <c r="Q25" s="1144">
        <f t="shared" si="11"/>
        <v>111</v>
      </c>
      <c r="R25" s="1551" t="s">
        <v>8</v>
      </c>
      <c r="S25" s="1552">
        <f>F25</f>
        <v>100</v>
      </c>
      <c r="T25" s="1551" t="s">
        <v>8</v>
      </c>
      <c r="U25" s="1552">
        <f>H25</f>
        <v>100</v>
      </c>
      <c r="V25" s="1551" t="s">
        <v>8</v>
      </c>
      <c r="W25" s="1552">
        <f>J25</f>
        <v>100</v>
      </c>
      <c r="X25" s="1553"/>
      <c r="Y25" s="3401"/>
      <c r="Z25" s="1143">
        <f>Q25</f>
        <v>111</v>
      </c>
      <c r="AA25" s="1559">
        <f>D25/F25</f>
        <v>1</v>
      </c>
      <c r="AB25" s="1559">
        <f>D25/H25</f>
        <v>1</v>
      </c>
      <c r="AC25" s="1559">
        <f>D25/J25</f>
        <v>1</v>
      </c>
    </row>
    <row r="26" spans="1:29" ht="15">
      <c r="A26" s="2859"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02"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03" t="s">
        <v>821</v>
      </c>
      <c r="Z26" s="1558" t="str">
        <f t="shared" ref="Z26:Z34" si="15">Q26</f>
        <v>公共部分装修</v>
      </c>
      <c r="AA26" s="1559">
        <f t="shared" si="3"/>
        <v>1</v>
      </c>
      <c r="AB26" s="1559">
        <f t="shared" si="4"/>
        <v>1</v>
      </c>
      <c r="AC26" s="1559">
        <f t="shared" si="5"/>
        <v>1</v>
      </c>
    </row>
    <row r="27" spans="1:29" s="1332"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03"/>
      <c r="Q27" s="1587" t="str">
        <f t="shared" si="11"/>
        <v>成新率</v>
      </c>
      <c r="R27" s="1560" t="s">
        <v>8</v>
      </c>
      <c r="S27" s="1561" t="e">
        <f t="shared" si="12"/>
        <v>#N/A</v>
      </c>
      <c r="T27" s="1560" t="s">
        <v>8</v>
      </c>
      <c r="U27" s="1561" t="e">
        <f t="shared" si="13"/>
        <v>#N/A</v>
      </c>
      <c r="V27" s="1560" t="s">
        <v>8</v>
      </c>
      <c r="W27" s="1561" t="e">
        <f t="shared" si="14"/>
        <v>#N/A</v>
      </c>
      <c r="X27" s="1562"/>
      <c r="Y27" s="3403"/>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03"/>
      <c r="Q28" s="1555" t="str">
        <f t="shared" si="11"/>
        <v>物业等级</v>
      </c>
      <c r="R28" s="1556" t="s">
        <v>8</v>
      </c>
      <c r="S28" s="1557">
        <f t="shared" si="12"/>
        <v>100</v>
      </c>
      <c r="T28" s="1556" t="s">
        <v>8</v>
      </c>
      <c r="U28" s="1557">
        <f t="shared" si="13"/>
        <v>100</v>
      </c>
      <c r="V28" s="1556" t="s">
        <v>8</v>
      </c>
      <c r="W28" s="1557">
        <f t="shared" si="14"/>
        <v>100</v>
      </c>
      <c r="X28" s="1550"/>
      <c r="Y28" s="3403"/>
      <c r="Z28" s="1558" t="str">
        <f t="shared" si="15"/>
        <v>物业等级</v>
      </c>
      <c r="AA28" s="1559">
        <f t="shared" si="3"/>
        <v>1</v>
      </c>
      <c r="AB28" s="1559">
        <f t="shared" si="4"/>
        <v>1</v>
      </c>
      <c r="AC28" s="1559">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03"/>
      <c r="Q29" s="1555" t="str">
        <f t="shared" si="11"/>
        <v>有无电梯</v>
      </c>
      <c r="R29" s="1556" t="s">
        <v>8</v>
      </c>
      <c r="S29" s="1557">
        <f t="shared" si="12"/>
        <v>100</v>
      </c>
      <c r="T29" s="1556" t="s">
        <v>8</v>
      </c>
      <c r="U29" s="1557">
        <f t="shared" si="13"/>
        <v>100</v>
      </c>
      <c r="V29" s="1556" t="s">
        <v>8</v>
      </c>
      <c r="W29" s="1557">
        <f t="shared" si="14"/>
        <v>100</v>
      </c>
      <c r="X29" s="1550"/>
      <c r="Y29" s="3403"/>
      <c r="Z29" s="1558" t="str">
        <f t="shared" si="15"/>
        <v>有无电梯</v>
      </c>
      <c r="AA29" s="1559">
        <f t="shared" si="3"/>
        <v>1</v>
      </c>
      <c r="AB29" s="1559">
        <f t="shared" si="4"/>
        <v>1</v>
      </c>
      <c r="AC29" s="1559">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03"/>
      <c r="Q30" s="1555" t="str">
        <f t="shared" si="11"/>
        <v>建筑面积</v>
      </c>
      <c r="R30" s="1556" t="s">
        <v>8</v>
      </c>
      <c r="S30" s="1557" t="e">
        <f t="shared" si="12"/>
        <v>#N/A</v>
      </c>
      <c r="T30" s="1556" t="s">
        <v>8</v>
      </c>
      <c r="U30" s="1557" t="e">
        <f t="shared" si="13"/>
        <v>#N/A</v>
      </c>
      <c r="V30" s="1556" t="s">
        <v>8</v>
      </c>
      <c r="W30" s="1557" t="e">
        <f t="shared" si="14"/>
        <v>#N/A</v>
      </c>
      <c r="X30" s="1550"/>
      <c r="Y30" s="3403"/>
      <c r="Z30" s="1558" t="str">
        <f t="shared" si="15"/>
        <v>建筑面积</v>
      </c>
      <c r="AA30" s="1559" t="e">
        <f t="shared" si="3"/>
        <v>#N/A</v>
      </c>
      <c r="AB30" s="1559" t="e">
        <f t="shared" si="4"/>
        <v>#N/A</v>
      </c>
      <c r="AC30" s="1559" t="e">
        <f t="shared" si="5"/>
        <v>#N/A</v>
      </c>
    </row>
    <row r="31" spans="1:29" s="1213"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03"/>
      <c r="Q31" s="1144" t="str">
        <f t="shared" si="11"/>
        <v>是否封闭</v>
      </c>
      <c r="R31" s="1551" t="s">
        <v>8</v>
      </c>
      <c r="S31" s="1552">
        <f t="shared" si="12"/>
        <v>100</v>
      </c>
      <c r="T31" s="1551" t="s">
        <v>8</v>
      </c>
      <c r="U31" s="1552">
        <f t="shared" si="13"/>
        <v>100</v>
      </c>
      <c r="V31" s="1551" t="s">
        <v>8</v>
      </c>
      <c r="W31" s="1552">
        <f t="shared" si="14"/>
        <v>100</v>
      </c>
      <c r="X31" s="1553"/>
      <c r="Y31" s="3403"/>
      <c r="Z31" s="1143" t="str">
        <f t="shared" si="15"/>
        <v>是否封闭</v>
      </c>
      <c r="AA31" s="1554">
        <f t="shared" si="3"/>
        <v>1</v>
      </c>
      <c r="AB31" s="1554">
        <f t="shared" si="4"/>
        <v>1</v>
      </c>
      <c r="AC31" s="1554">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03" t="s">
        <v>550</v>
      </c>
      <c r="Q32" s="1555">
        <f t="shared" si="11"/>
        <v>111</v>
      </c>
      <c r="R32" s="1556" t="s">
        <v>8</v>
      </c>
      <c r="S32" s="1557">
        <f t="shared" si="12"/>
        <v>100</v>
      </c>
      <c r="T32" s="1556" t="s">
        <v>8</v>
      </c>
      <c r="U32" s="1557">
        <f t="shared" si="13"/>
        <v>100</v>
      </c>
      <c r="V32" s="1556" t="s">
        <v>8</v>
      </c>
      <c r="W32" s="1557">
        <f t="shared" si="14"/>
        <v>100</v>
      </c>
      <c r="X32" s="1550"/>
      <c r="Y32" s="3403" t="s">
        <v>550</v>
      </c>
      <c r="Z32" s="1558">
        <f t="shared" si="15"/>
        <v>111</v>
      </c>
      <c r="AA32" s="1559">
        <f t="shared" si="3"/>
        <v>1</v>
      </c>
      <c r="AB32" s="1559">
        <f t="shared" si="4"/>
        <v>1</v>
      </c>
      <c r="AC32" s="1559">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03"/>
      <c r="Q33" s="1555">
        <f t="shared" si="11"/>
        <v>111</v>
      </c>
      <c r="R33" s="1556" t="s">
        <v>8</v>
      </c>
      <c r="S33" s="1557">
        <f t="shared" si="12"/>
        <v>100</v>
      </c>
      <c r="T33" s="1556" t="s">
        <v>8</v>
      </c>
      <c r="U33" s="1557">
        <f t="shared" si="13"/>
        <v>100</v>
      </c>
      <c r="V33" s="1556" t="s">
        <v>8</v>
      </c>
      <c r="W33" s="1557">
        <f t="shared" si="14"/>
        <v>100</v>
      </c>
      <c r="X33" s="1550"/>
      <c r="Y33" s="3403"/>
      <c r="Z33" s="1558">
        <f t="shared" si="15"/>
        <v>111</v>
      </c>
      <c r="AA33" s="1559">
        <f t="shared" si="3"/>
        <v>1</v>
      </c>
      <c r="AB33" s="1559">
        <f t="shared" si="4"/>
        <v>1</v>
      </c>
      <c r="AC33" s="1559">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03"/>
      <c r="Q34" s="1555">
        <f t="shared" si="11"/>
        <v>111</v>
      </c>
      <c r="R34" s="1556" t="s">
        <v>8</v>
      </c>
      <c r="S34" s="1557">
        <f t="shared" si="12"/>
        <v>100</v>
      </c>
      <c r="T34" s="1556" t="s">
        <v>8</v>
      </c>
      <c r="U34" s="1557">
        <f t="shared" si="13"/>
        <v>100</v>
      </c>
      <c r="V34" s="1556" t="s">
        <v>8</v>
      </c>
      <c r="W34" s="1557">
        <f t="shared" si="14"/>
        <v>100</v>
      </c>
      <c r="X34" s="1550"/>
      <c r="Y34" s="3403"/>
      <c r="Z34" s="1558">
        <f t="shared" si="15"/>
        <v>111</v>
      </c>
      <c r="AA34" s="1559">
        <f t="shared" si="3"/>
        <v>1</v>
      </c>
      <c r="AB34" s="1559">
        <f t="shared" si="4"/>
        <v>1</v>
      </c>
      <c r="AC34" s="1559">
        <f t="shared" si="5"/>
        <v>1</v>
      </c>
    </row>
    <row r="35" spans="1:29" ht="15">
      <c r="A35" s="606" t="s">
        <v>736</v>
      </c>
      <c r="B35" s="885"/>
      <c r="C35" s="2588" t="s">
        <v>1</v>
      </c>
      <c r="D35" s="2589"/>
      <c r="E35" s="2590"/>
      <c r="F35" s="2591"/>
      <c r="G35" s="2592"/>
      <c r="H35" s="2593"/>
      <c r="I35" s="2590"/>
      <c r="J35" s="2593"/>
      <c r="K35" s="1593"/>
      <c r="L35" s="2126"/>
      <c r="M35" s="2127"/>
      <c r="N35" s="2116"/>
      <c r="O35" s="2127"/>
      <c r="P35" s="3398" t="str">
        <f>A35</f>
        <v>成交单价（元/平方米）</v>
      </c>
      <c r="Q35" s="3398"/>
      <c r="R35" s="3481">
        <f>E35</f>
        <v>0</v>
      </c>
      <c r="S35" s="3481"/>
      <c r="T35" s="3481">
        <f>G35</f>
        <v>0</v>
      </c>
      <c r="U35" s="3481"/>
      <c r="V35" s="3481">
        <f>I35</f>
        <v>0</v>
      </c>
      <c r="W35" s="3481"/>
      <c r="X35" s="1542"/>
      <c r="Y35" s="1564"/>
      <c r="Z35" s="1542"/>
      <c r="AA35" s="1542"/>
      <c r="AB35" s="1542"/>
      <c r="AC35" s="1542"/>
    </row>
    <row r="36" spans="1:29" ht="15.75" thickBot="1">
      <c r="A36" s="614" t="s">
        <v>2760</v>
      </c>
      <c r="B36" s="886"/>
      <c r="C36" s="2594" t="e">
        <f>R37</f>
        <v>#DIV/0!</v>
      </c>
      <c r="D36" s="2595"/>
      <c r="E36" s="2596" t="e">
        <f>R36</f>
        <v>#DIV/0!</v>
      </c>
      <c r="F36" s="2596"/>
      <c r="G36" s="2594" t="e">
        <f>T36</f>
        <v>#DIV/0!</v>
      </c>
      <c r="H36" s="2595"/>
      <c r="I36" s="2596" t="e">
        <f>V36</f>
        <v>#DIV/0!</v>
      </c>
      <c r="J36" s="2595"/>
      <c r="K36" s="1594"/>
      <c r="L36" s="2126"/>
      <c r="M36" s="2127"/>
      <c r="N36" s="2116"/>
      <c r="O36" s="2127"/>
      <c r="P36" s="3398" t="str">
        <f>A36</f>
        <v>比较价格（元/平方米）</v>
      </c>
      <c r="Q36" s="3398"/>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2"/>
      <c r="Y36" s="1542"/>
      <c r="Z36" s="1542"/>
      <c r="AA36" s="1542"/>
      <c r="AB36" s="1542"/>
      <c r="AC36" s="1542"/>
    </row>
    <row r="37" spans="1:29" ht="15.75" thickBot="1">
      <c r="A37" s="620" t="s">
        <v>2935</v>
      </c>
      <c r="B37" s="621"/>
      <c r="C37" s="2597" t="e">
        <f>R37</f>
        <v>#DIV/0!</v>
      </c>
      <c r="D37" s="2597"/>
      <c r="E37" s="2597"/>
      <c r="F37" s="2597"/>
      <c r="G37" s="2597"/>
      <c r="H37" s="2597"/>
      <c r="I37" s="2597"/>
      <c r="J37" s="2597"/>
      <c r="K37" s="1595"/>
      <c r="L37" s="2126"/>
      <c r="M37" s="2127"/>
      <c r="N37" s="2127"/>
      <c r="O37" s="2127"/>
      <c r="P37" s="3419" t="str">
        <f>A37</f>
        <v>估价对象XX用房的比较价格（楼面单价，元/平方米）</v>
      </c>
      <c r="Q37" s="3420"/>
      <c r="R37" s="3480" t="e">
        <f>IF(F1="售价",ROUND(AVERAGE(R36:V36),0),ROUND(AVERAGE(R36:V36),1))</f>
        <v>#DIV/0!</v>
      </c>
      <c r="S37" s="3480"/>
      <c r="T37" s="3480"/>
      <c r="U37" s="3480"/>
      <c r="V37" s="3480"/>
      <c r="W37" s="3480"/>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4" t="s">
        <v>529</v>
      </c>
      <c r="B46" s="645"/>
      <c r="C46" s="2754" t="str">
        <f>YEAR(C7)&amp;"-"&amp;MONTH(C7)</f>
        <v>2019-12</v>
      </c>
      <c r="D46" s="2756">
        <f>EDATE(C46,-1)</f>
        <v>43770</v>
      </c>
      <c r="E46" s="2756">
        <f t="shared" ref="E46:O46" si="16">EDATE(D46,-1)</f>
        <v>43739</v>
      </c>
      <c r="F46" s="2756">
        <f t="shared" si="16"/>
        <v>43709</v>
      </c>
      <c r="G46" s="2756">
        <f t="shared" si="16"/>
        <v>43678</v>
      </c>
      <c r="H46" s="2756">
        <f t="shared" si="16"/>
        <v>43647</v>
      </c>
      <c r="I46" s="2756">
        <f t="shared" si="16"/>
        <v>43617</v>
      </c>
      <c r="J46" s="2756">
        <f t="shared" si="16"/>
        <v>43586</v>
      </c>
      <c r="K46" s="2756">
        <f t="shared" si="16"/>
        <v>43556</v>
      </c>
      <c r="L46" s="2756">
        <f t="shared" si="16"/>
        <v>43525</v>
      </c>
      <c r="M46" s="2756">
        <f t="shared" si="16"/>
        <v>43497</v>
      </c>
      <c r="N46" s="2756">
        <f t="shared" si="16"/>
        <v>43466</v>
      </c>
      <c r="O46" s="2756">
        <f t="shared" si="16"/>
        <v>43435</v>
      </c>
      <c r="P46" s="2142"/>
      <c r="Q46" s="2143"/>
      <c r="R46" s="2143"/>
      <c r="S46" s="2143"/>
      <c r="T46" s="2143"/>
      <c r="U46" s="2143"/>
      <c r="V46" s="2143"/>
      <c r="W46" s="2143"/>
      <c r="X46" s="2143"/>
      <c r="Y46" s="2143"/>
      <c r="Z46" s="2143"/>
      <c r="AA46" s="2143"/>
      <c r="AB46" s="2143"/>
      <c r="AC46" s="2143"/>
    </row>
    <row r="47" spans="1:29" s="1213"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3"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3"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2557</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2558</v>
      </c>
      <c r="C65" s="2559" t="s">
        <v>2559</v>
      </c>
      <c r="D65" s="2559" t="s">
        <v>2560</v>
      </c>
      <c r="E65" s="2559" t="s">
        <v>2561</v>
      </c>
      <c r="F65" s="2559" t="s">
        <v>2562</v>
      </c>
      <c r="G65" s="2559" t="s">
        <v>2563</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2"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2788</v>
      </c>
      <c r="C1" s="2956">
        <f>项目基本情况!D3</f>
        <v>43815</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2819</v>
      </c>
      <c r="C2" s="2957">
        <f>'数据-取费表'!B22</f>
        <v>2</v>
      </c>
      <c r="D2" s="2952" t="s">
        <v>2789</v>
      </c>
      <c r="E2" s="2955">
        <f ca="1">INDIRECT("I"&amp;$I$1)/100</f>
        <v>4.7500000000000001E-2</v>
      </c>
      <c r="G2" s="2892"/>
      <c r="H2" s="2892"/>
      <c r="I2" s="2892" t="s">
        <v>2790</v>
      </c>
      <c r="K2" s="2892"/>
      <c r="L2" s="2892"/>
      <c r="M2" s="2892"/>
      <c r="N2" s="2892" t="s">
        <v>2791</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2821</v>
      </c>
      <c r="C3" s="2954">
        <f>'数据-取费表'!B19</f>
        <v>0</v>
      </c>
      <c r="D3" s="2952" t="s">
        <v>2789</v>
      </c>
      <c r="E3" s="2955">
        <f ca="1">INDIRECT("J"&amp;$J$1)/100</f>
        <v>0</v>
      </c>
      <c r="G3" s="2894" t="s">
        <v>2792</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2820</v>
      </c>
      <c r="C4" s="2955">
        <f ca="1">N4/100</f>
        <v>1.4999999999999999E-2</v>
      </c>
      <c r="G4" s="2900" t="s">
        <v>2793</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2794</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2795</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2796</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2797</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2798</v>
      </c>
      <c r="C10" s="2919"/>
      <c r="D10" s="2919"/>
      <c r="E10" s="2919"/>
      <c r="F10" s="2919"/>
      <c r="G10" s="2919"/>
      <c r="H10" s="2919"/>
      <c r="I10" s="2893"/>
      <c r="J10" s="2893"/>
      <c r="K10" s="2919"/>
      <c r="L10" s="2920" t="s">
        <v>2799</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2800</v>
      </c>
      <c r="C11" s="2924" t="s">
        <v>2801</v>
      </c>
      <c r="D11" s="2925" t="s">
        <v>2802</v>
      </c>
      <c r="E11" s="2926"/>
      <c r="F11" s="2925" t="s">
        <v>2803</v>
      </c>
      <c r="G11" s="2927"/>
      <c r="H11" s="2926"/>
      <c r="I11" s="2925" t="s">
        <v>2804</v>
      </c>
      <c r="J11" s="2926"/>
      <c r="K11" s="2922"/>
      <c r="L11" s="2923" t="s">
        <v>2800</v>
      </c>
      <c r="M11" s="2924" t="s">
        <v>2801</v>
      </c>
      <c r="N11" s="2923" t="s">
        <v>2805</v>
      </c>
      <c r="O11" s="2925" t="s">
        <v>2806</v>
      </c>
      <c r="P11" s="2927"/>
      <c r="Q11" s="2927"/>
      <c r="R11" s="2927"/>
      <c r="S11" s="2927"/>
      <c r="T11" s="2926"/>
      <c r="U11" s="2925" t="s">
        <v>2807</v>
      </c>
      <c r="V11" s="2927"/>
      <c r="W11" s="2926"/>
      <c r="X11" s="2923" t="s">
        <v>2808</v>
      </c>
      <c r="Y11" s="2923" t="s">
        <v>2809</v>
      </c>
      <c r="Z11" s="2923" t="s">
        <v>2810</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2811</v>
      </c>
      <c r="E12" s="2932" t="s">
        <v>2812</v>
      </c>
      <c r="F12" s="2932" t="s">
        <v>2813</v>
      </c>
      <c r="G12" s="2932" t="s">
        <v>2814</v>
      </c>
      <c r="H12" s="2932" t="s">
        <v>2796</v>
      </c>
      <c r="I12" s="2933" t="s">
        <v>2815</v>
      </c>
      <c r="J12" s="2933" t="s">
        <v>2815</v>
      </c>
      <c r="K12" s="2929"/>
      <c r="L12" s="2930"/>
      <c r="M12" s="2931"/>
      <c r="N12" s="2930"/>
      <c r="O12" s="2933" t="s">
        <v>2816</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2817</v>
      </c>
      <c r="C13" s="2937">
        <v>42301</v>
      </c>
      <c r="D13" s="2938">
        <v>4.3499999999999996</v>
      </c>
      <c r="E13" s="2938">
        <v>4.3499999999999996</v>
      </c>
      <c r="F13" s="2938">
        <v>4.75</v>
      </c>
      <c r="G13" s="2938">
        <v>4.75</v>
      </c>
      <c r="H13" s="2938">
        <v>4.9000000000000004</v>
      </c>
      <c r="I13" s="2938">
        <v>2.75</v>
      </c>
      <c r="J13" s="2938">
        <v>3.25</v>
      </c>
      <c r="K13" s="2935"/>
      <c r="L13" s="2936" t="s">
        <v>2817</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2818</v>
      </c>
      <c r="Y42" s="2942" t="s">
        <v>2818</v>
      </c>
      <c r="Z42" s="2942" t="s">
        <v>2818</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2818</v>
      </c>
      <c r="Y43" s="2942" t="s">
        <v>2818</v>
      </c>
      <c r="Z43" s="2942" t="s">
        <v>2818</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2818</v>
      </c>
      <c r="Y44" s="2942" t="s">
        <v>2818</v>
      </c>
      <c r="Z44" s="2942" t="s">
        <v>2818</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2818</v>
      </c>
      <c r="Y45" s="2942" t="s">
        <v>2818</v>
      </c>
      <c r="Z45" s="2942" t="s">
        <v>2818</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2818</v>
      </c>
      <c r="Y46" s="2942" t="s">
        <v>2818</v>
      </c>
      <c r="Z46" s="2942" t="s">
        <v>2818</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2818</v>
      </c>
      <c r="Y47" s="2942" t="s">
        <v>2818</v>
      </c>
      <c r="Z47" s="2942" t="s">
        <v>2818</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2818</v>
      </c>
      <c r="Y48" s="2942" t="s">
        <v>2818</v>
      </c>
      <c r="Z48" s="2942" t="s">
        <v>2818</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2818</v>
      </c>
      <c r="Y49" s="2942" t="s">
        <v>2818</v>
      </c>
      <c r="Z49" s="2942" t="s">
        <v>2818</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2818</v>
      </c>
      <c r="Y50" s="2942" t="s">
        <v>2818</v>
      </c>
      <c r="Z50" s="2942" t="s">
        <v>2818</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2818</v>
      </c>
      <c r="V51" s="2942" t="s">
        <v>2818</v>
      </c>
      <c r="W51" s="2942" t="s">
        <v>2818</v>
      </c>
      <c r="X51" s="2942" t="s">
        <v>2818</v>
      </c>
      <c r="Y51" s="2942" t="s">
        <v>2818</v>
      </c>
      <c r="Z51" s="2942" t="s">
        <v>2818</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2818</v>
      </c>
      <c r="J55" s="2942" t="s">
        <v>2818</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5" sqref="S25"/>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0" style="1211" hidden="1" customWidth="1"/>
    <col min="17" max="17" width="5" style="1211" hidden="1" customWidth="1"/>
    <col min="18" max="18" width="9" style="1598"/>
    <col min="19" max="19" width="9" style="1243"/>
    <col min="20" max="20" width="10.375" style="256" bestFit="1" customWidth="1"/>
    <col min="21" max="35" width="9" style="256"/>
    <col min="36" max="16384" width="9" style="1243"/>
  </cols>
  <sheetData>
    <row r="1" spans="1:45" s="256" customFormat="1" ht="14.25" customHeight="1" thickBot="1">
      <c r="A1" s="364"/>
      <c r="B1" s="2216" t="s">
        <v>2303</v>
      </c>
      <c r="C1" s="3486" t="s">
        <v>2304</v>
      </c>
      <c r="D1" s="3487"/>
      <c r="E1" s="3487"/>
      <c r="F1" s="3487"/>
      <c r="G1" s="3487"/>
      <c r="H1" s="3487"/>
      <c r="I1" s="3487"/>
      <c r="J1" s="3487"/>
      <c r="K1" s="3487"/>
      <c r="L1" s="3487"/>
      <c r="M1" s="3487"/>
      <c r="N1" s="3487"/>
      <c r="O1" s="3487"/>
      <c r="P1" s="3487"/>
      <c r="Q1" s="3487"/>
      <c r="R1" s="3487"/>
      <c r="S1" s="348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51">
      <c r="A2" s="2217"/>
      <c r="B2" s="947" t="s">
        <v>2306</v>
      </c>
      <c r="C2" s="948" t="str">
        <f t="shared" ref="C2:R2" si="0">C3&amp;"(含)"&amp;"-"&amp;D3</f>
        <v>0(含)-50000</v>
      </c>
      <c r="D2" s="949" t="str">
        <f t="shared" si="0"/>
        <v>50000(含)-100000</v>
      </c>
      <c r="E2" s="949" t="str">
        <f t="shared" si="0"/>
        <v>100000(含)-150000</v>
      </c>
      <c r="F2" s="949" t="str">
        <f t="shared" si="0"/>
        <v>150000(含)-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f>'不动产比较法-住宅'!C103</f>
        <v>0</v>
      </c>
      <c r="D3" s="952">
        <f>'不动产比较法-住宅'!D103</f>
        <v>50000</v>
      </c>
      <c r="E3" s="952">
        <f>'不动产比较法-住宅'!E103</f>
        <v>100000</v>
      </c>
      <c r="F3" s="952">
        <f>'不动产比较法-住宅'!F103</f>
        <v>150000</v>
      </c>
      <c r="G3" s="952"/>
      <c r="H3" s="952"/>
      <c r="I3" s="952"/>
      <c r="J3" s="952"/>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f>'不动产比较法-住宅'!C104</f>
        <v>100</v>
      </c>
      <c r="D4" s="2227">
        <f>'不动产比较法-住宅'!D104</f>
        <v>102</v>
      </c>
      <c r="E4" s="2227">
        <f>'不动产比较法-住宅'!E104</f>
        <v>104</v>
      </c>
      <c r="F4" s="2227">
        <f>'不动产比较法-住宅'!F104</f>
        <v>106</v>
      </c>
      <c r="G4" s="2227"/>
      <c r="H4" s="2227"/>
      <c r="I4" s="2227"/>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36">
      <c r="A5" s="2233"/>
      <c r="B5" s="3189" t="s">
        <v>3196</v>
      </c>
      <c r="C5" s="3190" t="s">
        <v>3197</v>
      </c>
      <c r="D5" s="3191" t="s">
        <v>3199</v>
      </c>
      <c r="E5" s="3191" t="s">
        <v>3201</v>
      </c>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1">D6-$T5</f>
        <v>100</v>
      </c>
      <c r="F6" s="1951">
        <f t="shared" si="1"/>
        <v>100</v>
      </c>
      <c r="G6" s="1951">
        <f t="shared" si="1"/>
        <v>100</v>
      </c>
      <c r="H6" s="1951">
        <f t="shared" si="1"/>
        <v>100</v>
      </c>
      <c r="I6" s="1951">
        <f t="shared" si="1"/>
        <v>100</v>
      </c>
      <c r="J6" s="1951">
        <f t="shared" si="1"/>
        <v>100</v>
      </c>
      <c r="K6" s="1951">
        <f t="shared" si="1"/>
        <v>100</v>
      </c>
      <c r="L6" s="1951">
        <f t="shared" si="1"/>
        <v>100</v>
      </c>
      <c r="M6" s="1951">
        <f t="shared" si="1"/>
        <v>100</v>
      </c>
      <c r="N6" s="1951">
        <f t="shared" si="1"/>
        <v>100</v>
      </c>
      <c r="O6" s="1951">
        <f t="shared" si="1"/>
        <v>100</v>
      </c>
      <c r="P6" s="1951">
        <f t="shared" si="1"/>
        <v>100</v>
      </c>
      <c r="Q6" s="1951">
        <f t="shared" si="1"/>
        <v>100</v>
      </c>
      <c r="R6" s="1951">
        <f t="shared" si="1"/>
        <v>100</v>
      </c>
      <c r="S6" s="1951">
        <f t="shared" si="1"/>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192" t="s">
        <v>3202</v>
      </c>
      <c r="C7" s="3193"/>
      <c r="D7" s="3194"/>
      <c r="E7" s="3194"/>
      <c r="F7" s="3194"/>
      <c r="G7" s="319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2">D8-$T7</f>
        <v>100</v>
      </c>
      <c r="F8" s="1951">
        <f t="shared" si="2"/>
        <v>100</v>
      </c>
      <c r="G8" s="1951">
        <f t="shared" si="2"/>
        <v>100</v>
      </c>
      <c r="H8" s="1951">
        <f t="shared" si="2"/>
        <v>100</v>
      </c>
      <c r="I8" s="1951">
        <f t="shared" si="2"/>
        <v>100</v>
      </c>
      <c r="J8" s="1951">
        <f t="shared" si="2"/>
        <v>100</v>
      </c>
      <c r="K8" s="1951">
        <f t="shared" si="2"/>
        <v>100</v>
      </c>
      <c r="L8" s="1951">
        <f t="shared" si="2"/>
        <v>100</v>
      </c>
      <c r="M8" s="1951">
        <f t="shared" si="2"/>
        <v>100</v>
      </c>
      <c r="N8" s="1951">
        <f t="shared" si="2"/>
        <v>100</v>
      </c>
      <c r="O8" s="1951">
        <f t="shared" si="2"/>
        <v>100</v>
      </c>
      <c r="P8" s="1951">
        <f t="shared" si="2"/>
        <v>100</v>
      </c>
      <c r="Q8" s="1951">
        <f t="shared" si="2"/>
        <v>100</v>
      </c>
      <c r="R8" s="1951">
        <f t="shared" si="2"/>
        <v>100</v>
      </c>
      <c r="S8" s="1951">
        <f t="shared" si="2"/>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2926</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3">D10-$T9</f>
        <v>100</v>
      </c>
      <c r="F10" s="2249">
        <f t="shared" si="3"/>
        <v>100</v>
      </c>
      <c r="G10" s="2249">
        <f t="shared" si="3"/>
        <v>100</v>
      </c>
      <c r="H10" s="2249">
        <f t="shared" si="3"/>
        <v>100</v>
      </c>
      <c r="I10" s="2249">
        <f t="shared" si="3"/>
        <v>100</v>
      </c>
      <c r="J10" s="2249">
        <f t="shared" si="3"/>
        <v>100</v>
      </c>
      <c r="K10" s="2249">
        <f t="shared" si="3"/>
        <v>100</v>
      </c>
      <c r="L10" s="2249">
        <f t="shared" si="3"/>
        <v>100</v>
      </c>
      <c r="M10" s="2249">
        <f t="shared" si="3"/>
        <v>100</v>
      </c>
      <c r="N10" s="2249">
        <f t="shared" si="3"/>
        <v>100</v>
      </c>
      <c r="O10" s="2249">
        <f t="shared" si="3"/>
        <v>100</v>
      </c>
      <c r="P10" s="2249">
        <f t="shared" si="3"/>
        <v>100</v>
      </c>
      <c r="Q10" s="2249">
        <f t="shared" si="3"/>
        <v>100</v>
      </c>
      <c r="R10" s="2249">
        <f t="shared" si="3"/>
        <v>100</v>
      </c>
      <c r="S10" s="2249">
        <f t="shared" si="3"/>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4">D12-$T11</f>
        <v>100</v>
      </c>
      <c r="F12" s="1951">
        <f t="shared" si="4"/>
        <v>100</v>
      </c>
      <c r="G12" s="1951">
        <f t="shared" si="4"/>
        <v>100</v>
      </c>
      <c r="H12" s="1951">
        <f t="shared" si="4"/>
        <v>100</v>
      </c>
      <c r="I12" s="1951">
        <f t="shared" si="4"/>
        <v>100</v>
      </c>
      <c r="J12" s="1951">
        <f t="shared" si="4"/>
        <v>100</v>
      </c>
      <c r="K12" s="1951">
        <f t="shared" si="4"/>
        <v>100</v>
      </c>
      <c r="L12" s="1951">
        <f t="shared" si="4"/>
        <v>100</v>
      </c>
      <c r="M12" s="1951">
        <f t="shared" si="4"/>
        <v>100</v>
      </c>
      <c r="N12" s="1951">
        <f t="shared" si="4"/>
        <v>100</v>
      </c>
      <c r="O12" s="1951">
        <f t="shared" si="4"/>
        <v>100</v>
      </c>
      <c r="P12" s="1951">
        <f t="shared" si="4"/>
        <v>100</v>
      </c>
      <c r="Q12" s="1951">
        <f t="shared" si="4"/>
        <v>100</v>
      </c>
      <c r="R12" s="1951">
        <f t="shared" si="4"/>
        <v>100</v>
      </c>
      <c r="S12" s="1951">
        <f t="shared" si="4"/>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 ca="1">S22</f>
        <v>42761</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f ca="1">R22</f>
        <v>1792</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238617.45</v>
      </c>
      <c r="C22" s="3483" t="s">
        <v>20</v>
      </c>
      <c r="D22" s="3484"/>
      <c r="E22" s="3484"/>
      <c r="F22" s="3484"/>
      <c r="G22" s="3484"/>
      <c r="H22" s="3484"/>
      <c r="I22" s="3484"/>
      <c r="J22" s="3484"/>
      <c r="K22" s="3484"/>
      <c r="L22" s="3484"/>
      <c r="M22" s="3484"/>
      <c r="N22" s="3484"/>
      <c r="O22" s="3484"/>
      <c r="P22" s="3484"/>
      <c r="Q22" s="3485"/>
      <c r="R22" s="489">
        <f ca="1">ROUND(S22*10000/B22,0)</f>
        <v>1792</v>
      </c>
      <c r="S22" s="53">
        <f ca="1">SUM(S24:S10000)</f>
        <v>42761</v>
      </c>
    </row>
    <row r="23" spans="1:45" s="1596" customFormat="1" ht="25.5">
      <c r="A23" s="17" t="s">
        <v>831</v>
      </c>
      <c r="B23" s="17" t="s">
        <v>832</v>
      </c>
      <c r="C23" s="17" t="s">
        <v>833</v>
      </c>
      <c r="D23" s="17" t="str">
        <f>B5</f>
        <v>毗邻道路等级</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f>Sheet4!E4</f>
        <v>126219.52</v>
      </c>
      <c r="C24" s="960">
        <v>1</v>
      </c>
      <c r="D24" s="961" t="s">
        <v>3200</v>
      </c>
      <c r="E24" s="960">
        <v>1</v>
      </c>
      <c r="F24" s="961"/>
      <c r="G24" s="960">
        <v>1</v>
      </c>
      <c r="H24" s="961"/>
      <c r="I24" s="960">
        <v>1</v>
      </c>
      <c r="J24" s="961"/>
      <c r="K24" s="960">
        <v>1</v>
      </c>
      <c r="L24" s="961"/>
      <c r="M24" s="960">
        <v>1</v>
      </c>
      <c r="N24" s="961"/>
      <c r="O24" s="960">
        <v>1</v>
      </c>
      <c r="P24" s="961"/>
      <c r="Q24" s="960">
        <v>1</v>
      </c>
      <c r="R24" s="962">
        <f ca="1">结果表!C33</f>
        <v>1792</v>
      </c>
      <c r="S24" s="960">
        <f t="shared" ref="S24:S87" ca="1" si="5">ROUND(R24*B24/10000,0)</f>
        <v>22619</v>
      </c>
      <c r="T24" s="1955"/>
      <c r="U24" s="1955"/>
      <c r="V24" s="1955"/>
      <c r="W24" s="1955"/>
      <c r="X24" s="1955"/>
      <c r="Y24" s="1955"/>
      <c r="Z24" s="1955"/>
      <c r="AA24" s="1955"/>
      <c r="AB24" s="1955"/>
      <c r="AC24" s="1955"/>
      <c r="AD24" s="1955"/>
      <c r="AE24" s="1955"/>
      <c r="AF24" s="1955"/>
      <c r="AG24" s="1955"/>
      <c r="AH24" s="1955"/>
      <c r="AI24" s="1955"/>
    </row>
    <row r="25" spans="1:45">
      <c r="A25" s="963"/>
      <c r="B25" s="137">
        <f>Sheet4!E5</f>
        <v>112397.93</v>
      </c>
      <c r="C25" s="53">
        <f>IF(B25="",1,(LOOKUP(B25,$3:$3,$4:$4)-LOOKUP($B$24,$3:$3,$4:$4)+100)/100)</f>
        <v>1</v>
      </c>
      <c r="D25" s="3197" t="s">
        <v>3198</v>
      </c>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1792</v>
      </c>
      <c r="S25" s="798">
        <f t="shared" ca="1" si="5"/>
        <v>20142</v>
      </c>
      <c r="T25" s="256">
        <f ca="1">ROUND(('典型户型修正 (2)'!S25*10000-(Sheet4!C5*30))/10000,0)</f>
        <v>20022</v>
      </c>
      <c r="U25" s="256">
        <f ca="1">S24+T25</f>
        <v>42641</v>
      </c>
    </row>
    <row r="26" spans="1:45">
      <c r="A26" s="963"/>
      <c r="B26" s="137"/>
      <c r="C26" s="53">
        <f t="shared" ref="C26:C89" si="6">IF(B26="",1,(LOOKUP(B26,$3:$3,$4:$4)-LOOKUP($B$24,$3:$3,$4:$4)+100)/100)</f>
        <v>1</v>
      </c>
      <c r="D26" s="961"/>
      <c r="E26" s="53">
        <f t="shared" ref="E26:E89" si="7">(SUMIF($5:$5,D26,$6:$6)-SUMIF($5:$5,$D$24,$6:$6)+100)/100</f>
        <v>0</v>
      </c>
      <c r="F26" s="961"/>
      <c r="G26" s="53">
        <f t="shared" ref="G26:G89" si="8">(SUMIF($7:$7,F26,$8:$8)-SUMIF($7:$7,$F$24,$8:$8)+100)/100</f>
        <v>1</v>
      </c>
      <c r="H26" s="961"/>
      <c r="I26" s="53">
        <f t="shared" ref="I26:I89" si="9">(SUMIF($9:$9,H26,$10:$10)-SUMIF($9:$9,$H$24,$10:$10)+100)/100</f>
        <v>1</v>
      </c>
      <c r="J26" s="961"/>
      <c r="K26" s="53">
        <f t="shared" ref="K26:K89" si="10">(SUMIF($11:$11,J26,$12:$12)-SUMIF($11:$11,$J$24,$12:$12)+100)/100</f>
        <v>1</v>
      </c>
      <c r="L26" s="961"/>
      <c r="M26" s="53">
        <f t="shared" ref="M26:M89" si="11">(SUMIF($13:$13,L26,$14:$14)-SUMIF($13:$13,$L$24,$14:$14)+100)/100</f>
        <v>1</v>
      </c>
      <c r="N26" s="961"/>
      <c r="O26" s="53">
        <f t="shared" ref="O26:O89" si="12">(SUMIF($15:$15,N26,$16:$16)-SUMIF($15:$15,$N$24,$16:$16)+100)/100</f>
        <v>1</v>
      </c>
      <c r="P26" s="961"/>
      <c r="Q26" s="53">
        <f t="shared" ref="Q26:Q89" si="13">(SUMIF($17:$17,P26,$18:$18)-SUMIF($17:$17,$P$24,$18:$18)+100)/100</f>
        <v>1</v>
      </c>
      <c r="R26" s="489">
        <f t="shared" ref="R26:R89" si="14">IF(B26="",0,ROUND($R$24*C26*E26*G26*I26*K26*M26*O26*Q26,0))</f>
        <v>0</v>
      </c>
      <c r="S26" s="798">
        <f t="shared" si="5"/>
        <v>0</v>
      </c>
      <c r="T26" s="256">
        <f ca="1">S25-T25</f>
        <v>120</v>
      </c>
    </row>
    <row r="27" spans="1:45">
      <c r="A27" s="963"/>
      <c r="B27" s="137"/>
      <c r="C27" s="53">
        <f t="shared" si="6"/>
        <v>1</v>
      </c>
      <c r="D27" s="961"/>
      <c r="E27" s="53">
        <f t="shared" si="7"/>
        <v>0</v>
      </c>
      <c r="F27" s="961"/>
      <c r="G27" s="53">
        <f t="shared" si="8"/>
        <v>1</v>
      </c>
      <c r="H27" s="961"/>
      <c r="I27" s="53">
        <f t="shared" si="9"/>
        <v>1</v>
      </c>
      <c r="J27" s="961"/>
      <c r="K27" s="53">
        <f t="shared" si="10"/>
        <v>1</v>
      </c>
      <c r="L27" s="961"/>
      <c r="M27" s="53">
        <f t="shared" si="11"/>
        <v>1</v>
      </c>
      <c r="N27" s="961"/>
      <c r="O27" s="53">
        <f t="shared" si="12"/>
        <v>1</v>
      </c>
      <c r="P27" s="961"/>
      <c r="Q27" s="53">
        <f t="shared" si="13"/>
        <v>1</v>
      </c>
      <c r="R27" s="489">
        <f t="shared" si="14"/>
        <v>0</v>
      </c>
      <c r="S27" s="798">
        <f t="shared" si="5"/>
        <v>0</v>
      </c>
      <c r="T27" s="256">
        <v>40142.120000000003</v>
      </c>
      <c r="U27" s="256">
        <f>'数据-基础表'!A3</f>
        <v>45078.46</v>
      </c>
      <c r="V27" s="256">
        <f>U27+T27</f>
        <v>85220.58</v>
      </c>
    </row>
    <row r="28" spans="1:45">
      <c r="A28" s="963"/>
      <c r="B28" s="137"/>
      <c r="C28" s="53">
        <f t="shared" si="6"/>
        <v>1</v>
      </c>
      <c r="D28" s="961"/>
      <c r="E28" s="53">
        <f t="shared" si="7"/>
        <v>0</v>
      </c>
      <c r="F28" s="961"/>
      <c r="G28" s="53">
        <f t="shared" si="8"/>
        <v>1</v>
      </c>
      <c r="H28" s="961"/>
      <c r="I28" s="53">
        <f t="shared" si="9"/>
        <v>1</v>
      </c>
      <c r="J28" s="961"/>
      <c r="K28" s="53">
        <f t="shared" si="10"/>
        <v>1</v>
      </c>
      <c r="L28" s="961"/>
      <c r="M28" s="53">
        <f t="shared" si="11"/>
        <v>1</v>
      </c>
      <c r="N28" s="961"/>
      <c r="O28" s="53">
        <f t="shared" si="12"/>
        <v>1</v>
      </c>
      <c r="P28" s="961"/>
      <c r="Q28" s="53">
        <f t="shared" si="13"/>
        <v>1</v>
      </c>
      <c r="R28" s="489">
        <f t="shared" si="14"/>
        <v>0</v>
      </c>
      <c r="S28" s="798">
        <f t="shared" si="5"/>
        <v>0</v>
      </c>
      <c r="T28" s="256">
        <f ca="1">T25/T27*10000</f>
        <v>4987.7784232621489</v>
      </c>
      <c r="U28" s="256">
        <f ca="1">U25/V27</f>
        <v>0.50036035896493547</v>
      </c>
    </row>
    <row r="29" spans="1:45">
      <c r="A29" s="963"/>
      <c r="B29" s="137"/>
      <c r="C29" s="53">
        <f t="shared" si="6"/>
        <v>1</v>
      </c>
      <c r="D29" s="961"/>
      <c r="E29" s="53">
        <f t="shared" si="7"/>
        <v>0</v>
      </c>
      <c r="F29" s="961"/>
      <c r="G29" s="53">
        <f t="shared" si="8"/>
        <v>1</v>
      </c>
      <c r="H29" s="961"/>
      <c r="I29" s="53">
        <f t="shared" si="9"/>
        <v>1</v>
      </c>
      <c r="J29" s="961"/>
      <c r="K29" s="53">
        <f t="shared" si="10"/>
        <v>1</v>
      </c>
      <c r="L29" s="961"/>
      <c r="M29" s="53">
        <f t="shared" si="11"/>
        <v>1</v>
      </c>
      <c r="N29" s="961"/>
      <c r="O29" s="53">
        <f t="shared" si="12"/>
        <v>1</v>
      </c>
      <c r="P29" s="961"/>
      <c r="Q29" s="53">
        <f t="shared" si="13"/>
        <v>1</v>
      </c>
      <c r="R29" s="489">
        <f t="shared" si="14"/>
        <v>0</v>
      </c>
      <c r="S29" s="798">
        <f t="shared" si="5"/>
        <v>0</v>
      </c>
      <c r="T29" s="256">
        <f ca="1">T25/B25</f>
        <v>0.1781349531970918</v>
      </c>
      <c r="U29" s="256">
        <f ca="1">U25/B22</f>
        <v>0.17870025851001256</v>
      </c>
    </row>
    <row r="30" spans="1:45">
      <c r="A30" s="963"/>
      <c r="B30" s="137"/>
      <c r="C30" s="53">
        <f t="shared" si="6"/>
        <v>1</v>
      </c>
      <c r="D30" s="961"/>
      <c r="E30" s="53">
        <f t="shared" si="7"/>
        <v>0</v>
      </c>
      <c r="F30" s="961"/>
      <c r="G30" s="53">
        <f t="shared" si="8"/>
        <v>1</v>
      </c>
      <c r="H30" s="961"/>
      <c r="I30" s="53">
        <f t="shared" si="9"/>
        <v>1</v>
      </c>
      <c r="J30" s="961"/>
      <c r="K30" s="53">
        <f t="shared" si="10"/>
        <v>1</v>
      </c>
      <c r="L30" s="961"/>
      <c r="M30" s="53">
        <f t="shared" si="11"/>
        <v>1</v>
      </c>
      <c r="N30" s="961"/>
      <c r="O30" s="53">
        <f t="shared" si="12"/>
        <v>1</v>
      </c>
      <c r="P30" s="961"/>
      <c r="Q30" s="53">
        <f t="shared" si="13"/>
        <v>1</v>
      </c>
      <c r="R30" s="489">
        <f t="shared" si="14"/>
        <v>0</v>
      </c>
      <c r="S30" s="798">
        <f t="shared" si="5"/>
        <v>0</v>
      </c>
    </row>
    <row r="31" spans="1:45">
      <c r="A31" s="963"/>
      <c r="B31" s="137"/>
      <c r="C31" s="53">
        <f t="shared" si="6"/>
        <v>1</v>
      </c>
      <c r="D31" s="961"/>
      <c r="E31" s="53">
        <f t="shared" si="7"/>
        <v>0</v>
      </c>
      <c r="F31" s="961"/>
      <c r="G31" s="53">
        <f t="shared" si="8"/>
        <v>1</v>
      </c>
      <c r="H31" s="961"/>
      <c r="I31" s="53">
        <f t="shared" si="9"/>
        <v>1</v>
      </c>
      <c r="J31" s="961"/>
      <c r="K31" s="53">
        <f t="shared" si="10"/>
        <v>1</v>
      </c>
      <c r="L31" s="961"/>
      <c r="M31" s="53">
        <f t="shared" si="11"/>
        <v>1</v>
      </c>
      <c r="N31" s="961"/>
      <c r="O31" s="53">
        <f t="shared" si="12"/>
        <v>1</v>
      </c>
      <c r="P31" s="961"/>
      <c r="Q31" s="53">
        <f t="shared" si="13"/>
        <v>1</v>
      </c>
      <c r="R31" s="489">
        <f t="shared" si="14"/>
        <v>0</v>
      </c>
      <c r="S31" s="798">
        <f t="shared" si="5"/>
        <v>0</v>
      </c>
    </row>
    <row r="32" spans="1:45">
      <c r="A32" s="963"/>
      <c r="B32" s="137"/>
      <c r="C32" s="53">
        <f t="shared" si="6"/>
        <v>1</v>
      </c>
      <c r="D32" s="961"/>
      <c r="E32" s="53">
        <f t="shared" si="7"/>
        <v>0</v>
      </c>
      <c r="F32" s="961"/>
      <c r="G32" s="53">
        <f t="shared" si="8"/>
        <v>1</v>
      </c>
      <c r="H32" s="961"/>
      <c r="I32" s="53">
        <f t="shared" si="9"/>
        <v>1</v>
      </c>
      <c r="J32" s="961"/>
      <c r="K32" s="53">
        <f t="shared" si="10"/>
        <v>1</v>
      </c>
      <c r="L32" s="961"/>
      <c r="M32" s="53">
        <f t="shared" si="11"/>
        <v>1</v>
      </c>
      <c r="N32" s="961"/>
      <c r="O32" s="53">
        <f t="shared" si="12"/>
        <v>1</v>
      </c>
      <c r="P32" s="961"/>
      <c r="Q32" s="53">
        <f t="shared" si="13"/>
        <v>1</v>
      </c>
      <c r="R32" s="489">
        <f t="shared" si="14"/>
        <v>0</v>
      </c>
      <c r="S32" s="798">
        <f t="shared" si="5"/>
        <v>0</v>
      </c>
    </row>
    <row r="33" spans="1:19">
      <c r="A33" s="963"/>
      <c r="B33" s="137"/>
      <c r="C33" s="53">
        <f t="shared" si="6"/>
        <v>1</v>
      </c>
      <c r="D33" s="961"/>
      <c r="E33" s="53">
        <f t="shared" si="7"/>
        <v>0</v>
      </c>
      <c r="F33" s="961"/>
      <c r="G33" s="53">
        <f t="shared" si="8"/>
        <v>1</v>
      </c>
      <c r="H33" s="961"/>
      <c r="I33" s="53">
        <f t="shared" si="9"/>
        <v>1</v>
      </c>
      <c r="J33" s="961"/>
      <c r="K33" s="53">
        <f t="shared" si="10"/>
        <v>1</v>
      </c>
      <c r="L33" s="961"/>
      <c r="M33" s="53">
        <f t="shared" si="11"/>
        <v>1</v>
      </c>
      <c r="N33" s="961"/>
      <c r="O33" s="53">
        <f t="shared" si="12"/>
        <v>1</v>
      </c>
      <c r="P33" s="961"/>
      <c r="Q33" s="53">
        <f t="shared" si="13"/>
        <v>1</v>
      </c>
      <c r="R33" s="489">
        <f t="shared" si="14"/>
        <v>0</v>
      </c>
      <c r="S33" s="798">
        <f t="shared" si="5"/>
        <v>0</v>
      </c>
    </row>
    <row r="34" spans="1:19">
      <c r="A34" s="963"/>
      <c r="B34" s="137"/>
      <c r="C34" s="53">
        <f t="shared" si="6"/>
        <v>1</v>
      </c>
      <c r="D34" s="961"/>
      <c r="E34" s="53">
        <f t="shared" si="7"/>
        <v>0</v>
      </c>
      <c r="F34" s="961"/>
      <c r="G34" s="53">
        <f t="shared" si="8"/>
        <v>1</v>
      </c>
      <c r="H34" s="961"/>
      <c r="I34" s="53">
        <f t="shared" si="9"/>
        <v>1</v>
      </c>
      <c r="J34" s="961"/>
      <c r="K34" s="53">
        <f t="shared" si="10"/>
        <v>1</v>
      </c>
      <c r="L34" s="961"/>
      <c r="M34" s="53">
        <f t="shared" si="11"/>
        <v>1</v>
      </c>
      <c r="N34" s="961"/>
      <c r="O34" s="53">
        <f t="shared" si="12"/>
        <v>1</v>
      </c>
      <c r="P34" s="961"/>
      <c r="Q34" s="53">
        <f t="shared" si="13"/>
        <v>1</v>
      </c>
      <c r="R34" s="489">
        <f t="shared" si="14"/>
        <v>0</v>
      </c>
      <c r="S34" s="798">
        <f t="shared" si="5"/>
        <v>0</v>
      </c>
    </row>
    <row r="35" spans="1:19">
      <c r="A35" s="963"/>
      <c r="B35" s="137"/>
      <c r="C35" s="53">
        <f t="shared" si="6"/>
        <v>1</v>
      </c>
      <c r="D35" s="961"/>
      <c r="E35" s="53">
        <f t="shared" si="7"/>
        <v>0</v>
      </c>
      <c r="F35" s="961"/>
      <c r="G35" s="53">
        <f t="shared" si="8"/>
        <v>1</v>
      </c>
      <c r="H35" s="961"/>
      <c r="I35" s="53">
        <f t="shared" si="9"/>
        <v>1</v>
      </c>
      <c r="J35" s="961"/>
      <c r="K35" s="53">
        <f t="shared" si="10"/>
        <v>1</v>
      </c>
      <c r="L35" s="961"/>
      <c r="M35" s="53">
        <f t="shared" si="11"/>
        <v>1</v>
      </c>
      <c r="N35" s="961"/>
      <c r="O35" s="53">
        <f t="shared" si="12"/>
        <v>1</v>
      </c>
      <c r="P35" s="961"/>
      <c r="Q35" s="53">
        <f t="shared" si="13"/>
        <v>1</v>
      </c>
      <c r="R35" s="489">
        <f t="shared" si="14"/>
        <v>0</v>
      </c>
      <c r="S35" s="798">
        <f t="shared" si="5"/>
        <v>0</v>
      </c>
    </row>
    <row r="36" spans="1:19">
      <c r="A36" s="963"/>
      <c r="B36" s="137"/>
      <c r="C36" s="53">
        <f t="shared" si="6"/>
        <v>1</v>
      </c>
      <c r="D36" s="961"/>
      <c r="E36" s="53">
        <f t="shared" si="7"/>
        <v>0</v>
      </c>
      <c r="F36" s="961"/>
      <c r="G36" s="53">
        <f t="shared" si="8"/>
        <v>1</v>
      </c>
      <c r="H36" s="961"/>
      <c r="I36" s="53">
        <f t="shared" si="9"/>
        <v>1</v>
      </c>
      <c r="J36" s="961"/>
      <c r="K36" s="53">
        <f t="shared" si="10"/>
        <v>1</v>
      </c>
      <c r="L36" s="961"/>
      <c r="M36" s="53">
        <f t="shared" si="11"/>
        <v>1</v>
      </c>
      <c r="N36" s="961"/>
      <c r="O36" s="53">
        <f t="shared" si="12"/>
        <v>1</v>
      </c>
      <c r="P36" s="961"/>
      <c r="Q36" s="53">
        <f t="shared" si="13"/>
        <v>1</v>
      </c>
      <c r="R36" s="489">
        <f t="shared" si="14"/>
        <v>0</v>
      </c>
      <c r="S36" s="798">
        <f t="shared" si="5"/>
        <v>0</v>
      </c>
    </row>
    <row r="37" spans="1:19">
      <c r="A37" s="963"/>
      <c r="B37" s="137"/>
      <c r="C37" s="53">
        <f t="shared" si="6"/>
        <v>1</v>
      </c>
      <c r="D37" s="961"/>
      <c r="E37" s="53">
        <f t="shared" si="7"/>
        <v>0</v>
      </c>
      <c r="F37" s="961"/>
      <c r="G37" s="53">
        <f t="shared" si="8"/>
        <v>1</v>
      </c>
      <c r="H37" s="961"/>
      <c r="I37" s="53">
        <f t="shared" si="9"/>
        <v>1</v>
      </c>
      <c r="J37" s="961"/>
      <c r="K37" s="53">
        <f t="shared" si="10"/>
        <v>1</v>
      </c>
      <c r="L37" s="961"/>
      <c r="M37" s="53">
        <f t="shared" si="11"/>
        <v>1</v>
      </c>
      <c r="N37" s="961"/>
      <c r="O37" s="53">
        <f t="shared" si="12"/>
        <v>1</v>
      </c>
      <c r="P37" s="961"/>
      <c r="Q37" s="53">
        <f t="shared" si="13"/>
        <v>1</v>
      </c>
      <c r="R37" s="489">
        <f t="shared" si="14"/>
        <v>0</v>
      </c>
      <c r="S37" s="798">
        <f t="shared" si="5"/>
        <v>0</v>
      </c>
    </row>
    <row r="38" spans="1:19">
      <c r="A38" s="963"/>
      <c r="B38" s="137"/>
      <c r="C38" s="53">
        <f t="shared" si="6"/>
        <v>1</v>
      </c>
      <c r="D38" s="961"/>
      <c r="E38" s="53">
        <f t="shared" si="7"/>
        <v>0</v>
      </c>
      <c r="F38" s="961"/>
      <c r="G38" s="53">
        <f t="shared" si="8"/>
        <v>1</v>
      </c>
      <c r="H38" s="961"/>
      <c r="I38" s="53">
        <f t="shared" si="9"/>
        <v>1</v>
      </c>
      <c r="J38" s="961"/>
      <c r="K38" s="53">
        <f t="shared" si="10"/>
        <v>1</v>
      </c>
      <c r="L38" s="961"/>
      <c r="M38" s="53">
        <f t="shared" si="11"/>
        <v>1</v>
      </c>
      <c r="N38" s="961"/>
      <c r="O38" s="53">
        <f t="shared" si="12"/>
        <v>1</v>
      </c>
      <c r="P38" s="961"/>
      <c r="Q38" s="53">
        <f t="shared" si="13"/>
        <v>1</v>
      </c>
      <c r="R38" s="489">
        <f t="shared" si="14"/>
        <v>0</v>
      </c>
      <c r="S38" s="798">
        <f t="shared" si="5"/>
        <v>0</v>
      </c>
    </row>
    <row r="39" spans="1:19">
      <c r="A39" s="963"/>
      <c r="B39" s="137"/>
      <c r="C39" s="53">
        <f t="shared" si="6"/>
        <v>1</v>
      </c>
      <c r="D39" s="961"/>
      <c r="E39" s="53">
        <f t="shared" si="7"/>
        <v>0</v>
      </c>
      <c r="F39" s="961"/>
      <c r="G39" s="53">
        <f t="shared" si="8"/>
        <v>1</v>
      </c>
      <c r="H39" s="961"/>
      <c r="I39" s="53">
        <f t="shared" si="9"/>
        <v>1</v>
      </c>
      <c r="J39" s="961"/>
      <c r="K39" s="53">
        <f t="shared" si="10"/>
        <v>1</v>
      </c>
      <c r="L39" s="961"/>
      <c r="M39" s="53">
        <f t="shared" si="11"/>
        <v>1</v>
      </c>
      <c r="N39" s="961"/>
      <c r="O39" s="53">
        <f t="shared" si="12"/>
        <v>1</v>
      </c>
      <c r="P39" s="961"/>
      <c r="Q39" s="53">
        <f t="shared" si="13"/>
        <v>1</v>
      </c>
      <c r="R39" s="489">
        <f t="shared" si="14"/>
        <v>0</v>
      </c>
      <c r="S39" s="798">
        <f t="shared" si="5"/>
        <v>0</v>
      </c>
    </row>
    <row r="40" spans="1:19">
      <c r="A40" s="963"/>
      <c r="B40" s="137"/>
      <c r="C40" s="53">
        <f t="shared" si="6"/>
        <v>1</v>
      </c>
      <c r="D40" s="961"/>
      <c r="E40" s="53">
        <f t="shared" si="7"/>
        <v>0</v>
      </c>
      <c r="F40" s="961"/>
      <c r="G40" s="53">
        <f t="shared" si="8"/>
        <v>1</v>
      </c>
      <c r="H40" s="961"/>
      <c r="I40" s="53">
        <f t="shared" si="9"/>
        <v>1</v>
      </c>
      <c r="J40" s="961"/>
      <c r="K40" s="53">
        <f t="shared" si="10"/>
        <v>1</v>
      </c>
      <c r="L40" s="961"/>
      <c r="M40" s="53">
        <f t="shared" si="11"/>
        <v>1</v>
      </c>
      <c r="N40" s="961"/>
      <c r="O40" s="53">
        <f t="shared" si="12"/>
        <v>1</v>
      </c>
      <c r="P40" s="961"/>
      <c r="Q40" s="53">
        <f t="shared" si="13"/>
        <v>1</v>
      </c>
      <c r="R40" s="489">
        <f t="shared" si="14"/>
        <v>0</v>
      </c>
      <c r="S40" s="798">
        <f t="shared" si="5"/>
        <v>0</v>
      </c>
    </row>
    <row r="41" spans="1:19">
      <c r="A41" s="963"/>
      <c r="B41" s="137"/>
      <c r="C41" s="53">
        <f t="shared" si="6"/>
        <v>1</v>
      </c>
      <c r="D41" s="961"/>
      <c r="E41" s="53">
        <f t="shared" si="7"/>
        <v>0</v>
      </c>
      <c r="F41" s="961"/>
      <c r="G41" s="53">
        <f t="shared" si="8"/>
        <v>1</v>
      </c>
      <c r="H41" s="961"/>
      <c r="I41" s="53">
        <f t="shared" si="9"/>
        <v>1</v>
      </c>
      <c r="J41" s="961"/>
      <c r="K41" s="53">
        <f t="shared" si="10"/>
        <v>1</v>
      </c>
      <c r="L41" s="961"/>
      <c r="M41" s="53">
        <f t="shared" si="11"/>
        <v>1</v>
      </c>
      <c r="N41" s="961"/>
      <c r="O41" s="53">
        <f t="shared" si="12"/>
        <v>1</v>
      </c>
      <c r="P41" s="961"/>
      <c r="Q41" s="53">
        <f t="shared" si="13"/>
        <v>1</v>
      </c>
      <c r="R41" s="489">
        <f t="shared" si="14"/>
        <v>0</v>
      </c>
      <c r="S41" s="798">
        <f t="shared" si="5"/>
        <v>0</v>
      </c>
    </row>
    <row r="42" spans="1:19">
      <c r="A42" s="963"/>
      <c r="B42" s="137"/>
      <c r="C42" s="53">
        <f t="shared" si="6"/>
        <v>1</v>
      </c>
      <c r="D42" s="961"/>
      <c r="E42" s="53">
        <f t="shared" si="7"/>
        <v>0</v>
      </c>
      <c r="F42" s="961"/>
      <c r="G42" s="53">
        <f t="shared" si="8"/>
        <v>1</v>
      </c>
      <c r="H42" s="961"/>
      <c r="I42" s="53">
        <f t="shared" si="9"/>
        <v>1</v>
      </c>
      <c r="J42" s="961"/>
      <c r="K42" s="53">
        <f t="shared" si="10"/>
        <v>1</v>
      </c>
      <c r="L42" s="961"/>
      <c r="M42" s="53">
        <f t="shared" si="11"/>
        <v>1</v>
      </c>
      <c r="N42" s="961"/>
      <c r="O42" s="53">
        <f t="shared" si="12"/>
        <v>1</v>
      </c>
      <c r="P42" s="961"/>
      <c r="Q42" s="53">
        <f t="shared" si="13"/>
        <v>1</v>
      </c>
      <c r="R42" s="489">
        <f t="shared" si="14"/>
        <v>0</v>
      </c>
      <c r="S42" s="798">
        <f t="shared" si="5"/>
        <v>0</v>
      </c>
    </row>
    <row r="43" spans="1:19">
      <c r="A43" s="963"/>
      <c r="B43" s="137"/>
      <c r="C43" s="53">
        <f t="shared" si="6"/>
        <v>1</v>
      </c>
      <c r="D43" s="961"/>
      <c r="E43" s="53">
        <f t="shared" si="7"/>
        <v>0</v>
      </c>
      <c r="F43" s="961"/>
      <c r="G43" s="53">
        <f t="shared" si="8"/>
        <v>1</v>
      </c>
      <c r="H43" s="961"/>
      <c r="I43" s="53">
        <f t="shared" si="9"/>
        <v>1</v>
      </c>
      <c r="J43" s="961"/>
      <c r="K43" s="53">
        <f t="shared" si="10"/>
        <v>1</v>
      </c>
      <c r="L43" s="961"/>
      <c r="M43" s="53">
        <f t="shared" si="11"/>
        <v>1</v>
      </c>
      <c r="N43" s="961"/>
      <c r="O43" s="53">
        <f t="shared" si="12"/>
        <v>1</v>
      </c>
      <c r="P43" s="961"/>
      <c r="Q43" s="53">
        <f t="shared" si="13"/>
        <v>1</v>
      </c>
      <c r="R43" s="489">
        <f t="shared" si="14"/>
        <v>0</v>
      </c>
      <c r="S43" s="798">
        <f t="shared" si="5"/>
        <v>0</v>
      </c>
    </row>
    <row r="44" spans="1:19">
      <c r="A44" s="963"/>
      <c r="B44" s="137"/>
      <c r="C44" s="53">
        <f t="shared" si="6"/>
        <v>1</v>
      </c>
      <c r="D44" s="961"/>
      <c r="E44" s="53">
        <f t="shared" si="7"/>
        <v>0</v>
      </c>
      <c r="F44" s="961"/>
      <c r="G44" s="53">
        <f t="shared" si="8"/>
        <v>1</v>
      </c>
      <c r="H44" s="961"/>
      <c r="I44" s="53">
        <f t="shared" si="9"/>
        <v>1</v>
      </c>
      <c r="J44" s="961"/>
      <c r="K44" s="53">
        <f t="shared" si="10"/>
        <v>1</v>
      </c>
      <c r="L44" s="961"/>
      <c r="M44" s="53">
        <f t="shared" si="11"/>
        <v>1</v>
      </c>
      <c r="N44" s="961"/>
      <c r="O44" s="53">
        <f t="shared" si="12"/>
        <v>1</v>
      </c>
      <c r="P44" s="961"/>
      <c r="Q44" s="53">
        <f t="shared" si="13"/>
        <v>1</v>
      </c>
      <c r="R44" s="489">
        <f t="shared" si="14"/>
        <v>0</v>
      </c>
      <c r="S44" s="798">
        <f t="shared" si="5"/>
        <v>0</v>
      </c>
    </row>
    <row r="45" spans="1:19">
      <c r="A45" s="963"/>
      <c r="B45" s="137"/>
      <c r="C45" s="53">
        <f t="shared" si="6"/>
        <v>1</v>
      </c>
      <c r="D45" s="961"/>
      <c r="E45" s="53">
        <f t="shared" si="7"/>
        <v>0</v>
      </c>
      <c r="F45" s="961"/>
      <c r="G45" s="53">
        <f t="shared" si="8"/>
        <v>1</v>
      </c>
      <c r="H45" s="961"/>
      <c r="I45" s="53">
        <f t="shared" si="9"/>
        <v>1</v>
      </c>
      <c r="J45" s="961"/>
      <c r="K45" s="53">
        <f t="shared" si="10"/>
        <v>1</v>
      </c>
      <c r="L45" s="961"/>
      <c r="M45" s="53">
        <f t="shared" si="11"/>
        <v>1</v>
      </c>
      <c r="N45" s="961"/>
      <c r="O45" s="53">
        <f t="shared" si="12"/>
        <v>1</v>
      </c>
      <c r="P45" s="961"/>
      <c r="Q45" s="53">
        <f t="shared" si="13"/>
        <v>1</v>
      </c>
      <c r="R45" s="489">
        <f t="shared" si="14"/>
        <v>0</v>
      </c>
      <c r="S45" s="798">
        <f t="shared" si="5"/>
        <v>0</v>
      </c>
    </row>
    <row r="46" spans="1:19">
      <c r="A46" s="963"/>
      <c r="B46" s="137"/>
      <c r="C46" s="53">
        <f t="shared" si="6"/>
        <v>1</v>
      </c>
      <c r="D46" s="961"/>
      <c r="E46" s="53">
        <f t="shared" si="7"/>
        <v>0</v>
      </c>
      <c r="F46" s="961"/>
      <c r="G46" s="53">
        <f t="shared" si="8"/>
        <v>1</v>
      </c>
      <c r="H46" s="961"/>
      <c r="I46" s="53">
        <f t="shared" si="9"/>
        <v>1</v>
      </c>
      <c r="J46" s="961"/>
      <c r="K46" s="53">
        <f t="shared" si="10"/>
        <v>1</v>
      </c>
      <c r="L46" s="961"/>
      <c r="M46" s="53">
        <f t="shared" si="11"/>
        <v>1</v>
      </c>
      <c r="N46" s="961"/>
      <c r="O46" s="53">
        <f t="shared" si="12"/>
        <v>1</v>
      </c>
      <c r="P46" s="961"/>
      <c r="Q46" s="53">
        <f t="shared" si="13"/>
        <v>1</v>
      </c>
      <c r="R46" s="489">
        <f t="shared" si="14"/>
        <v>0</v>
      </c>
      <c r="S46" s="798">
        <f t="shared" si="5"/>
        <v>0</v>
      </c>
    </row>
    <row r="47" spans="1:19">
      <c r="A47" s="963"/>
      <c r="B47" s="137"/>
      <c r="C47" s="53">
        <f t="shared" si="6"/>
        <v>1</v>
      </c>
      <c r="D47" s="961"/>
      <c r="E47" s="53">
        <f t="shared" si="7"/>
        <v>0</v>
      </c>
      <c r="F47" s="961"/>
      <c r="G47" s="53">
        <f t="shared" si="8"/>
        <v>1</v>
      </c>
      <c r="H47" s="961"/>
      <c r="I47" s="53">
        <f t="shared" si="9"/>
        <v>1</v>
      </c>
      <c r="J47" s="961"/>
      <c r="K47" s="53">
        <f t="shared" si="10"/>
        <v>1</v>
      </c>
      <c r="L47" s="961"/>
      <c r="M47" s="53">
        <f t="shared" si="11"/>
        <v>1</v>
      </c>
      <c r="N47" s="961"/>
      <c r="O47" s="53">
        <f t="shared" si="12"/>
        <v>1</v>
      </c>
      <c r="P47" s="961"/>
      <c r="Q47" s="53">
        <f t="shared" si="13"/>
        <v>1</v>
      </c>
      <c r="R47" s="489">
        <f t="shared" si="14"/>
        <v>0</v>
      </c>
      <c r="S47" s="798">
        <f t="shared" si="5"/>
        <v>0</v>
      </c>
    </row>
    <row r="48" spans="1:19">
      <c r="A48" s="963"/>
      <c r="B48" s="137"/>
      <c r="C48" s="53">
        <f t="shared" si="6"/>
        <v>1</v>
      </c>
      <c r="D48" s="961"/>
      <c r="E48" s="53">
        <f t="shared" si="7"/>
        <v>0</v>
      </c>
      <c r="F48" s="961"/>
      <c r="G48" s="53">
        <f t="shared" si="8"/>
        <v>1</v>
      </c>
      <c r="H48" s="961"/>
      <c r="I48" s="53">
        <f t="shared" si="9"/>
        <v>1</v>
      </c>
      <c r="J48" s="961"/>
      <c r="K48" s="53">
        <f t="shared" si="10"/>
        <v>1</v>
      </c>
      <c r="L48" s="961"/>
      <c r="M48" s="53">
        <f t="shared" si="11"/>
        <v>1</v>
      </c>
      <c r="N48" s="961"/>
      <c r="O48" s="53">
        <f t="shared" si="12"/>
        <v>1</v>
      </c>
      <c r="P48" s="961"/>
      <c r="Q48" s="53">
        <f t="shared" si="13"/>
        <v>1</v>
      </c>
      <c r="R48" s="489">
        <f t="shared" si="14"/>
        <v>0</v>
      </c>
      <c r="S48" s="798">
        <f t="shared" si="5"/>
        <v>0</v>
      </c>
    </row>
    <row r="49" spans="1:19">
      <c r="A49" s="963"/>
      <c r="B49" s="137"/>
      <c r="C49" s="53">
        <f t="shared" si="6"/>
        <v>1</v>
      </c>
      <c r="D49" s="961"/>
      <c r="E49" s="53">
        <f t="shared" si="7"/>
        <v>0</v>
      </c>
      <c r="F49" s="961"/>
      <c r="G49" s="53">
        <f t="shared" si="8"/>
        <v>1</v>
      </c>
      <c r="H49" s="961"/>
      <c r="I49" s="53">
        <f t="shared" si="9"/>
        <v>1</v>
      </c>
      <c r="J49" s="961"/>
      <c r="K49" s="53">
        <f t="shared" si="10"/>
        <v>1</v>
      </c>
      <c r="L49" s="961"/>
      <c r="M49" s="53">
        <f t="shared" si="11"/>
        <v>1</v>
      </c>
      <c r="N49" s="961"/>
      <c r="O49" s="53">
        <f t="shared" si="12"/>
        <v>1</v>
      </c>
      <c r="P49" s="961"/>
      <c r="Q49" s="53">
        <f t="shared" si="13"/>
        <v>1</v>
      </c>
      <c r="R49" s="489">
        <f t="shared" si="14"/>
        <v>0</v>
      </c>
      <c r="S49" s="798">
        <f t="shared" si="5"/>
        <v>0</v>
      </c>
    </row>
    <row r="50" spans="1:19">
      <c r="A50" s="963"/>
      <c r="B50" s="137"/>
      <c r="C50" s="53">
        <f t="shared" si="6"/>
        <v>1</v>
      </c>
      <c r="D50" s="961"/>
      <c r="E50" s="53">
        <f t="shared" si="7"/>
        <v>0</v>
      </c>
      <c r="F50" s="961"/>
      <c r="G50" s="53">
        <f t="shared" si="8"/>
        <v>1</v>
      </c>
      <c r="H50" s="961"/>
      <c r="I50" s="53">
        <f t="shared" si="9"/>
        <v>1</v>
      </c>
      <c r="J50" s="961"/>
      <c r="K50" s="53">
        <f t="shared" si="10"/>
        <v>1</v>
      </c>
      <c r="L50" s="961"/>
      <c r="M50" s="53">
        <f t="shared" si="11"/>
        <v>1</v>
      </c>
      <c r="N50" s="961"/>
      <c r="O50" s="53">
        <f t="shared" si="12"/>
        <v>1</v>
      </c>
      <c r="P50" s="961"/>
      <c r="Q50" s="53">
        <f t="shared" si="13"/>
        <v>1</v>
      </c>
      <c r="R50" s="489">
        <f t="shared" si="14"/>
        <v>0</v>
      </c>
      <c r="S50" s="798">
        <f t="shared" si="5"/>
        <v>0</v>
      </c>
    </row>
    <row r="51" spans="1:19">
      <c r="A51" s="963"/>
      <c r="B51" s="137"/>
      <c r="C51" s="53">
        <f t="shared" si="6"/>
        <v>1</v>
      </c>
      <c r="D51" s="961"/>
      <c r="E51" s="53">
        <f t="shared" si="7"/>
        <v>0</v>
      </c>
      <c r="F51" s="961"/>
      <c r="G51" s="53">
        <f t="shared" si="8"/>
        <v>1</v>
      </c>
      <c r="H51" s="961"/>
      <c r="I51" s="53">
        <f t="shared" si="9"/>
        <v>1</v>
      </c>
      <c r="J51" s="961"/>
      <c r="K51" s="53">
        <f t="shared" si="10"/>
        <v>1</v>
      </c>
      <c r="L51" s="961"/>
      <c r="M51" s="53">
        <f t="shared" si="11"/>
        <v>1</v>
      </c>
      <c r="N51" s="961"/>
      <c r="O51" s="53">
        <f t="shared" si="12"/>
        <v>1</v>
      </c>
      <c r="P51" s="961"/>
      <c r="Q51" s="53">
        <f t="shared" si="13"/>
        <v>1</v>
      </c>
      <c r="R51" s="489">
        <f t="shared" si="14"/>
        <v>0</v>
      </c>
      <c r="S51" s="798">
        <f t="shared" si="5"/>
        <v>0</v>
      </c>
    </row>
    <row r="52" spans="1:19">
      <c r="A52" s="963"/>
      <c r="B52" s="137"/>
      <c r="C52" s="53">
        <f t="shared" si="6"/>
        <v>1</v>
      </c>
      <c r="D52" s="961"/>
      <c r="E52" s="53">
        <f t="shared" si="7"/>
        <v>0</v>
      </c>
      <c r="F52" s="961"/>
      <c r="G52" s="53">
        <f t="shared" si="8"/>
        <v>1</v>
      </c>
      <c r="H52" s="961"/>
      <c r="I52" s="53">
        <f t="shared" si="9"/>
        <v>1</v>
      </c>
      <c r="J52" s="961"/>
      <c r="K52" s="53">
        <f t="shared" si="10"/>
        <v>1</v>
      </c>
      <c r="L52" s="961"/>
      <c r="M52" s="53">
        <f t="shared" si="11"/>
        <v>1</v>
      </c>
      <c r="N52" s="961"/>
      <c r="O52" s="53">
        <f t="shared" si="12"/>
        <v>1</v>
      </c>
      <c r="P52" s="961"/>
      <c r="Q52" s="53">
        <f t="shared" si="13"/>
        <v>1</v>
      </c>
      <c r="R52" s="489">
        <f t="shared" si="14"/>
        <v>0</v>
      </c>
      <c r="S52" s="798">
        <f t="shared" si="5"/>
        <v>0</v>
      </c>
    </row>
    <row r="53" spans="1:19">
      <c r="A53" s="963"/>
      <c r="B53" s="137"/>
      <c r="C53" s="53">
        <f t="shared" si="6"/>
        <v>1</v>
      </c>
      <c r="D53" s="961"/>
      <c r="E53" s="53">
        <f t="shared" si="7"/>
        <v>0</v>
      </c>
      <c r="F53" s="961"/>
      <c r="G53" s="53">
        <f t="shared" si="8"/>
        <v>1</v>
      </c>
      <c r="H53" s="961"/>
      <c r="I53" s="53">
        <f t="shared" si="9"/>
        <v>1</v>
      </c>
      <c r="J53" s="961"/>
      <c r="K53" s="53">
        <f t="shared" si="10"/>
        <v>1</v>
      </c>
      <c r="L53" s="961"/>
      <c r="M53" s="53">
        <f t="shared" si="11"/>
        <v>1</v>
      </c>
      <c r="N53" s="961"/>
      <c r="O53" s="53">
        <f t="shared" si="12"/>
        <v>1</v>
      </c>
      <c r="P53" s="961"/>
      <c r="Q53" s="53">
        <f t="shared" si="13"/>
        <v>1</v>
      </c>
      <c r="R53" s="489">
        <f t="shared" si="14"/>
        <v>0</v>
      </c>
      <c r="S53" s="798">
        <f t="shared" si="5"/>
        <v>0</v>
      </c>
    </row>
    <row r="54" spans="1:19">
      <c r="A54" s="963"/>
      <c r="B54" s="137"/>
      <c r="C54" s="53">
        <f t="shared" si="6"/>
        <v>1</v>
      </c>
      <c r="D54" s="961"/>
      <c r="E54" s="53">
        <f t="shared" si="7"/>
        <v>0</v>
      </c>
      <c r="F54" s="961"/>
      <c r="G54" s="53">
        <f t="shared" si="8"/>
        <v>1</v>
      </c>
      <c r="H54" s="961"/>
      <c r="I54" s="53">
        <f t="shared" si="9"/>
        <v>1</v>
      </c>
      <c r="J54" s="961"/>
      <c r="K54" s="53">
        <f t="shared" si="10"/>
        <v>1</v>
      </c>
      <c r="L54" s="961"/>
      <c r="M54" s="53">
        <f t="shared" si="11"/>
        <v>1</v>
      </c>
      <c r="N54" s="961"/>
      <c r="O54" s="53">
        <f t="shared" si="12"/>
        <v>1</v>
      </c>
      <c r="P54" s="961"/>
      <c r="Q54" s="53">
        <f t="shared" si="13"/>
        <v>1</v>
      </c>
      <c r="R54" s="489">
        <f t="shared" si="14"/>
        <v>0</v>
      </c>
      <c r="S54" s="798">
        <f t="shared" si="5"/>
        <v>0</v>
      </c>
    </row>
    <row r="55" spans="1:19">
      <c r="A55" s="963"/>
      <c r="B55" s="137"/>
      <c r="C55" s="53">
        <f t="shared" si="6"/>
        <v>1</v>
      </c>
      <c r="D55" s="961"/>
      <c r="E55" s="53">
        <f t="shared" si="7"/>
        <v>0</v>
      </c>
      <c r="F55" s="961"/>
      <c r="G55" s="53">
        <f t="shared" si="8"/>
        <v>1</v>
      </c>
      <c r="H55" s="961"/>
      <c r="I55" s="53">
        <f t="shared" si="9"/>
        <v>1</v>
      </c>
      <c r="J55" s="961"/>
      <c r="K55" s="53">
        <f t="shared" si="10"/>
        <v>1</v>
      </c>
      <c r="L55" s="961"/>
      <c r="M55" s="53">
        <f t="shared" si="11"/>
        <v>1</v>
      </c>
      <c r="N55" s="961"/>
      <c r="O55" s="53">
        <f t="shared" si="12"/>
        <v>1</v>
      </c>
      <c r="P55" s="961"/>
      <c r="Q55" s="53">
        <f t="shared" si="13"/>
        <v>1</v>
      </c>
      <c r="R55" s="489">
        <f t="shared" si="14"/>
        <v>0</v>
      </c>
      <c r="S55" s="798">
        <f t="shared" si="5"/>
        <v>0</v>
      </c>
    </row>
    <row r="56" spans="1:19">
      <c r="A56" s="963"/>
      <c r="B56" s="137"/>
      <c r="C56" s="53">
        <f t="shared" si="6"/>
        <v>1</v>
      </c>
      <c r="D56" s="961"/>
      <c r="E56" s="53">
        <f t="shared" si="7"/>
        <v>0</v>
      </c>
      <c r="F56" s="961"/>
      <c r="G56" s="53">
        <f t="shared" si="8"/>
        <v>1</v>
      </c>
      <c r="H56" s="961"/>
      <c r="I56" s="53">
        <f t="shared" si="9"/>
        <v>1</v>
      </c>
      <c r="J56" s="961"/>
      <c r="K56" s="53">
        <f t="shared" si="10"/>
        <v>1</v>
      </c>
      <c r="L56" s="961"/>
      <c r="M56" s="53">
        <f t="shared" si="11"/>
        <v>1</v>
      </c>
      <c r="N56" s="961"/>
      <c r="O56" s="53">
        <f t="shared" si="12"/>
        <v>1</v>
      </c>
      <c r="P56" s="961"/>
      <c r="Q56" s="53">
        <f t="shared" si="13"/>
        <v>1</v>
      </c>
      <c r="R56" s="489">
        <f t="shared" si="14"/>
        <v>0</v>
      </c>
      <c r="S56" s="798">
        <f t="shared" si="5"/>
        <v>0</v>
      </c>
    </row>
    <row r="57" spans="1:19">
      <c r="A57" s="963"/>
      <c r="B57" s="137"/>
      <c r="C57" s="53">
        <f t="shared" si="6"/>
        <v>1</v>
      </c>
      <c r="D57" s="961"/>
      <c r="E57" s="53">
        <f t="shared" si="7"/>
        <v>0</v>
      </c>
      <c r="F57" s="961"/>
      <c r="G57" s="53">
        <f t="shared" si="8"/>
        <v>1</v>
      </c>
      <c r="H57" s="961"/>
      <c r="I57" s="53">
        <f t="shared" si="9"/>
        <v>1</v>
      </c>
      <c r="J57" s="961"/>
      <c r="K57" s="53">
        <f t="shared" si="10"/>
        <v>1</v>
      </c>
      <c r="L57" s="961"/>
      <c r="M57" s="53">
        <f t="shared" si="11"/>
        <v>1</v>
      </c>
      <c r="N57" s="961"/>
      <c r="O57" s="53">
        <f t="shared" si="12"/>
        <v>1</v>
      </c>
      <c r="P57" s="961"/>
      <c r="Q57" s="53">
        <f t="shared" si="13"/>
        <v>1</v>
      </c>
      <c r="R57" s="489">
        <f t="shared" si="14"/>
        <v>0</v>
      </c>
      <c r="S57" s="798">
        <f t="shared" si="5"/>
        <v>0</v>
      </c>
    </row>
    <row r="58" spans="1:19">
      <c r="A58" s="963"/>
      <c r="B58" s="137"/>
      <c r="C58" s="53">
        <f t="shared" si="6"/>
        <v>1</v>
      </c>
      <c r="D58" s="961"/>
      <c r="E58" s="53">
        <f t="shared" si="7"/>
        <v>0</v>
      </c>
      <c r="F58" s="961"/>
      <c r="G58" s="53">
        <f t="shared" si="8"/>
        <v>1</v>
      </c>
      <c r="H58" s="961"/>
      <c r="I58" s="53">
        <f t="shared" si="9"/>
        <v>1</v>
      </c>
      <c r="J58" s="961"/>
      <c r="K58" s="53">
        <f t="shared" si="10"/>
        <v>1</v>
      </c>
      <c r="L58" s="961"/>
      <c r="M58" s="53">
        <f t="shared" si="11"/>
        <v>1</v>
      </c>
      <c r="N58" s="961"/>
      <c r="O58" s="53">
        <f t="shared" si="12"/>
        <v>1</v>
      </c>
      <c r="P58" s="961"/>
      <c r="Q58" s="53">
        <f t="shared" si="13"/>
        <v>1</v>
      </c>
      <c r="R58" s="489">
        <f t="shared" si="14"/>
        <v>0</v>
      </c>
      <c r="S58" s="798">
        <f t="shared" si="5"/>
        <v>0</v>
      </c>
    </row>
    <row r="59" spans="1:19">
      <c r="A59" s="963"/>
      <c r="B59" s="137"/>
      <c r="C59" s="53">
        <f t="shared" si="6"/>
        <v>1</v>
      </c>
      <c r="D59" s="961"/>
      <c r="E59" s="53">
        <f t="shared" si="7"/>
        <v>0</v>
      </c>
      <c r="F59" s="961"/>
      <c r="G59" s="53">
        <f t="shared" si="8"/>
        <v>1</v>
      </c>
      <c r="H59" s="961"/>
      <c r="I59" s="53">
        <f t="shared" si="9"/>
        <v>1</v>
      </c>
      <c r="J59" s="961"/>
      <c r="K59" s="53">
        <f t="shared" si="10"/>
        <v>1</v>
      </c>
      <c r="L59" s="961"/>
      <c r="M59" s="53">
        <f t="shared" si="11"/>
        <v>1</v>
      </c>
      <c r="N59" s="961"/>
      <c r="O59" s="53">
        <f t="shared" si="12"/>
        <v>1</v>
      </c>
      <c r="P59" s="961"/>
      <c r="Q59" s="53">
        <f t="shared" si="13"/>
        <v>1</v>
      </c>
      <c r="R59" s="489">
        <f t="shared" si="14"/>
        <v>0</v>
      </c>
      <c r="S59" s="798">
        <f t="shared" si="5"/>
        <v>0</v>
      </c>
    </row>
    <row r="60" spans="1:19">
      <c r="A60" s="963"/>
      <c r="B60" s="137"/>
      <c r="C60" s="53">
        <f t="shared" si="6"/>
        <v>1</v>
      </c>
      <c r="D60" s="961"/>
      <c r="E60" s="53">
        <f t="shared" si="7"/>
        <v>0</v>
      </c>
      <c r="F60" s="961"/>
      <c r="G60" s="53">
        <f t="shared" si="8"/>
        <v>1</v>
      </c>
      <c r="H60" s="961"/>
      <c r="I60" s="53">
        <f t="shared" si="9"/>
        <v>1</v>
      </c>
      <c r="J60" s="961"/>
      <c r="K60" s="53">
        <f t="shared" si="10"/>
        <v>1</v>
      </c>
      <c r="L60" s="961"/>
      <c r="M60" s="53">
        <f t="shared" si="11"/>
        <v>1</v>
      </c>
      <c r="N60" s="961"/>
      <c r="O60" s="53">
        <f t="shared" si="12"/>
        <v>1</v>
      </c>
      <c r="P60" s="961"/>
      <c r="Q60" s="53">
        <f t="shared" si="13"/>
        <v>1</v>
      </c>
      <c r="R60" s="489">
        <f t="shared" si="14"/>
        <v>0</v>
      </c>
      <c r="S60" s="798">
        <f t="shared" si="5"/>
        <v>0</v>
      </c>
    </row>
    <row r="61" spans="1:19">
      <c r="A61" s="963"/>
      <c r="B61" s="137"/>
      <c r="C61" s="53">
        <f t="shared" si="6"/>
        <v>1</v>
      </c>
      <c r="D61" s="961"/>
      <c r="E61" s="53">
        <f t="shared" si="7"/>
        <v>0</v>
      </c>
      <c r="F61" s="961"/>
      <c r="G61" s="53">
        <f t="shared" si="8"/>
        <v>1</v>
      </c>
      <c r="H61" s="961"/>
      <c r="I61" s="53">
        <f t="shared" si="9"/>
        <v>1</v>
      </c>
      <c r="J61" s="961"/>
      <c r="K61" s="53">
        <f t="shared" si="10"/>
        <v>1</v>
      </c>
      <c r="L61" s="961"/>
      <c r="M61" s="53">
        <f t="shared" si="11"/>
        <v>1</v>
      </c>
      <c r="N61" s="961"/>
      <c r="O61" s="53">
        <f t="shared" si="12"/>
        <v>1</v>
      </c>
      <c r="P61" s="961"/>
      <c r="Q61" s="53">
        <f t="shared" si="13"/>
        <v>1</v>
      </c>
      <c r="R61" s="489">
        <f t="shared" si="14"/>
        <v>0</v>
      </c>
      <c r="S61" s="798">
        <f t="shared" si="5"/>
        <v>0</v>
      </c>
    </row>
    <row r="62" spans="1:19">
      <c r="A62" s="963"/>
      <c r="B62" s="137"/>
      <c r="C62" s="53">
        <f t="shared" si="6"/>
        <v>1</v>
      </c>
      <c r="D62" s="961"/>
      <c r="E62" s="53">
        <f t="shared" si="7"/>
        <v>0</v>
      </c>
      <c r="F62" s="961"/>
      <c r="G62" s="53">
        <f t="shared" si="8"/>
        <v>1</v>
      </c>
      <c r="H62" s="961"/>
      <c r="I62" s="53">
        <f t="shared" si="9"/>
        <v>1</v>
      </c>
      <c r="J62" s="961"/>
      <c r="K62" s="53">
        <f t="shared" si="10"/>
        <v>1</v>
      </c>
      <c r="L62" s="961"/>
      <c r="M62" s="53">
        <f t="shared" si="11"/>
        <v>1</v>
      </c>
      <c r="N62" s="961"/>
      <c r="O62" s="53">
        <f t="shared" si="12"/>
        <v>1</v>
      </c>
      <c r="P62" s="961"/>
      <c r="Q62" s="53">
        <f t="shared" si="13"/>
        <v>1</v>
      </c>
      <c r="R62" s="489">
        <f t="shared" si="14"/>
        <v>0</v>
      </c>
      <c r="S62" s="798">
        <f t="shared" si="5"/>
        <v>0</v>
      </c>
    </row>
    <row r="63" spans="1:19">
      <c r="A63" s="963"/>
      <c r="B63" s="137"/>
      <c r="C63" s="53">
        <f t="shared" si="6"/>
        <v>1</v>
      </c>
      <c r="D63" s="961"/>
      <c r="E63" s="53">
        <f t="shared" si="7"/>
        <v>0</v>
      </c>
      <c r="F63" s="961"/>
      <c r="G63" s="53">
        <f t="shared" si="8"/>
        <v>1</v>
      </c>
      <c r="H63" s="961"/>
      <c r="I63" s="53">
        <f t="shared" si="9"/>
        <v>1</v>
      </c>
      <c r="J63" s="961"/>
      <c r="K63" s="53">
        <f t="shared" si="10"/>
        <v>1</v>
      </c>
      <c r="L63" s="961"/>
      <c r="M63" s="53">
        <f t="shared" si="11"/>
        <v>1</v>
      </c>
      <c r="N63" s="961"/>
      <c r="O63" s="53">
        <f t="shared" si="12"/>
        <v>1</v>
      </c>
      <c r="P63" s="961"/>
      <c r="Q63" s="53">
        <f t="shared" si="13"/>
        <v>1</v>
      </c>
      <c r="R63" s="489">
        <f t="shared" si="14"/>
        <v>0</v>
      </c>
      <c r="S63" s="798">
        <f t="shared" si="5"/>
        <v>0</v>
      </c>
    </row>
    <row r="64" spans="1:19">
      <c r="A64" s="963"/>
      <c r="B64" s="137"/>
      <c r="C64" s="53">
        <f t="shared" si="6"/>
        <v>1</v>
      </c>
      <c r="D64" s="961"/>
      <c r="E64" s="53">
        <f t="shared" si="7"/>
        <v>0</v>
      </c>
      <c r="F64" s="961"/>
      <c r="G64" s="53">
        <f t="shared" si="8"/>
        <v>1</v>
      </c>
      <c r="H64" s="961"/>
      <c r="I64" s="53">
        <f t="shared" si="9"/>
        <v>1</v>
      </c>
      <c r="J64" s="961"/>
      <c r="K64" s="53">
        <f t="shared" si="10"/>
        <v>1</v>
      </c>
      <c r="L64" s="961"/>
      <c r="M64" s="53">
        <f t="shared" si="11"/>
        <v>1</v>
      </c>
      <c r="N64" s="961"/>
      <c r="O64" s="53">
        <f t="shared" si="12"/>
        <v>1</v>
      </c>
      <c r="P64" s="961"/>
      <c r="Q64" s="53">
        <f t="shared" si="13"/>
        <v>1</v>
      </c>
      <c r="R64" s="489">
        <f t="shared" si="14"/>
        <v>0</v>
      </c>
      <c r="S64" s="798">
        <f t="shared" si="5"/>
        <v>0</v>
      </c>
    </row>
    <row r="65" spans="1:19">
      <c r="A65" s="963"/>
      <c r="B65" s="137"/>
      <c r="C65" s="53">
        <f t="shared" si="6"/>
        <v>1</v>
      </c>
      <c r="D65" s="961"/>
      <c r="E65" s="53">
        <f t="shared" si="7"/>
        <v>0</v>
      </c>
      <c r="F65" s="961"/>
      <c r="G65" s="53">
        <f t="shared" si="8"/>
        <v>1</v>
      </c>
      <c r="H65" s="961"/>
      <c r="I65" s="53">
        <f t="shared" si="9"/>
        <v>1</v>
      </c>
      <c r="J65" s="961"/>
      <c r="K65" s="53">
        <f t="shared" si="10"/>
        <v>1</v>
      </c>
      <c r="L65" s="961"/>
      <c r="M65" s="53">
        <f t="shared" si="11"/>
        <v>1</v>
      </c>
      <c r="N65" s="961"/>
      <c r="O65" s="53">
        <f t="shared" si="12"/>
        <v>1</v>
      </c>
      <c r="P65" s="961"/>
      <c r="Q65" s="53">
        <f t="shared" si="13"/>
        <v>1</v>
      </c>
      <c r="R65" s="489">
        <f t="shared" si="14"/>
        <v>0</v>
      </c>
      <c r="S65" s="798">
        <f t="shared" si="5"/>
        <v>0</v>
      </c>
    </row>
    <row r="66" spans="1:19">
      <c r="A66" s="963"/>
      <c r="B66" s="137"/>
      <c r="C66" s="53">
        <f t="shared" si="6"/>
        <v>1</v>
      </c>
      <c r="D66" s="961"/>
      <c r="E66" s="53">
        <f t="shared" si="7"/>
        <v>0</v>
      </c>
      <c r="F66" s="961"/>
      <c r="G66" s="53">
        <f t="shared" si="8"/>
        <v>1</v>
      </c>
      <c r="H66" s="961"/>
      <c r="I66" s="53">
        <f t="shared" si="9"/>
        <v>1</v>
      </c>
      <c r="J66" s="961"/>
      <c r="K66" s="53">
        <f t="shared" si="10"/>
        <v>1</v>
      </c>
      <c r="L66" s="961"/>
      <c r="M66" s="53">
        <f t="shared" si="11"/>
        <v>1</v>
      </c>
      <c r="N66" s="961"/>
      <c r="O66" s="53">
        <f t="shared" si="12"/>
        <v>1</v>
      </c>
      <c r="P66" s="961"/>
      <c r="Q66" s="53">
        <f t="shared" si="13"/>
        <v>1</v>
      </c>
      <c r="R66" s="489">
        <f t="shared" si="14"/>
        <v>0</v>
      </c>
      <c r="S66" s="798">
        <f t="shared" si="5"/>
        <v>0</v>
      </c>
    </row>
    <row r="67" spans="1:19">
      <c r="A67" s="963"/>
      <c r="B67" s="137"/>
      <c r="C67" s="53">
        <f t="shared" si="6"/>
        <v>1</v>
      </c>
      <c r="D67" s="961"/>
      <c r="E67" s="53">
        <f t="shared" si="7"/>
        <v>0</v>
      </c>
      <c r="F67" s="961"/>
      <c r="G67" s="53">
        <f t="shared" si="8"/>
        <v>1</v>
      </c>
      <c r="H67" s="961"/>
      <c r="I67" s="53">
        <f t="shared" si="9"/>
        <v>1</v>
      </c>
      <c r="J67" s="961"/>
      <c r="K67" s="53">
        <f t="shared" si="10"/>
        <v>1</v>
      </c>
      <c r="L67" s="961"/>
      <c r="M67" s="53">
        <f t="shared" si="11"/>
        <v>1</v>
      </c>
      <c r="N67" s="961"/>
      <c r="O67" s="53">
        <f t="shared" si="12"/>
        <v>1</v>
      </c>
      <c r="P67" s="961"/>
      <c r="Q67" s="53">
        <f t="shared" si="13"/>
        <v>1</v>
      </c>
      <c r="R67" s="489">
        <f t="shared" si="14"/>
        <v>0</v>
      </c>
      <c r="S67" s="798">
        <f t="shared" si="5"/>
        <v>0</v>
      </c>
    </row>
    <row r="68" spans="1:19">
      <c r="A68" s="963"/>
      <c r="B68" s="137"/>
      <c r="C68" s="53">
        <f t="shared" si="6"/>
        <v>1</v>
      </c>
      <c r="D68" s="961"/>
      <c r="E68" s="53">
        <f t="shared" si="7"/>
        <v>0</v>
      </c>
      <c r="F68" s="961"/>
      <c r="G68" s="53">
        <f t="shared" si="8"/>
        <v>1</v>
      </c>
      <c r="H68" s="961"/>
      <c r="I68" s="53">
        <f t="shared" si="9"/>
        <v>1</v>
      </c>
      <c r="J68" s="961"/>
      <c r="K68" s="53">
        <f t="shared" si="10"/>
        <v>1</v>
      </c>
      <c r="L68" s="961"/>
      <c r="M68" s="53">
        <f t="shared" si="11"/>
        <v>1</v>
      </c>
      <c r="N68" s="961"/>
      <c r="O68" s="53">
        <f t="shared" si="12"/>
        <v>1</v>
      </c>
      <c r="P68" s="961"/>
      <c r="Q68" s="53">
        <f t="shared" si="13"/>
        <v>1</v>
      </c>
      <c r="R68" s="489">
        <f t="shared" si="14"/>
        <v>0</v>
      </c>
      <c r="S68" s="798">
        <f t="shared" si="5"/>
        <v>0</v>
      </c>
    </row>
    <row r="69" spans="1:19">
      <c r="A69" s="963"/>
      <c r="B69" s="137"/>
      <c r="C69" s="53">
        <f t="shared" si="6"/>
        <v>1</v>
      </c>
      <c r="D69" s="961"/>
      <c r="E69" s="53">
        <f t="shared" si="7"/>
        <v>0</v>
      </c>
      <c r="F69" s="961"/>
      <c r="G69" s="53">
        <f t="shared" si="8"/>
        <v>1</v>
      </c>
      <c r="H69" s="961"/>
      <c r="I69" s="53">
        <f t="shared" si="9"/>
        <v>1</v>
      </c>
      <c r="J69" s="961"/>
      <c r="K69" s="53">
        <f t="shared" si="10"/>
        <v>1</v>
      </c>
      <c r="L69" s="961"/>
      <c r="M69" s="53">
        <f t="shared" si="11"/>
        <v>1</v>
      </c>
      <c r="N69" s="961"/>
      <c r="O69" s="53">
        <f t="shared" si="12"/>
        <v>1</v>
      </c>
      <c r="P69" s="961"/>
      <c r="Q69" s="53">
        <f t="shared" si="13"/>
        <v>1</v>
      </c>
      <c r="R69" s="489">
        <f t="shared" si="14"/>
        <v>0</v>
      </c>
      <c r="S69" s="798">
        <f t="shared" si="5"/>
        <v>0</v>
      </c>
    </row>
    <row r="70" spans="1:19">
      <c r="A70" s="963"/>
      <c r="B70" s="137"/>
      <c r="C70" s="53">
        <f t="shared" si="6"/>
        <v>1</v>
      </c>
      <c r="D70" s="961"/>
      <c r="E70" s="53">
        <f t="shared" si="7"/>
        <v>0</v>
      </c>
      <c r="F70" s="961"/>
      <c r="G70" s="53">
        <f t="shared" si="8"/>
        <v>1</v>
      </c>
      <c r="H70" s="961"/>
      <c r="I70" s="53">
        <f t="shared" si="9"/>
        <v>1</v>
      </c>
      <c r="J70" s="961"/>
      <c r="K70" s="53">
        <f t="shared" si="10"/>
        <v>1</v>
      </c>
      <c r="L70" s="961"/>
      <c r="M70" s="53">
        <f t="shared" si="11"/>
        <v>1</v>
      </c>
      <c r="N70" s="961"/>
      <c r="O70" s="53">
        <f t="shared" si="12"/>
        <v>1</v>
      </c>
      <c r="P70" s="961"/>
      <c r="Q70" s="53">
        <f t="shared" si="13"/>
        <v>1</v>
      </c>
      <c r="R70" s="489">
        <f t="shared" si="14"/>
        <v>0</v>
      </c>
      <c r="S70" s="798">
        <f t="shared" si="5"/>
        <v>0</v>
      </c>
    </row>
    <row r="71" spans="1:19">
      <c r="A71" s="963"/>
      <c r="B71" s="137"/>
      <c r="C71" s="53">
        <f t="shared" si="6"/>
        <v>1</v>
      </c>
      <c r="D71" s="961"/>
      <c r="E71" s="53">
        <f t="shared" si="7"/>
        <v>0</v>
      </c>
      <c r="F71" s="961"/>
      <c r="G71" s="53">
        <f t="shared" si="8"/>
        <v>1</v>
      </c>
      <c r="H71" s="961"/>
      <c r="I71" s="53">
        <f t="shared" si="9"/>
        <v>1</v>
      </c>
      <c r="J71" s="961"/>
      <c r="K71" s="53">
        <f t="shared" si="10"/>
        <v>1</v>
      </c>
      <c r="L71" s="961"/>
      <c r="M71" s="53">
        <f t="shared" si="11"/>
        <v>1</v>
      </c>
      <c r="N71" s="961"/>
      <c r="O71" s="53">
        <f t="shared" si="12"/>
        <v>1</v>
      </c>
      <c r="P71" s="961"/>
      <c r="Q71" s="53">
        <f t="shared" si="13"/>
        <v>1</v>
      </c>
      <c r="R71" s="489">
        <f t="shared" si="14"/>
        <v>0</v>
      </c>
      <c r="S71" s="798">
        <f t="shared" si="5"/>
        <v>0</v>
      </c>
    </row>
    <row r="72" spans="1:19">
      <c r="A72" s="963"/>
      <c r="B72" s="137"/>
      <c r="C72" s="53">
        <f t="shared" si="6"/>
        <v>1</v>
      </c>
      <c r="D72" s="961"/>
      <c r="E72" s="53">
        <f t="shared" si="7"/>
        <v>0</v>
      </c>
      <c r="F72" s="961"/>
      <c r="G72" s="53">
        <f t="shared" si="8"/>
        <v>1</v>
      </c>
      <c r="H72" s="961"/>
      <c r="I72" s="53">
        <f t="shared" si="9"/>
        <v>1</v>
      </c>
      <c r="J72" s="961"/>
      <c r="K72" s="53">
        <f t="shared" si="10"/>
        <v>1</v>
      </c>
      <c r="L72" s="961"/>
      <c r="M72" s="53">
        <f t="shared" si="11"/>
        <v>1</v>
      </c>
      <c r="N72" s="961"/>
      <c r="O72" s="53">
        <f t="shared" si="12"/>
        <v>1</v>
      </c>
      <c r="P72" s="961"/>
      <c r="Q72" s="53">
        <f t="shared" si="13"/>
        <v>1</v>
      </c>
      <c r="R72" s="489">
        <f t="shared" si="14"/>
        <v>0</v>
      </c>
      <c r="S72" s="798">
        <f t="shared" si="5"/>
        <v>0</v>
      </c>
    </row>
    <row r="73" spans="1:19">
      <c r="A73" s="963"/>
      <c r="B73" s="137"/>
      <c r="C73" s="53">
        <f t="shared" si="6"/>
        <v>1</v>
      </c>
      <c r="D73" s="961"/>
      <c r="E73" s="53">
        <f t="shared" si="7"/>
        <v>0</v>
      </c>
      <c r="F73" s="961"/>
      <c r="G73" s="53">
        <f t="shared" si="8"/>
        <v>1</v>
      </c>
      <c r="H73" s="961"/>
      <c r="I73" s="53">
        <f t="shared" si="9"/>
        <v>1</v>
      </c>
      <c r="J73" s="961"/>
      <c r="K73" s="53">
        <f t="shared" si="10"/>
        <v>1</v>
      </c>
      <c r="L73" s="961"/>
      <c r="M73" s="53">
        <f t="shared" si="11"/>
        <v>1</v>
      </c>
      <c r="N73" s="961"/>
      <c r="O73" s="53">
        <f t="shared" si="12"/>
        <v>1</v>
      </c>
      <c r="P73" s="961"/>
      <c r="Q73" s="53">
        <f t="shared" si="13"/>
        <v>1</v>
      </c>
      <c r="R73" s="489">
        <f t="shared" si="14"/>
        <v>0</v>
      </c>
      <c r="S73" s="798">
        <f t="shared" si="5"/>
        <v>0</v>
      </c>
    </row>
    <row r="74" spans="1:19">
      <c r="A74" s="963"/>
      <c r="B74" s="137"/>
      <c r="C74" s="53">
        <f t="shared" si="6"/>
        <v>1</v>
      </c>
      <c r="D74" s="961"/>
      <c r="E74" s="53">
        <f t="shared" si="7"/>
        <v>0</v>
      </c>
      <c r="F74" s="961"/>
      <c r="G74" s="53">
        <f t="shared" si="8"/>
        <v>1</v>
      </c>
      <c r="H74" s="961"/>
      <c r="I74" s="53">
        <f t="shared" si="9"/>
        <v>1</v>
      </c>
      <c r="J74" s="961"/>
      <c r="K74" s="53">
        <f t="shared" si="10"/>
        <v>1</v>
      </c>
      <c r="L74" s="961"/>
      <c r="M74" s="53">
        <f t="shared" si="11"/>
        <v>1</v>
      </c>
      <c r="N74" s="961"/>
      <c r="O74" s="53">
        <f t="shared" si="12"/>
        <v>1</v>
      </c>
      <c r="P74" s="961"/>
      <c r="Q74" s="53">
        <f t="shared" si="13"/>
        <v>1</v>
      </c>
      <c r="R74" s="489">
        <f t="shared" si="14"/>
        <v>0</v>
      </c>
      <c r="S74" s="798">
        <f t="shared" si="5"/>
        <v>0</v>
      </c>
    </row>
    <row r="75" spans="1:19">
      <c r="A75" s="963"/>
      <c r="B75" s="137"/>
      <c r="C75" s="53">
        <f t="shared" si="6"/>
        <v>1</v>
      </c>
      <c r="D75" s="961"/>
      <c r="E75" s="53">
        <f t="shared" si="7"/>
        <v>0</v>
      </c>
      <c r="F75" s="961"/>
      <c r="G75" s="53">
        <f t="shared" si="8"/>
        <v>1</v>
      </c>
      <c r="H75" s="961"/>
      <c r="I75" s="53">
        <f t="shared" si="9"/>
        <v>1</v>
      </c>
      <c r="J75" s="961"/>
      <c r="K75" s="53">
        <f t="shared" si="10"/>
        <v>1</v>
      </c>
      <c r="L75" s="961"/>
      <c r="M75" s="53">
        <f t="shared" si="11"/>
        <v>1</v>
      </c>
      <c r="N75" s="961"/>
      <c r="O75" s="53">
        <f t="shared" si="12"/>
        <v>1</v>
      </c>
      <c r="P75" s="961"/>
      <c r="Q75" s="53">
        <f t="shared" si="13"/>
        <v>1</v>
      </c>
      <c r="R75" s="489">
        <f t="shared" si="14"/>
        <v>0</v>
      </c>
      <c r="S75" s="798">
        <f t="shared" si="5"/>
        <v>0</v>
      </c>
    </row>
    <row r="76" spans="1:19">
      <c r="A76" s="963"/>
      <c r="B76" s="137"/>
      <c r="C76" s="53">
        <f t="shared" si="6"/>
        <v>1</v>
      </c>
      <c r="D76" s="961"/>
      <c r="E76" s="53">
        <f t="shared" si="7"/>
        <v>0</v>
      </c>
      <c r="F76" s="961"/>
      <c r="G76" s="53">
        <f t="shared" si="8"/>
        <v>1</v>
      </c>
      <c r="H76" s="961"/>
      <c r="I76" s="53">
        <f t="shared" si="9"/>
        <v>1</v>
      </c>
      <c r="J76" s="961"/>
      <c r="K76" s="53">
        <f t="shared" si="10"/>
        <v>1</v>
      </c>
      <c r="L76" s="961"/>
      <c r="M76" s="53">
        <f t="shared" si="11"/>
        <v>1</v>
      </c>
      <c r="N76" s="961"/>
      <c r="O76" s="53">
        <f t="shared" si="12"/>
        <v>1</v>
      </c>
      <c r="P76" s="961"/>
      <c r="Q76" s="53">
        <f t="shared" si="13"/>
        <v>1</v>
      </c>
      <c r="R76" s="489">
        <f t="shared" si="14"/>
        <v>0</v>
      </c>
      <c r="S76" s="798">
        <f t="shared" si="5"/>
        <v>0</v>
      </c>
    </row>
    <row r="77" spans="1:19">
      <c r="A77" s="963"/>
      <c r="B77" s="137"/>
      <c r="C77" s="53">
        <f t="shared" si="6"/>
        <v>1</v>
      </c>
      <c r="D77" s="961"/>
      <c r="E77" s="53">
        <f t="shared" si="7"/>
        <v>0</v>
      </c>
      <c r="F77" s="961"/>
      <c r="G77" s="53">
        <f t="shared" si="8"/>
        <v>1</v>
      </c>
      <c r="H77" s="961"/>
      <c r="I77" s="53">
        <f t="shared" si="9"/>
        <v>1</v>
      </c>
      <c r="J77" s="961"/>
      <c r="K77" s="53">
        <f t="shared" si="10"/>
        <v>1</v>
      </c>
      <c r="L77" s="961"/>
      <c r="M77" s="53">
        <f t="shared" si="11"/>
        <v>1</v>
      </c>
      <c r="N77" s="961"/>
      <c r="O77" s="53">
        <f t="shared" si="12"/>
        <v>1</v>
      </c>
      <c r="P77" s="961"/>
      <c r="Q77" s="53">
        <f t="shared" si="13"/>
        <v>1</v>
      </c>
      <c r="R77" s="489">
        <f t="shared" si="14"/>
        <v>0</v>
      </c>
      <c r="S77" s="798">
        <f t="shared" si="5"/>
        <v>0</v>
      </c>
    </row>
    <row r="78" spans="1:19">
      <c r="A78" s="963"/>
      <c r="B78" s="137"/>
      <c r="C78" s="53">
        <f t="shared" si="6"/>
        <v>1</v>
      </c>
      <c r="D78" s="961"/>
      <c r="E78" s="53">
        <f t="shared" si="7"/>
        <v>0</v>
      </c>
      <c r="F78" s="961"/>
      <c r="G78" s="53">
        <f t="shared" si="8"/>
        <v>1</v>
      </c>
      <c r="H78" s="961"/>
      <c r="I78" s="53">
        <f t="shared" si="9"/>
        <v>1</v>
      </c>
      <c r="J78" s="961"/>
      <c r="K78" s="53">
        <f t="shared" si="10"/>
        <v>1</v>
      </c>
      <c r="L78" s="961"/>
      <c r="M78" s="53">
        <f t="shared" si="11"/>
        <v>1</v>
      </c>
      <c r="N78" s="961"/>
      <c r="O78" s="53">
        <f t="shared" si="12"/>
        <v>1</v>
      </c>
      <c r="P78" s="961"/>
      <c r="Q78" s="53">
        <f t="shared" si="13"/>
        <v>1</v>
      </c>
      <c r="R78" s="489">
        <f t="shared" si="14"/>
        <v>0</v>
      </c>
      <c r="S78" s="798">
        <f t="shared" si="5"/>
        <v>0</v>
      </c>
    </row>
    <row r="79" spans="1:19">
      <c r="A79" s="963"/>
      <c r="B79" s="137"/>
      <c r="C79" s="53">
        <f t="shared" si="6"/>
        <v>1</v>
      </c>
      <c r="D79" s="961"/>
      <c r="E79" s="53">
        <f t="shared" si="7"/>
        <v>0</v>
      </c>
      <c r="F79" s="961"/>
      <c r="G79" s="53">
        <f t="shared" si="8"/>
        <v>1</v>
      </c>
      <c r="H79" s="961"/>
      <c r="I79" s="53">
        <f t="shared" si="9"/>
        <v>1</v>
      </c>
      <c r="J79" s="961"/>
      <c r="K79" s="53">
        <f t="shared" si="10"/>
        <v>1</v>
      </c>
      <c r="L79" s="961"/>
      <c r="M79" s="53">
        <f t="shared" si="11"/>
        <v>1</v>
      </c>
      <c r="N79" s="961"/>
      <c r="O79" s="53">
        <f t="shared" si="12"/>
        <v>1</v>
      </c>
      <c r="P79" s="961"/>
      <c r="Q79" s="53">
        <f t="shared" si="13"/>
        <v>1</v>
      </c>
      <c r="R79" s="489">
        <f t="shared" si="14"/>
        <v>0</v>
      </c>
      <c r="S79" s="798">
        <f t="shared" si="5"/>
        <v>0</v>
      </c>
    </row>
    <row r="80" spans="1:19">
      <c r="A80" s="963"/>
      <c r="B80" s="137"/>
      <c r="C80" s="53">
        <f t="shared" si="6"/>
        <v>1</v>
      </c>
      <c r="D80" s="961"/>
      <c r="E80" s="53">
        <f t="shared" si="7"/>
        <v>0</v>
      </c>
      <c r="F80" s="961"/>
      <c r="G80" s="53">
        <f t="shared" si="8"/>
        <v>1</v>
      </c>
      <c r="H80" s="961"/>
      <c r="I80" s="53">
        <f t="shared" si="9"/>
        <v>1</v>
      </c>
      <c r="J80" s="961"/>
      <c r="K80" s="53">
        <f t="shared" si="10"/>
        <v>1</v>
      </c>
      <c r="L80" s="961"/>
      <c r="M80" s="53">
        <f t="shared" si="11"/>
        <v>1</v>
      </c>
      <c r="N80" s="961"/>
      <c r="O80" s="53">
        <f t="shared" si="12"/>
        <v>1</v>
      </c>
      <c r="P80" s="961"/>
      <c r="Q80" s="53">
        <f t="shared" si="13"/>
        <v>1</v>
      </c>
      <c r="R80" s="489">
        <f t="shared" si="14"/>
        <v>0</v>
      </c>
      <c r="S80" s="798">
        <f t="shared" si="5"/>
        <v>0</v>
      </c>
    </row>
    <row r="81" spans="1:19">
      <c r="A81" s="963"/>
      <c r="B81" s="137"/>
      <c r="C81" s="53">
        <f t="shared" si="6"/>
        <v>1</v>
      </c>
      <c r="D81" s="961"/>
      <c r="E81" s="53">
        <f t="shared" si="7"/>
        <v>0</v>
      </c>
      <c r="F81" s="961"/>
      <c r="G81" s="53">
        <f t="shared" si="8"/>
        <v>1</v>
      </c>
      <c r="H81" s="961"/>
      <c r="I81" s="53">
        <f t="shared" si="9"/>
        <v>1</v>
      </c>
      <c r="J81" s="961"/>
      <c r="K81" s="53">
        <f t="shared" si="10"/>
        <v>1</v>
      </c>
      <c r="L81" s="961"/>
      <c r="M81" s="53">
        <f t="shared" si="11"/>
        <v>1</v>
      </c>
      <c r="N81" s="961"/>
      <c r="O81" s="53">
        <f t="shared" si="12"/>
        <v>1</v>
      </c>
      <c r="P81" s="961"/>
      <c r="Q81" s="53">
        <f t="shared" si="13"/>
        <v>1</v>
      </c>
      <c r="R81" s="489">
        <f t="shared" si="14"/>
        <v>0</v>
      </c>
      <c r="S81" s="798">
        <f t="shared" si="5"/>
        <v>0</v>
      </c>
    </row>
    <row r="82" spans="1:19">
      <c r="A82" s="963"/>
      <c r="B82" s="137"/>
      <c r="C82" s="53">
        <f t="shared" si="6"/>
        <v>1</v>
      </c>
      <c r="D82" s="961"/>
      <c r="E82" s="53">
        <f t="shared" si="7"/>
        <v>0</v>
      </c>
      <c r="F82" s="961"/>
      <c r="G82" s="53">
        <f t="shared" si="8"/>
        <v>1</v>
      </c>
      <c r="H82" s="961"/>
      <c r="I82" s="53">
        <f t="shared" si="9"/>
        <v>1</v>
      </c>
      <c r="J82" s="961"/>
      <c r="K82" s="53">
        <f t="shared" si="10"/>
        <v>1</v>
      </c>
      <c r="L82" s="961"/>
      <c r="M82" s="53">
        <f t="shared" si="11"/>
        <v>1</v>
      </c>
      <c r="N82" s="961"/>
      <c r="O82" s="53">
        <f t="shared" si="12"/>
        <v>1</v>
      </c>
      <c r="P82" s="961"/>
      <c r="Q82" s="53">
        <f t="shared" si="13"/>
        <v>1</v>
      </c>
      <c r="R82" s="489">
        <f t="shared" si="14"/>
        <v>0</v>
      </c>
      <c r="S82" s="798">
        <f t="shared" si="5"/>
        <v>0</v>
      </c>
    </row>
    <row r="83" spans="1:19">
      <c r="A83" s="963"/>
      <c r="B83" s="137"/>
      <c r="C83" s="53">
        <f t="shared" si="6"/>
        <v>1</v>
      </c>
      <c r="D83" s="961"/>
      <c r="E83" s="53">
        <f t="shared" si="7"/>
        <v>0</v>
      </c>
      <c r="F83" s="961"/>
      <c r="G83" s="53">
        <f t="shared" si="8"/>
        <v>1</v>
      </c>
      <c r="H83" s="961"/>
      <c r="I83" s="53">
        <f t="shared" si="9"/>
        <v>1</v>
      </c>
      <c r="J83" s="961"/>
      <c r="K83" s="53">
        <f t="shared" si="10"/>
        <v>1</v>
      </c>
      <c r="L83" s="961"/>
      <c r="M83" s="53">
        <f t="shared" si="11"/>
        <v>1</v>
      </c>
      <c r="N83" s="961"/>
      <c r="O83" s="53">
        <f t="shared" si="12"/>
        <v>1</v>
      </c>
      <c r="P83" s="961"/>
      <c r="Q83" s="53">
        <f t="shared" si="13"/>
        <v>1</v>
      </c>
      <c r="R83" s="489">
        <f t="shared" si="14"/>
        <v>0</v>
      </c>
      <c r="S83" s="798">
        <f t="shared" si="5"/>
        <v>0</v>
      </c>
    </row>
    <row r="84" spans="1:19">
      <c r="A84" s="963"/>
      <c r="B84" s="137"/>
      <c r="C84" s="53">
        <f t="shared" si="6"/>
        <v>1</v>
      </c>
      <c r="D84" s="961"/>
      <c r="E84" s="53">
        <f t="shared" si="7"/>
        <v>0</v>
      </c>
      <c r="F84" s="961"/>
      <c r="G84" s="53">
        <f t="shared" si="8"/>
        <v>1</v>
      </c>
      <c r="H84" s="961"/>
      <c r="I84" s="53">
        <f t="shared" si="9"/>
        <v>1</v>
      </c>
      <c r="J84" s="961"/>
      <c r="K84" s="53">
        <f t="shared" si="10"/>
        <v>1</v>
      </c>
      <c r="L84" s="961"/>
      <c r="M84" s="53">
        <f t="shared" si="11"/>
        <v>1</v>
      </c>
      <c r="N84" s="961"/>
      <c r="O84" s="53">
        <f t="shared" si="12"/>
        <v>1</v>
      </c>
      <c r="P84" s="961"/>
      <c r="Q84" s="53">
        <f t="shared" si="13"/>
        <v>1</v>
      </c>
      <c r="R84" s="489">
        <f t="shared" si="14"/>
        <v>0</v>
      </c>
      <c r="S84" s="798">
        <f t="shared" si="5"/>
        <v>0</v>
      </c>
    </row>
    <row r="85" spans="1:19">
      <c r="A85" s="963"/>
      <c r="B85" s="137"/>
      <c r="C85" s="53">
        <f t="shared" si="6"/>
        <v>1</v>
      </c>
      <c r="D85" s="961"/>
      <c r="E85" s="53">
        <f t="shared" si="7"/>
        <v>0</v>
      </c>
      <c r="F85" s="961"/>
      <c r="G85" s="53">
        <f t="shared" si="8"/>
        <v>1</v>
      </c>
      <c r="H85" s="961"/>
      <c r="I85" s="53">
        <f t="shared" si="9"/>
        <v>1</v>
      </c>
      <c r="J85" s="961"/>
      <c r="K85" s="53">
        <f t="shared" si="10"/>
        <v>1</v>
      </c>
      <c r="L85" s="961"/>
      <c r="M85" s="53">
        <f t="shared" si="11"/>
        <v>1</v>
      </c>
      <c r="N85" s="961"/>
      <c r="O85" s="53">
        <f t="shared" si="12"/>
        <v>1</v>
      </c>
      <c r="P85" s="961"/>
      <c r="Q85" s="53">
        <f t="shared" si="13"/>
        <v>1</v>
      </c>
      <c r="R85" s="489">
        <f t="shared" si="14"/>
        <v>0</v>
      </c>
      <c r="S85" s="798">
        <f t="shared" si="5"/>
        <v>0</v>
      </c>
    </row>
    <row r="86" spans="1:19">
      <c r="A86" s="963"/>
      <c r="B86" s="137"/>
      <c r="C86" s="53">
        <f t="shared" si="6"/>
        <v>1</v>
      </c>
      <c r="D86" s="961"/>
      <c r="E86" s="53">
        <f t="shared" si="7"/>
        <v>0</v>
      </c>
      <c r="F86" s="961"/>
      <c r="G86" s="53">
        <f t="shared" si="8"/>
        <v>1</v>
      </c>
      <c r="H86" s="961"/>
      <c r="I86" s="53">
        <f t="shared" si="9"/>
        <v>1</v>
      </c>
      <c r="J86" s="961"/>
      <c r="K86" s="53">
        <f t="shared" si="10"/>
        <v>1</v>
      </c>
      <c r="L86" s="961"/>
      <c r="M86" s="53">
        <f t="shared" si="11"/>
        <v>1</v>
      </c>
      <c r="N86" s="961"/>
      <c r="O86" s="53">
        <f t="shared" si="12"/>
        <v>1</v>
      </c>
      <c r="P86" s="961"/>
      <c r="Q86" s="53">
        <f t="shared" si="13"/>
        <v>1</v>
      </c>
      <c r="R86" s="489">
        <f t="shared" si="14"/>
        <v>0</v>
      </c>
      <c r="S86" s="798">
        <f t="shared" si="5"/>
        <v>0</v>
      </c>
    </row>
    <row r="87" spans="1:19">
      <c r="A87" s="963"/>
      <c r="B87" s="137"/>
      <c r="C87" s="53">
        <f t="shared" si="6"/>
        <v>1</v>
      </c>
      <c r="D87" s="961"/>
      <c r="E87" s="53">
        <f t="shared" si="7"/>
        <v>0</v>
      </c>
      <c r="F87" s="961"/>
      <c r="G87" s="53">
        <f t="shared" si="8"/>
        <v>1</v>
      </c>
      <c r="H87" s="961"/>
      <c r="I87" s="53">
        <f t="shared" si="9"/>
        <v>1</v>
      </c>
      <c r="J87" s="961"/>
      <c r="K87" s="53">
        <f t="shared" si="10"/>
        <v>1</v>
      </c>
      <c r="L87" s="961"/>
      <c r="M87" s="53">
        <f t="shared" si="11"/>
        <v>1</v>
      </c>
      <c r="N87" s="961"/>
      <c r="O87" s="53">
        <f t="shared" si="12"/>
        <v>1</v>
      </c>
      <c r="P87" s="961"/>
      <c r="Q87" s="53">
        <f t="shared" si="13"/>
        <v>1</v>
      </c>
      <c r="R87" s="489">
        <f t="shared" si="14"/>
        <v>0</v>
      </c>
      <c r="S87" s="798">
        <f t="shared" si="5"/>
        <v>0</v>
      </c>
    </row>
    <row r="88" spans="1:19">
      <c r="A88" s="963"/>
      <c r="B88" s="137"/>
      <c r="C88" s="53">
        <f t="shared" si="6"/>
        <v>1</v>
      </c>
      <c r="D88" s="961"/>
      <c r="E88" s="53">
        <f t="shared" si="7"/>
        <v>0</v>
      </c>
      <c r="F88" s="961"/>
      <c r="G88" s="53">
        <f t="shared" si="8"/>
        <v>1</v>
      </c>
      <c r="H88" s="961"/>
      <c r="I88" s="53">
        <f t="shared" si="9"/>
        <v>1</v>
      </c>
      <c r="J88" s="961"/>
      <c r="K88" s="53">
        <f t="shared" si="10"/>
        <v>1</v>
      </c>
      <c r="L88" s="961"/>
      <c r="M88" s="53">
        <f t="shared" si="11"/>
        <v>1</v>
      </c>
      <c r="N88" s="961"/>
      <c r="O88" s="53">
        <f t="shared" si="12"/>
        <v>1</v>
      </c>
      <c r="P88" s="961"/>
      <c r="Q88" s="53">
        <f t="shared" si="13"/>
        <v>1</v>
      </c>
      <c r="R88" s="489">
        <f t="shared" si="14"/>
        <v>0</v>
      </c>
      <c r="S88" s="798">
        <f t="shared" ref="S88:S151" si="15">ROUND(R88*B88/10000,0)</f>
        <v>0</v>
      </c>
    </row>
    <row r="89" spans="1:19">
      <c r="A89" s="963"/>
      <c r="B89" s="137"/>
      <c r="C89" s="53">
        <f t="shared" si="6"/>
        <v>1</v>
      </c>
      <c r="D89" s="961"/>
      <c r="E89" s="53">
        <f t="shared" si="7"/>
        <v>0</v>
      </c>
      <c r="F89" s="961"/>
      <c r="G89" s="53">
        <f t="shared" si="8"/>
        <v>1</v>
      </c>
      <c r="H89" s="961"/>
      <c r="I89" s="53">
        <f t="shared" si="9"/>
        <v>1</v>
      </c>
      <c r="J89" s="961"/>
      <c r="K89" s="53">
        <f t="shared" si="10"/>
        <v>1</v>
      </c>
      <c r="L89" s="961"/>
      <c r="M89" s="53">
        <f t="shared" si="11"/>
        <v>1</v>
      </c>
      <c r="N89" s="961"/>
      <c r="O89" s="53">
        <f t="shared" si="12"/>
        <v>1</v>
      </c>
      <c r="P89" s="961"/>
      <c r="Q89" s="53">
        <f t="shared" si="13"/>
        <v>1</v>
      </c>
      <c r="R89" s="489">
        <f t="shared" si="14"/>
        <v>0</v>
      </c>
      <c r="S89" s="798">
        <f t="shared" si="15"/>
        <v>0</v>
      </c>
    </row>
    <row r="90" spans="1:19">
      <c r="A90" s="963"/>
      <c r="B90" s="137"/>
      <c r="C90" s="53">
        <f t="shared" ref="C90:C153" si="16">IF(B90="",1,(LOOKUP(B90,$3:$3,$4:$4)-LOOKUP($B$24,$3:$3,$4:$4)+100)/100)</f>
        <v>1</v>
      </c>
      <c r="D90" s="961"/>
      <c r="E90" s="53">
        <f t="shared" ref="E90:E153" si="17">(SUMIF($5:$5,D90,$6:$6)-SUMIF($5:$5,$D$24,$6:$6)+100)/100</f>
        <v>0</v>
      </c>
      <c r="F90" s="961"/>
      <c r="G90" s="53">
        <f t="shared" ref="G90:G153" si="18">(SUMIF($7:$7,F90,$8:$8)-SUMIF($7:$7,$F$24,$8:$8)+100)/100</f>
        <v>1</v>
      </c>
      <c r="H90" s="961"/>
      <c r="I90" s="53">
        <f t="shared" ref="I90:I153" si="19">(SUMIF($9:$9,H90,$10:$10)-SUMIF($9:$9,$H$24,$10:$10)+100)/100</f>
        <v>1</v>
      </c>
      <c r="J90" s="961"/>
      <c r="K90" s="53">
        <f t="shared" ref="K90:K153" si="20">(SUMIF($11:$11,J90,$12:$12)-SUMIF($11:$11,$J$24,$12:$12)+100)/100</f>
        <v>1</v>
      </c>
      <c r="L90" s="961"/>
      <c r="M90" s="53">
        <f t="shared" ref="M90:M153" si="21">(SUMIF($13:$13,L90,$14:$14)-SUMIF($13:$13,$L$24,$14:$14)+100)/100</f>
        <v>1</v>
      </c>
      <c r="N90" s="961"/>
      <c r="O90" s="53">
        <f t="shared" ref="O90:O153" si="22">(SUMIF($15:$15,N90,$16:$16)-SUMIF($15:$15,$N$24,$16:$16)+100)/100</f>
        <v>1</v>
      </c>
      <c r="P90" s="961"/>
      <c r="Q90" s="53">
        <f t="shared" ref="Q90:Q153" si="23">(SUMIF($17:$17,P90,$18:$18)-SUMIF($17:$17,$P$24,$18:$18)+100)/100</f>
        <v>1</v>
      </c>
      <c r="R90" s="489">
        <f t="shared" ref="R90:R153" si="24">IF(B90="",0,ROUND($R$24*C90*E90*G90*I90*K90*M90*O90*Q90,0))</f>
        <v>0</v>
      </c>
      <c r="S90" s="798">
        <f t="shared" si="15"/>
        <v>0</v>
      </c>
    </row>
    <row r="91" spans="1:19">
      <c r="A91" s="963"/>
      <c r="B91" s="137"/>
      <c r="C91" s="53">
        <f t="shared" si="16"/>
        <v>1</v>
      </c>
      <c r="D91" s="961"/>
      <c r="E91" s="53">
        <f t="shared" si="17"/>
        <v>0</v>
      </c>
      <c r="F91" s="961"/>
      <c r="G91" s="53">
        <f t="shared" si="18"/>
        <v>1</v>
      </c>
      <c r="H91" s="961"/>
      <c r="I91" s="53">
        <f t="shared" si="19"/>
        <v>1</v>
      </c>
      <c r="J91" s="961"/>
      <c r="K91" s="53">
        <f t="shared" si="20"/>
        <v>1</v>
      </c>
      <c r="L91" s="961"/>
      <c r="M91" s="53">
        <f t="shared" si="21"/>
        <v>1</v>
      </c>
      <c r="N91" s="961"/>
      <c r="O91" s="53">
        <f t="shared" si="22"/>
        <v>1</v>
      </c>
      <c r="P91" s="961"/>
      <c r="Q91" s="53">
        <f t="shared" si="23"/>
        <v>1</v>
      </c>
      <c r="R91" s="489">
        <f t="shared" si="24"/>
        <v>0</v>
      </c>
      <c r="S91" s="798">
        <f t="shared" si="15"/>
        <v>0</v>
      </c>
    </row>
    <row r="92" spans="1:19">
      <c r="A92" s="963"/>
      <c r="B92" s="137"/>
      <c r="C92" s="53">
        <f t="shared" si="16"/>
        <v>1</v>
      </c>
      <c r="D92" s="961"/>
      <c r="E92" s="53">
        <f t="shared" si="17"/>
        <v>0</v>
      </c>
      <c r="F92" s="961"/>
      <c r="G92" s="53">
        <f t="shared" si="18"/>
        <v>1</v>
      </c>
      <c r="H92" s="961"/>
      <c r="I92" s="53">
        <f t="shared" si="19"/>
        <v>1</v>
      </c>
      <c r="J92" s="961"/>
      <c r="K92" s="53">
        <f t="shared" si="20"/>
        <v>1</v>
      </c>
      <c r="L92" s="961"/>
      <c r="M92" s="53">
        <f t="shared" si="21"/>
        <v>1</v>
      </c>
      <c r="N92" s="961"/>
      <c r="O92" s="53">
        <f t="shared" si="22"/>
        <v>1</v>
      </c>
      <c r="P92" s="961"/>
      <c r="Q92" s="53">
        <f t="shared" si="23"/>
        <v>1</v>
      </c>
      <c r="R92" s="489">
        <f t="shared" si="24"/>
        <v>0</v>
      </c>
      <c r="S92" s="798">
        <f t="shared" si="15"/>
        <v>0</v>
      </c>
    </row>
    <row r="93" spans="1:19">
      <c r="A93" s="963"/>
      <c r="B93" s="137"/>
      <c r="C93" s="53">
        <f t="shared" si="16"/>
        <v>1</v>
      </c>
      <c r="D93" s="961"/>
      <c r="E93" s="53">
        <f t="shared" si="17"/>
        <v>0</v>
      </c>
      <c r="F93" s="961"/>
      <c r="G93" s="53">
        <f t="shared" si="18"/>
        <v>1</v>
      </c>
      <c r="H93" s="961"/>
      <c r="I93" s="53">
        <f t="shared" si="19"/>
        <v>1</v>
      </c>
      <c r="J93" s="961"/>
      <c r="K93" s="53">
        <f t="shared" si="20"/>
        <v>1</v>
      </c>
      <c r="L93" s="961"/>
      <c r="M93" s="53">
        <f t="shared" si="21"/>
        <v>1</v>
      </c>
      <c r="N93" s="961"/>
      <c r="O93" s="53">
        <f t="shared" si="22"/>
        <v>1</v>
      </c>
      <c r="P93" s="961"/>
      <c r="Q93" s="53">
        <f t="shared" si="23"/>
        <v>1</v>
      </c>
      <c r="R93" s="489">
        <f t="shared" si="24"/>
        <v>0</v>
      </c>
      <c r="S93" s="798">
        <f t="shared" si="15"/>
        <v>0</v>
      </c>
    </row>
    <row r="94" spans="1:19">
      <c r="A94" s="963"/>
      <c r="B94" s="137"/>
      <c r="C94" s="53">
        <f t="shared" si="16"/>
        <v>1</v>
      </c>
      <c r="D94" s="961"/>
      <c r="E94" s="53">
        <f t="shared" si="17"/>
        <v>0</v>
      </c>
      <c r="F94" s="961"/>
      <c r="G94" s="53">
        <f t="shared" si="18"/>
        <v>1</v>
      </c>
      <c r="H94" s="961"/>
      <c r="I94" s="53">
        <f t="shared" si="19"/>
        <v>1</v>
      </c>
      <c r="J94" s="961"/>
      <c r="K94" s="53">
        <f t="shared" si="20"/>
        <v>1</v>
      </c>
      <c r="L94" s="961"/>
      <c r="M94" s="53">
        <f t="shared" si="21"/>
        <v>1</v>
      </c>
      <c r="N94" s="961"/>
      <c r="O94" s="53">
        <f t="shared" si="22"/>
        <v>1</v>
      </c>
      <c r="P94" s="961"/>
      <c r="Q94" s="53">
        <f t="shared" si="23"/>
        <v>1</v>
      </c>
      <c r="R94" s="489">
        <f t="shared" si="24"/>
        <v>0</v>
      </c>
      <c r="S94" s="798">
        <f t="shared" si="15"/>
        <v>0</v>
      </c>
    </row>
    <row r="95" spans="1:19">
      <c r="A95" s="963"/>
      <c r="B95" s="137"/>
      <c r="C95" s="53">
        <f t="shared" si="16"/>
        <v>1</v>
      </c>
      <c r="D95" s="961"/>
      <c r="E95" s="53">
        <f t="shared" si="17"/>
        <v>0</v>
      </c>
      <c r="F95" s="961"/>
      <c r="G95" s="53">
        <f t="shared" si="18"/>
        <v>1</v>
      </c>
      <c r="H95" s="961"/>
      <c r="I95" s="53">
        <f t="shared" si="19"/>
        <v>1</v>
      </c>
      <c r="J95" s="961"/>
      <c r="K95" s="53">
        <f t="shared" si="20"/>
        <v>1</v>
      </c>
      <c r="L95" s="961"/>
      <c r="M95" s="53">
        <f t="shared" si="21"/>
        <v>1</v>
      </c>
      <c r="N95" s="961"/>
      <c r="O95" s="53">
        <f t="shared" si="22"/>
        <v>1</v>
      </c>
      <c r="P95" s="961"/>
      <c r="Q95" s="53">
        <f t="shared" si="23"/>
        <v>1</v>
      </c>
      <c r="R95" s="489">
        <f t="shared" si="24"/>
        <v>0</v>
      </c>
      <c r="S95" s="798">
        <f t="shared" si="15"/>
        <v>0</v>
      </c>
    </row>
    <row r="96" spans="1:19">
      <c r="A96" s="963"/>
      <c r="B96" s="137"/>
      <c r="C96" s="53">
        <f t="shared" si="16"/>
        <v>1</v>
      </c>
      <c r="D96" s="961"/>
      <c r="E96" s="53">
        <f t="shared" si="17"/>
        <v>0</v>
      </c>
      <c r="F96" s="961"/>
      <c r="G96" s="53">
        <f t="shared" si="18"/>
        <v>1</v>
      </c>
      <c r="H96" s="961"/>
      <c r="I96" s="53">
        <f t="shared" si="19"/>
        <v>1</v>
      </c>
      <c r="J96" s="961"/>
      <c r="K96" s="53">
        <f t="shared" si="20"/>
        <v>1</v>
      </c>
      <c r="L96" s="961"/>
      <c r="M96" s="53">
        <f t="shared" si="21"/>
        <v>1</v>
      </c>
      <c r="N96" s="961"/>
      <c r="O96" s="53">
        <f t="shared" si="22"/>
        <v>1</v>
      </c>
      <c r="P96" s="961"/>
      <c r="Q96" s="53">
        <f t="shared" si="23"/>
        <v>1</v>
      </c>
      <c r="R96" s="489">
        <f t="shared" si="24"/>
        <v>0</v>
      </c>
      <c r="S96" s="798">
        <f t="shared" si="15"/>
        <v>0</v>
      </c>
    </row>
    <row r="97" spans="1:19">
      <c r="A97" s="963"/>
      <c r="B97" s="137"/>
      <c r="C97" s="53">
        <f t="shared" si="16"/>
        <v>1</v>
      </c>
      <c r="D97" s="961"/>
      <c r="E97" s="53">
        <f t="shared" si="17"/>
        <v>0</v>
      </c>
      <c r="F97" s="961"/>
      <c r="G97" s="53">
        <f t="shared" si="18"/>
        <v>1</v>
      </c>
      <c r="H97" s="961"/>
      <c r="I97" s="53">
        <f t="shared" si="19"/>
        <v>1</v>
      </c>
      <c r="J97" s="961"/>
      <c r="K97" s="53">
        <f t="shared" si="20"/>
        <v>1</v>
      </c>
      <c r="L97" s="961"/>
      <c r="M97" s="53">
        <f t="shared" si="21"/>
        <v>1</v>
      </c>
      <c r="N97" s="961"/>
      <c r="O97" s="53">
        <f t="shared" si="22"/>
        <v>1</v>
      </c>
      <c r="P97" s="961"/>
      <c r="Q97" s="53">
        <f t="shared" si="23"/>
        <v>1</v>
      </c>
      <c r="R97" s="489">
        <f t="shared" si="24"/>
        <v>0</v>
      </c>
      <c r="S97" s="798">
        <f t="shared" si="15"/>
        <v>0</v>
      </c>
    </row>
    <row r="98" spans="1:19">
      <c r="A98" s="963"/>
      <c r="B98" s="137"/>
      <c r="C98" s="53">
        <f t="shared" si="16"/>
        <v>1</v>
      </c>
      <c r="D98" s="961"/>
      <c r="E98" s="53">
        <f t="shared" si="17"/>
        <v>0</v>
      </c>
      <c r="F98" s="961"/>
      <c r="G98" s="53">
        <f t="shared" si="18"/>
        <v>1</v>
      </c>
      <c r="H98" s="961"/>
      <c r="I98" s="53">
        <f t="shared" si="19"/>
        <v>1</v>
      </c>
      <c r="J98" s="961"/>
      <c r="K98" s="53">
        <f t="shared" si="20"/>
        <v>1</v>
      </c>
      <c r="L98" s="961"/>
      <c r="M98" s="53">
        <f t="shared" si="21"/>
        <v>1</v>
      </c>
      <c r="N98" s="961"/>
      <c r="O98" s="53">
        <f t="shared" si="22"/>
        <v>1</v>
      </c>
      <c r="P98" s="961"/>
      <c r="Q98" s="53">
        <f t="shared" si="23"/>
        <v>1</v>
      </c>
      <c r="R98" s="489">
        <f t="shared" si="24"/>
        <v>0</v>
      </c>
      <c r="S98" s="798">
        <f t="shared" si="15"/>
        <v>0</v>
      </c>
    </row>
    <row r="99" spans="1:19">
      <c r="A99" s="963"/>
      <c r="B99" s="137"/>
      <c r="C99" s="53">
        <f t="shared" si="16"/>
        <v>1</v>
      </c>
      <c r="D99" s="961"/>
      <c r="E99" s="53">
        <f t="shared" si="17"/>
        <v>0</v>
      </c>
      <c r="F99" s="961"/>
      <c r="G99" s="53">
        <f t="shared" si="18"/>
        <v>1</v>
      </c>
      <c r="H99" s="961"/>
      <c r="I99" s="53">
        <f t="shared" si="19"/>
        <v>1</v>
      </c>
      <c r="J99" s="961"/>
      <c r="K99" s="53">
        <f t="shared" si="20"/>
        <v>1</v>
      </c>
      <c r="L99" s="961"/>
      <c r="M99" s="53">
        <f t="shared" si="21"/>
        <v>1</v>
      </c>
      <c r="N99" s="961"/>
      <c r="O99" s="53">
        <f t="shared" si="22"/>
        <v>1</v>
      </c>
      <c r="P99" s="961"/>
      <c r="Q99" s="53">
        <f t="shared" si="23"/>
        <v>1</v>
      </c>
      <c r="R99" s="489">
        <f t="shared" si="24"/>
        <v>0</v>
      </c>
      <c r="S99" s="798">
        <f t="shared" si="15"/>
        <v>0</v>
      </c>
    </row>
    <row r="100" spans="1:19">
      <c r="A100" s="963"/>
      <c r="B100" s="137"/>
      <c r="C100" s="53">
        <f t="shared" si="16"/>
        <v>1</v>
      </c>
      <c r="D100" s="961"/>
      <c r="E100" s="53">
        <f t="shared" si="17"/>
        <v>0</v>
      </c>
      <c r="F100" s="961"/>
      <c r="G100" s="53">
        <f t="shared" si="18"/>
        <v>1</v>
      </c>
      <c r="H100" s="961"/>
      <c r="I100" s="53">
        <f t="shared" si="19"/>
        <v>1</v>
      </c>
      <c r="J100" s="961"/>
      <c r="K100" s="53">
        <f t="shared" si="20"/>
        <v>1</v>
      </c>
      <c r="L100" s="961"/>
      <c r="M100" s="53">
        <f t="shared" si="21"/>
        <v>1</v>
      </c>
      <c r="N100" s="961"/>
      <c r="O100" s="53">
        <f t="shared" si="22"/>
        <v>1</v>
      </c>
      <c r="P100" s="961"/>
      <c r="Q100" s="53">
        <f t="shared" si="23"/>
        <v>1</v>
      </c>
      <c r="R100" s="489">
        <f t="shared" si="24"/>
        <v>0</v>
      </c>
      <c r="S100" s="798">
        <f t="shared" si="15"/>
        <v>0</v>
      </c>
    </row>
    <row r="101" spans="1:19">
      <c r="A101" s="963"/>
      <c r="B101" s="137"/>
      <c r="C101" s="53">
        <f t="shared" si="16"/>
        <v>1</v>
      </c>
      <c r="D101" s="961"/>
      <c r="E101" s="53">
        <f t="shared" si="17"/>
        <v>0</v>
      </c>
      <c r="F101" s="961"/>
      <c r="G101" s="53">
        <f t="shared" si="18"/>
        <v>1</v>
      </c>
      <c r="H101" s="961"/>
      <c r="I101" s="53">
        <f t="shared" si="19"/>
        <v>1</v>
      </c>
      <c r="J101" s="961"/>
      <c r="K101" s="53">
        <f t="shared" si="20"/>
        <v>1</v>
      </c>
      <c r="L101" s="961"/>
      <c r="M101" s="53">
        <f t="shared" si="21"/>
        <v>1</v>
      </c>
      <c r="N101" s="961"/>
      <c r="O101" s="53">
        <f t="shared" si="22"/>
        <v>1</v>
      </c>
      <c r="P101" s="961"/>
      <c r="Q101" s="53">
        <f t="shared" si="23"/>
        <v>1</v>
      </c>
      <c r="R101" s="489">
        <f t="shared" si="24"/>
        <v>0</v>
      </c>
      <c r="S101" s="798">
        <f t="shared" si="15"/>
        <v>0</v>
      </c>
    </row>
    <row r="102" spans="1:19">
      <c r="A102" s="963"/>
      <c r="B102" s="137"/>
      <c r="C102" s="53">
        <f t="shared" si="16"/>
        <v>1</v>
      </c>
      <c r="D102" s="961"/>
      <c r="E102" s="53">
        <f t="shared" si="17"/>
        <v>0</v>
      </c>
      <c r="F102" s="961"/>
      <c r="G102" s="53">
        <f t="shared" si="18"/>
        <v>1</v>
      </c>
      <c r="H102" s="961"/>
      <c r="I102" s="53">
        <f t="shared" si="19"/>
        <v>1</v>
      </c>
      <c r="J102" s="961"/>
      <c r="K102" s="53">
        <f t="shared" si="20"/>
        <v>1</v>
      </c>
      <c r="L102" s="961"/>
      <c r="M102" s="53">
        <f t="shared" si="21"/>
        <v>1</v>
      </c>
      <c r="N102" s="961"/>
      <c r="O102" s="53">
        <f t="shared" si="22"/>
        <v>1</v>
      </c>
      <c r="P102" s="961"/>
      <c r="Q102" s="53">
        <f t="shared" si="23"/>
        <v>1</v>
      </c>
      <c r="R102" s="489">
        <f t="shared" si="24"/>
        <v>0</v>
      </c>
      <c r="S102" s="798">
        <f t="shared" si="15"/>
        <v>0</v>
      </c>
    </row>
    <row r="103" spans="1:19">
      <c r="A103" s="963"/>
      <c r="B103" s="137"/>
      <c r="C103" s="53">
        <f t="shared" si="16"/>
        <v>1</v>
      </c>
      <c r="D103" s="961"/>
      <c r="E103" s="53">
        <f t="shared" si="17"/>
        <v>0</v>
      </c>
      <c r="F103" s="961"/>
      <c r="G103" s="53">
        <f t="shared" si="18"/>
        <v>1</v>
      </c>
      <c r="H103" s="961"/>
      <c r="I103" s="53">
        <f t="shared" si="19"/>
        <v>1</v>
      </c>
      <c r="J103" s="961"/>
      <c r="K103" s="53">
        <f t="shared" si="20"/>
        <v>1</v>
      </c>
      <c r="L103" s="961"/>
      <c r="M103" s="53">
        <f t="shared" si="21"/>
        <v>1</v>
      </c>
      <c r="N103" s="961"/>
      <c r="O103" s="53">
        <f t="shared" si="22"/>
        <v>1</v>
      </c>
      <c r="P103" s="961"/>
      <c r="Q103" s="53">
        <f t="shared" si="23"/>
        <v>1</v>
      </c>
      <c r="R103" s="489">
        <f t="shared" si="24"/>
        <v>0</v>
      </c>
      <c r="S103" s="798">
        <f t="shared" si="15"/>
        <v>0</v>
      </c>
    </row>
    <row r="104" spans="1:19">
      <c r="A104" s="963"/>
      <c r="B104" s="137"/>
      <c r="C104" s="53">
        <f t="shared" si="16"/>
        <v>1</v>
      </c>
      <c r="D104" s="961"/>
      <c r="E104" s="53">
        <f t="shared" si="17"/>
        <v>0</v>
      </c>
      <c r="F104" s="961"/>
      <c r="G104" s="53">
        <f t="shared" si="18"/>
        <v>1</v>
      </c>
      <c r="H104" s="961"/>
      <c r="I104" s="53">
        <f t="shared" si="19"/>
        <v>1</v>
      </c>
      <c r="J104" s="961"/>
      <c r="K104" s="53">
        <f t="shared" si="20"/>
        <v>1</v>
      </c>
      <c r="L104" s="961"/>
      <c r="M104" s="53">
        <f t="shared" si="21"/>
        <v>1</v>
      </c>
      <c r="N104" s="961"/>
      <c r="O104" s="53">
        <f t="shared" si="22"/>
        <v>1</v>
      </c>
      <c r="P104" s="961"/>
      <c r="Q104" s="53">
        <f t="shared" si="23"/>
        <v>1</v>
      </c>
      <c r="R104" s="489">
        <f t="shared" si="24"/>
        <v>0</v>
      </c>
      <c r="S104" s="798">
        <f t="shared" si="15"/>
        <v>0</v>
      </c>
    </row>
    <row r="105" spans="1:19">
      <c r="A105" s="963"/>
      <c r="B105" s="137"/>
      <c r="C105" s="53">
        <f t="shared" si="16"/>
        <v>1</v>
      </c>
      <c r="D105" s="961"/>
      <c r="E105" s="53">
        <f t="shared" si="17"/>
        <v>0</v>
      </c>
      <c r="F105" s="961"/>
      <c r="G105" s="53">
        <f t="shared" si="18"/>
        <v>1</v>
      </c>
      <c r="H105" s="961"/>
      <c r="I105" s="53">
        <f t="shared" si="19"/>
        <v>1</v>
      </c>
      <c r="J105" s="961"/>
      <c r="K105" s="53">
        <f t="shared" si="20"/>
        <v>1</v>
      </c>
      <c r="L105" s="961"/>
      <c r="M105" s="53">
        <f t="shared" si="21"/>
        <v>1</v>
      </c>
      <c r="N105" s="961"/>
      <c r="O105" s="53">
        <f t="shared" si="22"/>
        <v>1</v>
      </c>
      <c r="P105" s="961"/>
      <c r="Q105" s="53">
        <f t="shared" si="23"/>
        <v>1</v>
      </c>
      <c r="R105" s="489">
        <f t="shared" si="24"/>
        <v>0</v>
      </c>
      <c r="S105" s="798">
        <f t="shared" si="15"/>
        <v>0</v>
      </c>
    </row>
    <row r="106" spans="1:19">
      <c r="A106" s="963"/>
      <c r="B106" s="137"/>
      <c r="C106" s="53">
        <f t="shared" si="16"/>
        <v>1</v>
      </c>
      <c r="D106" s="961"/>
      <c r="E106" s="53">
        <f t="shared" si="17"/>
        <v>0</v>
      </c>
      <c r="F106" s="961"/>
      <c r="G106" s="53">
        <f t="shared" si="18"/>
        <v>1</v>
      </c>
      <c r="H106" s="961"/>
      <c r="I106" s="53">
        <f t="shared" si="19"/>
        <v>1</v>
      </c>
      <c r="J106" s="961"/>
      <c r="K106" s="53">
        <f t="shared" si="20"/>
        <v>1</v>
      </c>
      <c r="L106" s="961"/>
      <c r="M106" s="53">
        <f t="shared" si="21"/>
        <v>1</v>
      </c>
      <c r="N106" s="961"/>
      <c r="O106" s="53">
        <f t="shared" si="22"/>
        <v>1</v>
      </c>
      <c r="P106" s="961"/>
      <c r="Q106" s="53">
        <f t="shared" si="23"/>
        <v>1</v>
      </c>
      <c r="R106" s="489">
        <f t="shared" si="24"/>
        <v>0</v>
      </c>
      <c r="S106" s="798">
        <f t="shared" si="15"/>
        <v>0</v>
      </c>
    </row>
    <row r="107" spans="1:19">
      <c r="A107" s="963"/>
      <c r="B107" s="137"/>
      <c r="C107" s="53">
        <f t="shared" si="16"/>
        <v>1</v>
      </c>
      <c r="D107" s="961"/>
      <c r="E107" s="53">
        <f t="shared" si="17"/>
        <v>0</v>
      </c>
      <c r="F107" s="961"/>
      <c r="G107" s="53">
        <f t="shared" si="18"/>
        <v>1</v>
      </c>
      <c r="H107" s="961"/>
      <c r="I107" s="53">
        <f t="shared" si="19"/>
        <v>1</v>
      </c>
      <c r="J107" s="961"/>
      <c r="K107" s="53">
        <f t="shared" si="20"/>
        <v>1</v>
      </c>
      <c r="L107" s="961"/>
      <c r="M107" s="53">
        <f t="shared" si="21"/>
        <v>1</v>
      </c>
      <c r="N107" s="961"/>
      <c r="O107" s="53">
        <f t="shared" si="22"/>
        <v>1</v>
      </c>
      <c r="P107" s="961"/>
      <c r="Q107" s="53">
        <f t="shared" si="23"/>
        <v>1</v>
      </c>
      <c r="R107" s="489">
        <f t="shared" si="24"/>
        <v>0</v>
      </c>
      <c r="S107" s="798">
        <f t="shared" si="15"/>
        <v>0</v>
      </c>
    </row>
    <row r="108" spans="1:19">
      <c r="A108" s="963"/>
      <c r="B108" s="137"/>
      <c r="C108" s="53">
        <f t="shared" si="16"/>
        <v>1</v>
      </c>
      <c r="D108" s="961"/>
      <c r="E108" s="53">
        <f t="shared" si="17"/>
        <v>0</v>
      </c>
      <c r="F108" s="961"/>
      <c r="G108" s="53">
        <f t="shared" si="18"/>
        <v>1</v>
      </c>
      <c r="H108" s="961"/>
      <c r="I108" s="53">
        <f t="shared" si="19"/>
        <v>1</v>
      </c>
      <c r="J108" s="961"/>
      <c r="K108" s="53">
        <f t="shared" si="20"/>
        <v>1</v>
      </c>
      <c r="L108" s="961"/>
      <c r="M108" s="53">
        <f t="shared" si="21"/>
        <v>1</v>
      </c>
      <c r="N108" s="961"/>
      <c r="O108" s="53">
        <f t="shared" si="22"/>
        <v>1</v>
      </c>
      <c r="P108" s="961"/>
      <c r="Q108" s="53">
        <f t="shared" si="23"/>
        <v>1</v>
      </c>
      <c r="R108" s="489">
        <f t="shared" si="24"/>
        <v>0</v>
      </c>
      <c r="S108" s="798">
        <f t="shared" si="15"/>
        <v>0</v>
      </c>
    </row>
    <row r="109" spans="1:19">
      <c r="A109" s="963"/>
      <c r="B109" s="137"/>
      <c r="C109" s="53">
        <f t="shared" si="16"/>
        <v>1</v>
      </c>
      <c r="D109" s="961"/>
      <c r="E109" s="53">
        <f t="shared" si="17"/>
        <v>0</v>
      </c>
      <c r="F109" s="961"/>
      <c r="G109" s="53">
        <f t="shared" si="18"/>
        <v>1</v>
      </c>
      <c r="H109" s="961"/>
      <c r="I109" s="53">
        <f t="shared" si="19"/>
        <v>1</v>
      </c>
      <c r="J109" s="961"/>
      <c r="K109" s="53">
        <f t="shared" si="20"/>
        <v>1</v>
      </c>
      <c r="L109" s="961"/>
      <c r="M109" s="53">
        <f t="shared" si="21"/>
        <v>1</v>
      </c>
      <c r="N109" s="961"/>
      <c r="O109" s="53">
        <f t="shared" si="22"/>
        <v>1</v>
      </c>
      <c r="P109" s="961"/>
      <c r="Q109" s="53">
        <f t="shared" si="23"/>
        <v>1</v>
      </c>
      <c r="R109" s="489">
        <f t="shared" si="24"/>
        <v>0</v>
      </c>
      <c r="S109" s="798">
        <f t="shared" si="15"/>
        <v>0</v>
      </c>
    </row>
    <row r="110" spans="1:19">
      <c r="A110" s="963"/>
      <c r="B110" s="137"/>
      <c r="C110" s="53">
        <f t="shared" si="16"/>
        <v>1</v>
      </c>
      <c r="D110" s="961"/>
      <c r="E110" s="53">
        <f t="shared" si="17"/>
        <v>0</v>
      </c>
      <c r="F110" s="961"/>
      <c r="G110" s="53">
        <f t="shared" si="18"/>
        <v>1</v>
      </c>
      <c r="H110" s="961"/>
      <c r="I110" s="53">
        <f t="shared" si="19"/>
        <v>1</v>
      </c>
      <c r="J110" s="961"/>
      <c r="K110" s="53">
        <f t="shared" si="20"/>
        <v>1</v>
      </c>
      <c r="L110" s="961"/>
      <c r="M110" s="53">
        <f t="shared" si="21"/>
        <v>1</v>
      </c>
      <c r="N110" s="961"/>
      <c r="O110" s="53">
        <f t="shared" si="22"/>
        <v>1</v>
      </c>
      <c r="P110" s="961"/>
      <c r="Q110" s="53">
        <f t="shared" si="23"/>
        <v>1</v>
      </c>
      <c r="R110" s="489">
        <f t="shared" si="24"/>
        <v>0</v>
      </c>
      <c r="S110" s="798">
        <f t="shared" si="15"/>
        <v>0</v>
      </c>
    </row>
    <row r="111" spans="1:19">
      <c r="A111" s="963"/>
      <c r="B111" s="137"/>
      <c r="C111" s="53">
        <f t="shared" si="16"/>
        <v>1</v>
      </c>
      <c r="D111" s="961"/>
      <c r="E111" s="53">
        <f t="shared" si="17"/>
        <v>0</v>
      </c>
      <c r="F111" s="961"/>
      <c r="G111" s="53">
        <f t="shared" si="18"/>
        <v>1</v>
      </c>
      <c r="H111" s="961"/>
      <c r="I111" s="53">
        <f t="shared" si="19"/>
        <v>1</v>
      </c>
      <c r="J111" s="961"/>
      <c r="K111" s="53">
        <f t="shared" si="20"/>
        <v>1</v>
      </c>
      <c r="L111" s="961"/>
      <c r="M111" s="53">
        <f t="shared" si="21"/>
        <v>1</v>
      </c>
      <c r="N111" s="961"/>
      <c r="O111" s="53">
        <f t="shared" si="22"/>
        <v>1</v>
      </c>
      <c r="P111" s="961"/>
      <c r="Q111" s="53">
        <f t="shared" si="23"/>
        <v>1</v>
      </c>
      <c r="R111" s="489">
        <f t="shared" si="24"/>
        <v>0</v>
      </c>
      <c r="S111" s="798">
        <f t="shared" si="15"/>
        <v>0</v>
      </c>
    </row>
    <row r="112" spans="1:19">
      <c r="A112" s="963"/>
      <c r="B112" s="137"/>
      <c r="C112" s="53">
        <f t="shared" si="16"/>
        <v>1</v>
      </c>
      <c r="D112" s="961"/>
      <c r="E112" s="53">
        <f t="shared" si="17"/>
        <v>0</v>
      </c>
      <c r="F112" s="961"/>
      <c r="G112" s="53">
        <f t="shared" si="18"/>
        <v>1</v>
      </c>
      <c r="H112" s="961"/>
      <c r="I112" s="53">
        <f t="shared" si="19"/>
        <v>1</v>
      </c>
      <c r="J112" s="961"/>
      <c r="K112" s="53">
        <f t="shared" si="20"/>
        <v>1</v>
      </c>
      <c r="L112" s="961"/>
      <c r="M112" s="53">
        <f t="shared" si="21"/>
        <v>1</v>
      </c>
      <c r="N112" s="961"/>
      <c r="O112" s="53">
        <f t="shared" si="22"/>
        <v>1</v>
      </c>
      <c r="P112" s="961"/>
      <c r="Q112" s="53">
        <f t="shared" si="23"/>
        <v>1</v>
      </c>
      <c r="R112" s="489">
        <f t="shared" si="24"/>
        <v>0</v>
      </c>
      <c r="S112" s="798">
        <f t="shared" si="15"/>
        <v>0</v>
      </c>
    </row>
    <row r="113" spans="1:19">
      <c r="A113" s="963"/>
      <c r="B113" s="137"/>
      <c r="C113" s="53">
        <f t="shared" si="16"/>
        <v>1</v>
      </c>
      <c r="D113" s="961"/>
      <c r="E113" s="53">
        <f t="shared" si="17"/>
        <v>0</v>
      </c>
      <c r="F113" s="961"/>
      <c r="G113" s="53">
        <f t="shared" si="18"/>
        <v>1</v>
      </c>
      <c r="H113" s="961"/>
      <c r="I113" s="53">
        <f t="shared" si="19"/>
        <v>1</v>
      </c>
      <c r="J113" s="961"/>
      <c r="K113" s="53">
        <f t="shared" si="20"/>
        <v>1</v>
      </c>
      <c r="L113" s="961"/>
      <c r="M113" s="53">
        <f t="shared" si="21"/>
        <v>1</v>
      </c>
      <c r="N113" s="961"/>
      <c r="O113" s="53">
        <f t="shared" si="22"/>
        <v>1</v>
      </c>
      <c r="P113" s="961"/>
      <c r="Q113" s="53">
        <f t="shared" si="23"/>
        <v>1</v>
      </c>
      <c r="R113" s="489">
        <f t="shared" si="24"/>
        <v>0</v>
      </c>
      <c r="S113" s="798">
        <f t="shared" si="15"/>
        <v>0</v>
      </c>
    </row>
    <row r="114" spans="1:19">
      <c r="A114" s="963"/>
      <c r="B114" s="137"/>
      <c r="C114" s="53">
        <f t="shared" si="16"/>
        <v>1</v>
      </c>
      <c r="D114" s="961"/>
      <c r="E114" s="53">
        <f t="shared" si="17"/>
        <v>0</v>
      </c>
      <c r="F114" s="961"/>
      <c r="G114" s="53">
        <f t="shared" si="18"/>
        <v>1</v>
      </c>
      <c r="H114" s="961"/>
      <c r="I114" s="53">
        <f t="shared" si="19"/>
        <v>1</v>
      </c>
      <c r="J114" s="961"/>
      <c r="K114" s="53">
        <f t="shared" si="20"/>
        <v>1</v>
      </c>
      <c r="L114" s="961"/>
      <c r="M114" s="53">
        <f t="shared" si="21"/>
        <v>1</v>
      </c>
      <c r="N114" s="961"/>
      <c r="O114" s="53">
        <f t="shared" si="22"/>
        <v>1</v>
      </c>
      <c r="P114" s="961"/>
      <c r="Q114" s="53">
        <f t="shared" si="23"/>
        <v>1</v>
      </c>
      <c r="R114" s="489">
        <f t="shared" si="24"/>
        <v>0</v>
      </c>
      <c r="S114" s="798">
        <f t="shared" si="15"/>
        <v>0</v>
      </c>
    </row>
    <row r="115" spans="1:19">
      <c r="A115" s="963"/>
      <c r="B115" s="137"/>
      <c r="C115" s="53">
        <f t="shared" si="16"/>
        <v>1</v>
      </c>
      <c r="D115" s="961"/>
      <c r="E115" s="53">
        <f t="shared" si="17"/>
        <v>0</v>
      </c>
      <c r="F115" s="961"/>
      <c r="G115" s="53">
        <f t="shared" si="18"/>
        <v>1</v>
      </c>
      <c r="H115" s="961"/>
      <c r="I115" s="53">
        <f t="shared" si="19"/>
        <v>1</v>
      </c>
      <c r="J115" s="961"/>
      <c r="K115" s="53">
        <f t="shared" si="20"/>
        <v>1</v>
      </c>
      <c r="L115" s="961"/>
      <c r="M115" s="53">
        <f t="shared" si="21"/>
        <v>1</v>
      </c>
      <c r="N115" s="961"/>
      <c r="O115" s="53">
        <f t="shared" si="22"/>
        <v>1</v>
      </c>
      <c r="P115" s="961"/>
      <c r="Q115" s="53">
        <f t="shared" si="23"/>
        <v>1</v>
      </c>
      <c r="R115" s="489">
        <f t="shared" si="24"/>
        <v>0</v>
      </c>
      <c r="S115" s="798">
        <f t="shared" si="15"/>
        <v>0</v>
      </c>
    </row>
    <row r="116" spans="1:19">
      <c r="A116" s="963"/>
      <c r="B116" s="137"/>
      <c r="C116" s="53">
        <f t="shared" si="16"/>
        <v>1</v>
      </c>
      <c r="D116" s="961"/>
      <c r="E116" s="53">
        <f t="shared" si="17"/>
        <v>0</v>
      </c>
      <c r="F116" s="961"/>
      <c r="G116" s="53">
        <f t="shared" si="18"/>
        <v>1</v>
      </c>
      <c r="H116" s="961"/>
      <c r="I116" s="53">
        <f t="shared" si="19"/>
        <v>1</v>
      </c>
      <c r="J116" s="961"/>
      <c r="K116" s="53">
        <f t="shared" si="20"/>
        <v>1</v>
      </c>
      <c r="L116" s="961"/>
      <c r="M116" s="53">
        <f t="shared" si="21"/>
        <v>1</v>
      </c>
      <c r="N116" s="961"/>
      <c r="O116" s="53">
        <f t="shared" si="22"/>
        <v>1</v>
      </c>
      <c r="P116" s="961"/>
      <c r="Q116" s="53">
        <f t="shared" si="23"/>
        <v>1</v>
      </c>
      <c r="R116" s="489">
        <f t="shared" si="24"/>
        <v>0</v>
      </c>
      <c r="S116" s="798">
        <f t="shared" si="15"/>
        <v>0</v>
      </c>
    </row>
    <row r="117" spans="1:19">
      <c r="A117" s="963"/>
      <c r="B117" s="137"/>
      <c r="C117" s="53">
        <f t="shared" si="16"/>
        <v>1</v>
      </c>
      <c r="D117" s="961"/>
      <c r="E117" s="53">
        <f t="shared" si="17"/>
        <v>0</v>
      </c>
      <c r="F117" s="961"/>
      <c r="G117" s="53">
        <f t="shared" si="18"/>
        <v>1</v>
      </c>
      <c r="H117" s="961"/>
      <c r="I117" s="53">
        <f t="shared" si="19"/>
        <v>1</v>
      </c>
      <c r="J117" s="961"/>
      <c r="K117" s="53">
        <f t="shared" si="20"/>
        <v>1</v>
      </c>
      <c r="L117" s="961"/>
      <c r="M117" s="53">
        <f t="shared" si="21"/>
        <v>1</v>
      </c>
      <c r="N117" s="961"/>
      <c r="O117" s="53">
        <f t="shared" si="22"/>
        <v>1</v>
      </c>
      <c r="P117" s="961"/>
      <c r="Q117" s="53">
        <f t="shared" si="23"/>
        <v>1</v>
      </c>
      <c r="R117" s="489">
        <f t="shared" si="24"/>
        <v>0</v>
      </c>
      <c r="S117" s="798">
        <f t="shared" si="15"/>
        <v>0</v>
      </c>
    </row>
    <row r="118" spans="1:19">
      <c r="A118" s="963"/>
      <c r="B118" s="137"/>
      <c r="C118" s="53">
        <f t="shared" si="16"/>
        <v>1</v>
      </c>
      <c r="D118" s="961"/>
      <c r="E118" s="53">
        <f t="shared" si="17"/>
        <v>0</v>
      </c>
      <c r="F118" s="961"/>
      <c r="G118" s="53">
        <f t="shared" si="18"/>
        <v>1</v>
      </c>
      <c r="H118" s="961"/>
      <c r="I118" s="53">
        <f t="shared" si="19"/>
        <v>1</v>
      </c>
      <c r="J118" s="961"/>
      <c r="K118" s="53">
        <f t="shared" si="20"/>
        <v>1</v>
      </c>
      <c r="L118" s="961"/>
      <c r="M118" s="53">
        <f t="shared" si="21"/>
        <v>1</v>
      </c>
      <c r="N118" s="961"/>
      <c r="O118" s="53">
        <f t="shared" si="22"/>
        <v>1</v>
      </c>
      <c r="P118" s="961"/>
      <c r="Q118" s="53">
        <f t="shared" si="23"/>
        <v>1</v>
      </c>
      <c r="R118" s="489">
        <f t="shared" si="24"/>
        <v>0</v>
      </c>
      <c r="S118" s="798">
        <f t="shared" si="15"/>
        <v>0</v>
      </c>
    </row>
    <row r="119" spans="1:19">
      <c r="A119" s="963"/>
      <c r="B119" s="137"/>
      <c r="C119" s="53">
        <f t="shared" si="16"/>
        <v>1</v>
      </c>
      <c r="D119" s="961"/>
      <c r="E119" s="53">
        <f t="shared" si="17"/>
        <v>0</v>
      </c>
      <c r="F119" s="961"/>
      <c r="G119" s="53">
        <f t="shared" si="18"/>
        <v>1</v>
      </c>
      <c r="H119" s="961"/>
      <c r="I119" s="53">
        <f t="shared" si="19"/>
        <v>1</v>
      </c>
      <c r="J119" s="961"/>
      <c r="K119" s="53">
        <f t="shared" si="20"/>
        <v>1</v>
      </c>
      <c r="L119" s="961"/>
      <c r="M119" s="53">
        <f t="shared" si="21"/>
        <v>1</v>
      </c>
      <c r="N119" s="961"/>
      <c r="O119" s="53">
        <f t="shared" si="22"/>
        <v>1</v>
      </c>
      <c r="P119" s="961"/>
      <c r="Q119" s="53">
        <f t="shared" si="23"/>
        <v>1</v>
      </c>
      <c r="R119" s="489">
        <f t="shared" si="24"/>
        <v>0</v>
      </c>
      <c r="S119" s="798">
        <f t="shared" si="15"/>
        <v>0</v>
      </c>
    </row>
    <row r="120" spans="1:19">
      <c r="A120" s="963"/>
      <c r="B120" s="137"/>
      <c r="C120" s="53">
        <f t="shared" si="16"/>
        <v>1</v>
      </c>
      <c r="D120" s="961"/>
      <c r="E120" s="53">
        <f t="shared" si="17"/>
        <v>0</v>
      </c>
      <c r="F120" s="961"/>
      <c r="G120" s="53">
        <f t="shared" si="18"/>
        <v>1</v>
      </c>
      <c r="H120" s="961"/>
      <c r="I120" s="53">
        <f t="shared" si="19"/>
        <v>1</v>
      </c>
      <c r="J120" s="961"/>
      <c r="K120" s="53">
        <f t="shared" si="20"/>
        <v>1</v>
      </c>
      <c r="L120" s="961"/>
      <c r="M120" s="53">
        <f t="shared" si="21"/>
        <v>1</v>
      </c>
      <c r="N120" s="961"/>
      <c r="O120" s="53">
        <f t="shared" si="22"/>
        <v>1</v>
      </c>
      <c r="P120" s="961"/>
      <c r="Q120" s="53">
        <f t="shared" si="23"/>
        <v>1</v>
      </c>
      <c r="R120" s="489">
        <f t="shared" si="24"/>
        <v>0</v>
      </c>
      <c r="S120" s="798">
        <f t="shared" si="15"/>
        <v>0</v>
      </c>
    </row>
    <row r="121" spans="1:19">
      <c r="A121" s="963"/>
      <c r="B121" s="137"/>
      <c r="C121" s="53">
        <f t="shared" si="16"/>
        <v>1</v>
      </c>
      <c r="D121" s="961"/>
      <c r="E121" s="53">
        <f t="shared" si="17"/>
        <v>0</v>
      </c>
      <c r="F121" s="961"/>
      <c r="G121" s="53">
        <f t="shared" si="18"/>
        <v>1</v>
      </c>
      <c r="H121" s="961"/>
      <c r="I121" s="53">
        <f t="shared" si="19"/>
        <v>1</v>
      </c>
      <c r="J121" s="961"/>
      <c r="K121" s="53">
        <f t="shared" si="20"/>
        <v>1</v>
      </c>
      <c r="L121" s="961"/>
      <c r="M121" s="53">
        <f t="shared" si="21"/>
        <v>1</v>
      </c>
      <c r="N121" s="961"/>
      <c r="O121" s="53">
        <f t="shared" si="22"/>
        <v>1</v>
      </c>
      <c r="P121" s="961"/>
      <c r="Q121" s="53">
        <f t="shared" si="23"/>
        <v>1</v>
      </c>
      <c r="R121" s="489">
        <f t="shared" si="24"/>
        <v>0</v>
      </c>
      <c r="S121" s="798">
        <f t="shared" si="15"/>
        <v>0</v>
      </c>
    </row>
    <row r="122" spans="1:19">
      <c r="A122" s="963"/>
      <c r="B122" s="137"/>
      <c r="C122" s="53">
        <f t="shared" si="16"/>
        <v>1</v>
      </c>
      <c r="D122" s="961"/>
      <c r="E122" s="53">
        <f t="shared" si="17"/>
        <v>0</v>
      </c>
      <c r="F122" s="961"/>
      <c r="G122" s="53">
        <f t="shared" si="18"/>
        <v>1</v>
      </c>
      <c r="H122" s="961"/>
      <c r="I122" s="53">
        <f t="shared" si="19"/>
        <v>1</v>
      </c>
      <c r="J122" s="961"/>
      <c r="K122" s="53">
        <f t="shared" si="20"/>
        <v>1</v>
      </c>
      <c r="L122" s="961"/>
      <c r="M122" s="53">
        <f t="shared" si="21"/>
        <v>1</v>
      </c>
      <c r="N122" s="961"/>
      <c r="O122" s="53">
        <f t="shared" si="22"/>
        <v>1</v>
      </c>
      <c r="P122" s="961"/>
      <c r="Q122" s="53">
        <f t="shared" si="23"/>
        <v>1</v>
      </c>
      <c r="R122" s="489">
        <f t="shared" si="24"/>
        <v>0</v>
      </c>
      <c r="S122" s="798">
        <f t="shared" si="15"/>
        <v>0</v>
      </c>
    </row>
    <row r="123" spans="1:19">
      <c r="A123" s="963"/>
      <c r="B123" s="137"/>
      <c r="C123" s="53">
        <f t="shared" si="16"/>
        <v>1</v>
      </c>
      <c r="D123" s="961"/>
      <c r="E123" s="53">
        <f t="shared" si="17"/>
        <v>0</v>
      </c>
      <c r="F123" s="961"/>
      <c r="G123" s="53">
        <f t="shared" si="18"/>
        <v>1</v>
      </c>
      <c r="H123" s="961"/>
      <c r="I123" s="53">
        <f t="shared" si="19"/>
        <v>1</v>
      </c>
      <c r="J123" s="961"/>
      <c r="K123" s="53">
        <f t="shared" si="20"/>
        <v>1</v>
      </c>
      <c r="L123" s="961"/>
      <c r="M123" s="53">
        <f t="shared" si="21"/>
        <v>1</v>
      </c>
      <c r="N123" s="961"/>
      <c r="O123" s="53">
        <f t="shared" si="22"/>
        <v>1</v>
      </c>
      <c r="P123" s="961"/>
      <c r="Q123" s="53">
        <f t="shared" si="23"/>
        <v>1</v>
      </c>
      <c r="R123" s="489">
        <f t="shared" si="24"/>
        <v>0</v>
      </c>
      <c r="S123" s="798">
        <f t="shared" si="15"/>
        <v>0</v>
      </c>
    </row>
    <row r="124" spans="1:19">
      <c r="A124" s="963"/>
      <c r="B124" s="137"/>
      <c r="C124" s="53">
        <f t="shared" si="16"/>
        <v>1</v>
      </c>
      <c r="D124" s="961"/>
      <c r="E124" s="53">
        <f t="shared" si="17"/>
        <v>0</v>
      </c>
      <c r="F124" s="961"/>
      <c r="G124" s="53">
        <f t="shared" si="18"/>
        <v>1</v>
      </c>
      <c r="H124" s="961"/>
      <c r="I124" s="53">
        <f t="shared" si="19"/>
        <v>1</v>
      </c>
      <c r="J124" s="961"/>
      <c r="K124" s="53">
        <f t="shared" si="20"/>
        <v>1</v>
      </c>
      <c r="L124" s="961"/>
      <c r="M124" s="53">
        <f t="shared" si="21"/>
        <v>1</v>
      </c>
      <c r="N124" s="961"/>
      <c r="O124" s="53">
        <f t="shared" si="22"/>
        <v>1</v>
      </c>
      <c r="P124" s="961"/>
      <c r="Q124" s="53">
        <f t="shared" si="23"/>
        <v>1</v>
      </c>
      <c r="R124" s="489">
        <f t="shared" si="24"/>
        <v>0</v>
      </c>
      <c r="S124" s="798">
        <f t="shared" si="15"/>
        <v>0</v>
      </c>
    </row>
    <row r="125" spans="1:19">
      <c r="A125" s="963"/>
      <c r="B125" s="137"/>
      <c r="C125" s="53">
        <f t="shared" si="16"/>
        <v>1</v>
      </c>
      <c r="D125" s="961"/>
      <c r="E125" s="53">
        <f t="shared" si="17"/>
        <v>0</v>
      </c>
      <c r="F125" s="961"/>
      <c r="G125" s="53">
        <f t="shared" si="18"/>
        <v>1</v>
      </c>
      <c r="H125" s="961"/>
      <c r="I125" s="53">
        <f t="shared" si="19"/>
        <v>1</v>
      </c>
      <c r="J125" s="961"/>
      <c r="K125" s="53">
        <f t="shared" si="20"/>
        <v>1</v>
      </c>
      <c r="L125" s="961"/>
      <c r="M125" s="53">
        <f t="shared" si="21"/>
        <v>1</v>
      </c>
      <c r="N125" s="961"/>
      <c r="O125" s="53">
        <f t="shared" si="22"/>
        <v>1</v>
      </c>
      <c r="P125" s="961"/>
      <c r="Q125" s="53">
        <f t="shared" si="23"/>
        <v>1</v>
      </c>
      <c r="R125" s="489">
        <f t="shared" si="24"/>
        <v>0</v>
      </c>
      <c r="S125" s="798">
        <f t="shared" si="15"/>
        <v>0</v>
      </c>
    </row>
    <row r="126" spans="1:19">
      <c r="A126" s="963"/>
      <c r="B126" s="137"/>
      <c r="C126" s="53">
        <f t="shared" si="16"/>
        <v>1</v>
      </c>
      <c r="D126" s="961"/>
      <c r="E126" s="53">
        <f t="shared" si="17"/>
        <v>0</v>
      </c>
      <c r="F126" s="961"/>
      <c r="G126" s="53">
        <f t="shared" si="18"/>
        <v>1</v>
      </c>
      <c r="H126" s="961"/>
      <c r="I126" s="53">
        <f t="shared" si="19"/>
        <v>1</v>
      </c>
      <c r="J126" s="961"/>
      <c r="K126" s="53">
        <f t="shared" si="20"/>
        <v>1</v>
      </c>
      <c r="L126" s="961"/>
      <c r="M126" s="53">
        <f t="shared" si="21"/>
        <v>1</v>
      </c>
      <c r="N126" s="961"/>
      <c r="O126" s="53">
        <f t="shared" si="22"/>
        <v>1</v>
      </c>
      <c r="P126" s="961"/>
      <c r="Q126" s="53">
        <f t="shared" si="23"/>
        <v>1</v>
      </c>
      <c r="R126" s="489">
        <f t="shared" si="24"/>
        <v>0</v>
      </c>
      <c r="S126" s="798">
        <f t="shared" si="15"/>
        <v>0</v>
      </c>
    </row>
    <row r="127" spans="1:19">
      <c r="A127" s="963"/>
      <c r="B127" s="137"/>
      <c r="C127" s="53">
        <f t="shared" si="16"/>
        <v>1</v>
      </c>
      <c r="D127" s="961"/>
      <c r="E127" s="53">
        <f t="shared" si="17"/>
        <v>0</v>
      </c>
      <c r="F127" s="961"/>
      <c r="G127" s="53">
        <f t="shared" si="18"/>
        <v>1</v>
      </c>
      <c r="H127" s="961"/>
      <c r="I127" s="53">
        <f t="shared" si="19"/>
        <v>1</v>
      </c>
      <c r="J127" s="961"/>
      <c r="K127" s="53">
        <f t="shared" si="20"/>
        <v>1</v>
      </c>
      <c r="L127" s="961"/>
      <c r="M127" s="53">
        <f t="shared" si="21"/>
        <v>1</v>
      </c>
      <c r="N127" s="961"/>
      <c r="O127" s="53">
        <f t="shared" si="22"/>
        <v>1</v>
      </c>
      <c r="P127" s="961"/>
      <c r="Q127" s="53">
        <f t="shared" si="23"/>
        <v>1</v>
      </c>
      <c r="R127" s="489">
        <f t="shared" si="24"/>
        <v>0</v>
      </c>
      <c r="S127" s="798">
        <f t="shared" si="15"/>
        <v>0</v>
      </c>
    </row>
    <row r="128" spans="1:19">
      <c r="A128" s="963"/>
      <c r="B128" s="137"/>
      <c r="C128" s="53">
        <f t="shared" si="16"/>
        <v>1</v>
      </c>
      <c r="D128" s="961"/>
      <c r="E128" s="53">
        <f t="shared" si="17"/>
        <v>0</v>
      </c>
      <c r="F128" s="961"/>
      <c r="G128" s="53">
        <f t="shared" si="18"/>
        <v>1</v>
      </c>
      <c r="H128" s="961"/>
      <c r="I128" s="53">
        <f t="shared" si="19"/>
        <v>1</v>
      </c>
      <c r="J128" s="961"/>
      <c r="K128" s="53">
        <f t="shared" si="20"/>
        <v>1</v>
      </c>
      <c r="L128" s="961"/>
      <c r="M128" s="53">
        <f t="shared" si="21"/>
        <v>1</v>
      </c>
      <c r="N128" s="961"/>
      <c r="O128" s="53">
        <f t="shared" si="22"/>
        <v>1</v>
      </c>
      <c r="P128" s="961"/>
      <c r="Q128" s="53">
        <f t="shared" si="23"/>
        <v>1</v>
      </c>
      <c r="R128" s="489">
        <f t="shared" si="24"/>
        <v>0</v>
      </c>
      <c r="S128" s="798">
        <f t="shared" si="15"/>
        <v>0</v>
      </c>
    </row>
    <row r="129" spans="1:19">
      <c r="A129" s="963"/>
      <c r="B129" s="137"/>
      <c r="C129" s="53">
        <f t="shared" si="16"/>
        <v>1</v>
      </c>
      <c r="D129" s="961"/>
      <c r="E129" s="53">
        <f t="shared" si="17"/>
        <v>0</v>
      </c>
      <c r="F129" s="961"/>
      <c r="G129" s="53">
        <f t="shared" si="18"/>
        <v>1</v>
      </c>
      <c r="H129" s="961"/>
      <c r="I129" s="53">
        <f t="shared" si="19"/>
        <v>1</v>
      </c>
      <c r="J129" s="961"/>
      <c r="K129" s="53">
        <f t="shared" si="20"/>
        <v>1</v>
      </c>
      <c r="L129" s="961"/>
      <c r="M129" s="53">
        <f t="shared" si="21"/>
        <v>1</v>
      </c>
      <c r="N129" s="961"/>
      <c r="O129" s="53">
        <f t="shared" si="22"/>
        <v>1</v>
      </c>
      <c r="P129" s="961"/>
      <c r="Q129" s="53">
        <f t="shared" si="23"/>
        <v>1</v>
      </c>
      <c r="R129" s="489">
        <f t="shared" si="24"/>
        <v>0</v>
      </c>
      <c r="S129" s="798">
        <f t="shared" si="15"/>
        <v>0</v>
      </c>
    </row>
    <row r="130" spans="1:19">
      <c r="A130" s="963"/>
      <c r="B130" s="137"/>
      <c r="C130" s="53">
        <f t="shared" si="16"/>
        <v>1</v>
      </c>
      <c r="D130" s="961"/>
      <c r="E130" s="53">
        <f t="shared" si="17"/>
        <v>0</v>
      </c>
      <c r="F130" s="961"/>
      <c r="G130" s="53">
        <f t="shared" si="18"/>
        <v>1</v>
      </c>
      <c r="H130" s="961"/>
      <c r="I130" s="53">
        <f t="shared" si="19"/>
        <v>1</v>
      </c>
      <c r="J130" s="961"/>
      <c r="K130" s="53">
        <f t="shared" si="20"/>
        <v>1</v>
      </c>
      <c r="L130" s="961"/>
      <c r="M130" s="53">
        <f t="shared" si="21"/>
        <v>1</v>
      </c>
      <c r="N130" s="961"/>
      <c r="O130" s="53">
        <f t="shared" si="22"/>
        <v>1</v>
      </c>
      <c r="P130" s="961"/>
      <c r="Q130" s="53">
        <f t="shared" si="23"/>
        <v>1</v>
      </c>
      <c r="R130" s="489">
        <f t="shared" si="24"/>
        <v>0</v>
      </c>
      <c r="S130" s="798">
        <f t="shared" si="15"/>
        <v>0</v>
      </c>
    </row>
    <row r="131" spans="1:19">
      <c r="A131" s="963"/>
      <c r="B131" s="137"/>
      <c r="C131" s="53">
        <f t="shared" si="16"/>
        <v>1</v>
      </c>
      <c r="D131" s="961"/>
      <c r="E131" s="53">
        <f t="shared" si="17"/>
        <v>0</v>
      </c>
      <c r="F131" s="961"/>
      <c r="G131" s="53">
        <f t="shared" si="18"/>
        <v>1</v>
      </c>
      <c r="H131" s="961"/>
      <c r="I131" s="53">
        <f t="shared" si="19"/>
        <v>1</v>
      </c>
      <c r="J131" s="961"/>
      <c r="K131" s="53">
        <f t="shared" si="20"/>
        <v>1</v>
      </c>
      <c r="L131" s="961"/>
      <c r="M131" s="53">
        <f t="shared" si="21"/>
        <v>1</v>
      </c>
      <c r="N131" s="961"/>
      <c r="O131" s="53">
        <f t="shared" si="22"/>
        <v>1</v>
      </c>
      <c r="P131" s="961"/>
      <c r="Q131" s="53">
        <f t="shared" si="23"/>
        <v>1</v>
      </c>
      <c r="R131" s="489">
        <f t="shared" si="24"/>
        <v>0</v>
      </c>
      <c r="S131" s="798">
        <f t="shared" si="15"/>
        <v>0</v>
      </c>
    </row>
    <row r="132" spans="1:19">
      <c r="A132" s="963"/>
      <c r="B132" s="137"/>
      <c r="C132" s="53">
        <f t="shared" si="16"/>
        <v>1</v>
      </c>
      <c r="D132" s="961"/>
      <c r="E132" s="53">
        <f t="shared" si="17"/>
        <v>0</v>
      </c>
      <c r="F132" s="961"/>
      <c r="G132" s="53">
        <f t="shared" si="18"/>
        <v>1</v>
      </c>
      <c r="H132" s="961"/>
      <c r="I132" s="53">
        <f t="shared" si="19"/>
        <v>1</v>
      </c>
      <c r="J132" s="961"/>
      <c r="K132" s="53">
        <f t="shared" si="20"/>
        <v>1</v>
      </c>
      <c r="L132" s="961"/>
      <c r="M132" s="53">
        <f t="shared" si="21"/>
        <v>1</v>
      </c>
      <c r="N132" s="961"/>
      <c r="O132" s="53">
        <f t="shared" si="22"/>
        <v>1</v>
      </c>
      <c r="P132" s="961"/>
      <c r="Q132" s="53">
        <f t="shared" si="23"/>
        <v>1</v>
      </c>
      <c r="R132" s="489">
        <f t="shared" si="24"/>
        <v>0</v>
      </c>
      <c r="S132" s="798">
        <f t="shared" si="15"/>
        <v>0</v>
      </c>
    </row>
    <row r="133" spans="1:19">
      <c r="A133" s="963"/>
      <c r="B133" s="137"/>
      <c r="C133" s="53">
        <f t="shared" si="16"/>
        <v>1</v>
      </c>
      <c r="D133" s="961"/>
      <c r="E133" s="53">
        <f t="shared" si="17"/>
        <v>0</v>
      </c>
      <c r="F133" s="961"/>
      <c r="G133" s="53">
        <f t="shared" si="18"/>
        <v>1</v>
      </c>
      <c r="H133" s="961"/>
      <c r="I133" s="53">
        <f t="shared" si="19"/>
        <v>1</v>
      </c>
      <c r="J133" s="961"/>
      <c r="K133" s="53">
        <f t="shared" si="20"/>
        <v>1</v>
      </c>
      <c r="L133" s="961"/>
      <c r="M133" s="53">
        <f t="shared" si="21"/>
        <v>1</v>
      </c>
      <c r="N133" s="961"/>
      <c r="O133" s="53">
        <f t="shared" si="22"/>
        <v>1</v>
      </c>
      <c r="P133" s="961"/>
      <c r="Q133" s="53">
        <f t="shared" si="23"/>
        <v>1</v>
      </c>
      <c r="R133" s="489">
        <f t="shared" si="24"/>
        <v>0</v>
      </c>
      <c r="S133" s="798">
        <f t="shared" si="15"/>
        <v>0</v>
      </c>
    </row>
    <row r="134" spans="1:19">
      <c r="A134" s="963"/>
      <c r="B134" s="137"/>
      <c r="C134" s="53">
        <f t="shared" si="16"/>
        <v>1</v>
      </c>
      <c r="D134" s="961"/>
      <c r="E134" s="53">
        <f t="shared" si="17"/>
        <v>0</v>
      </c>
      <c r="F134" s="961"/>
      <c r="G134" s="53">
        <f t="shared" si="18"/>
        <v>1</v>
      </c>
      <c r="H134" s="961"/>
      <c r="I134" s="53">
        <f t="shared" si="19"/>
        <v>1</v>
      </c>
      <c r="J134" s="961"/>
      <c r="K134" s="53">
        <f t="shared" si="20"/>
        <v>1</v>
      </c>
      <c r="L134" s="961"/>
      <c r="M134" s="53">
        <f t="shared" si="21"/>
        <v>1</v>
      </c>
      <c r="N134" s="961"/>
      <c r="O134" s="53">
        <f t="shared" si="22"/>
        <v>1</v>
      </c>
      <c r="P134" s="961"/>
      <c r="Q134" s="53">
        <f t="shared" si="23"/>
        <v>1</v>
      </c>
      <c r="R134" s="489">
        <f t="shared" si="24"/>
        <v>0</v>
      </c>
      <c r="S134" s="798">
        <f t="shared" si="15"/>
        <v>0</v>
      </c>
    </row>
    <row r="135" spans="1:19">
      <c r="A135" s="963"/>
      <c r="B135" s="137"/>
      <c r="C135" s="53">
        <f t="shared" si="16"/>
        <v>1</v>
      </c>
      <c r="D135" s="961"/>
      <c r="E135" s="53">
        <f t="shared" si="17"/>
        <v>0</v>
      </c>
      <c r="F135" s="961"/>
      <c r="G135" s="53">
        <f t="shared" si="18"/>
        <v>1</v>
      </c>
      <c r="H135" s="961"/>
      <c r="I135" s="53">
        <f t="shared" si="19"/>
        <v>1</v>
      </c>
      <c r="J135" s="961"/>
      <c r="K135" s="53">
        <f t="shared" si="20"/>
        <v>1</v>
      </c>
      <c r="L135" s="961"/>
      <c r="M135" s="53">
        <f t="shared" si="21"/>
        <v>1</v>
      </c>
      <c r="N135" s="961"/>
      <c r="O135" s="53">
        <f t="shared" si="22"/>
        <v>1</v>
      </c>
      <c r="P135" s="961"/>
      <c r="Q135" s="53">
        <f t="shared" si="23"/>
        <v>1</v>
      </c>
      <c r="R135" s="489">
        <f t="shared" si="24"/>
        <v>0</v>
      </c>
      <c r="S135" s="798">
        <f t="shared" si="15"/>
        <v>0</v>
      </c>
    </row>
    <row r="136" spans="1:19">
      <c r="A136" s="963"/>
      <c r="B136" s="137"/>
      <c r="C136" s="53">
        <f t="shared" si="16"/>
        <v>1</v>
      </c>
      <c r="D136" s="961"/>
      <c r="E136" s="53">
        <f t="shared" si="17"/>
        <v>0</v>
      </c>
      <c r="F136" s="961"/>
      <c r="G136" s="53">
        <f t="shared" si="18"/>
        <v>1</v>
      </c>
      <c r="H136" s="961"/>
      <c r="I136" s="53">
        <f t="shared" si="19"/>
        <v>1</v>
      </c>
      <c r="J136" s="961"/>
      <c r="K136" s="53">
        <f t="shared" si="20"/>
        <v>1</v>
      </c>
      <c r="L136" s="961"/>
      <c r="M136" s="53">
        <f t="shared" si="21"/>
        <v>1</v>
      </c>
      <c r="N136" s="961"/>
      <c r="O136" s="53">
        <f t="shared" si="22"/>
        <v>1</v>
      </c>
      <c r="P136" s="961"/>
      <c r="Q136" s="53">
        <f t="shared" si="23"/>
        <v>1</v>
      </c>
      <c r="R136" s="489">
        <f t="shared" si="24"/>
        <v>0</v>
      </c>
      <c r="S136" s="798">
        <f t="shared" si="15"/>
        <v>0</v>
      </c>
    </row>
    <row r="137" spans="1:19">
      <c r="A137" s="963"/>
      <c r="B137" s="137"/>
      <c r="C137" s="53">
        <f t="shared" si="16"/>
        <v>1</v>
      </c>
      <c r="D137" s="961"/>
      <c r="E137" s="53">
        <f t="shared" si="17"/>
        <v>0</v>
      </c>
      <c r="F137" s="961"/>
      <c r="G137" s="53">
        <f t="shared" si="18"/>
        <v>1</v>
      </c>
      <c r="H137" s="961"/>
      <c r="I137" s="53">
        <f t="shared" si="19"/>
        <v>1</v>
      </c>
      <c r="J137" s="961"/>
      <c r="K137" s="53">
        <f t="shared" si="20"/>
        <v>1</v>
      </c>
      <c r="L137" s="961"/>
      <c r="M137" s="53">
        <f t="shared" si="21"/>
        <v>1</v>
      </c>
      <c r="N137" s="961"/>
      <c r="O137" s="53">
        <f t="shared" si="22"/>
        <v>1</v>
      </c>
      <c r="P137" s="961"/>
      <c r="Q137" s="53">
        <f t="shared" si="23"/>
        <v>1</v>
      </c>
      <c r="R137" s="489">
        <f t="shared" si="24"/>
        <v>0</v>
      </c>
      <c r="S137" s="798">
        <f t="shared" si="15"/>
        <v>0</v>
      </c>
    </row>
    <row r="138" spans="1:19">
      <c r="A138" s="963"/>
      <c r="B138" s="137"/>
      <c r="C138" s="53">
        <f t="shared" si="16"/>
        <v>1</v>
      </c>
      <c r="D138" s="961"/>
      <c r="E138" s="53">
        <f t="shared" si="17"/>
        <v>0</v>
      </c>
      <c r="F138" s="961"/>
      <c r="G138" s="53">
        <f t="shared" si="18"/>
        <v>1</v>
      </c>
      <c r="H138" s="961"/>
      <c r="I138" s="53">
        <f t="shared" si="19"/>
        <v>1</v>
      </c>
      <c r="J138" s="961"/>
      <c r="K138" s="53">
        <f t="shared" si="20"/>
        <v>1</v>
      </c>
      <c r="L138" s="961"/>
      <c r="M138" s="53">
        <f t="shared" si="21"/>
        <v>1</v>
      </c>
      <c r="N138" s="961"/>
      <c r="O138" s="53">
        <f t="shared" si="22"/>
        <v>1</v>
      </c>
      <c r="P138" s="961"/>
      <c r="Q138" s="53">
        <f t="shared" si="23"/>
        <v>1</v>
      </c>
      <c r="R138" s="489">
        <f t="shared" si="24"/>
        <v>0</v>
      </c>
      <c r="S138" s="798">
        <f t="shared" si="15"/>
        <v>0</v>
      </c>
    </row>
    <row r="139" spans="1:19">
      <c r="A139" s="963"/>
      <c r="B139" s="137"/>
      <c r="C139" s="53">
        <f t="shared" si="16"/>
        <v>1</v>
      </c>
      <c r="D139" s="961"/>
      <c r="E139" s="53">
        <f t="shared" si="17"/>
        <v>0</v>
      </c>
      <c r="F139" s="961"/>
      <c r="G139" s="53">
        <f t="shared" si="18"/>
        <v>1</v>
      </c>
      <c r="H139" s="961"/>
      <c r="I139" s="53">
        <f t="shared" si="19"/>
        <v>1</v>
      </c>
      <c r="J139" s="961"/>
      <c r="K139" s="53">
        <f t="shared" si="20"/>
        <v>1</v>
      </c>
      <c r="L139" s="961"/>
      <c r="M139" s="53">
        <f t="shared" si="21"/>
        <v>1</v>
      </c>
      <c r="N139" s="961"/>
      <c r="O139" s="53">
        <f t="shared" si="22"/>
        <v>1</v>
      </c>
      <c r="P139" s="961"/>
      <c r="Q139" s="53">
        <f t="shared" si="23"/>
        <v>1</v>
      </c>
      <c r="R139" s="489">
        <f t="shared" si="24"/>
        <v>0</v>
      </c>
      <c r="S139" s="798">
        <f t="shared" si="15"/>
        <v>0</v>
      </c>
    </row>
    <row r="140" spans="1:19">
      <c r="A140" s="963"/>
      <c r="B140" s="137"/>
      <c r="C140" s="53">
        <f t="shared" si="16"/>
        <v>1</v>
      </c>
      <c r="D140" s="961"/>
      <c r="E140" s="53">
        <f t="shared" si="17"/>
        <v>0</v>
      </c>
      <c r="F140" s="961"/>
      <c r="G140" s="53">
        <f t="shared" si="18"/>
        <v>1</v>
      </c>
      <c r="H140" s="961"/>
      <c r="I140" s="53">
        <f t="shared" si="19"/>
        <v>1</v>
      </c>
      <c r="J140" s="961"/>
      <c r="K140" s="53">
        <f t="shared" si="20"/>
        <v>1</v>
      </c>
      <c r="L140" s="961"/>
      <c r="M140" s="53">
        <f t="shared" si="21"/>
        <v>1</v>
      </c>
      <c r="N140" s="961"/>
      <c r="O140" s="53">
        <f t="shared" si="22"/>
        <v>1</v>
      </c>
      <c r="P140" s="961"/>
      <c r="Q140" s="53">
        <f t="shared" si="23"/>
        <v>1</v>
      </c>
      <c r="R140" s="489">
        <f t="shared" si="24"/>
        <v>0</v>
      </c>
      <c r="S140" s="798">
        <f t="shared" si="15"/>
        <v>0</v>
      </c>
    </row>
    <row r="141" spans="1:19">
      <c r="A141" s="963"/>
      <c r="B141" s="137"/>
      <c r="C141" s="53">
        <f t="shared" si="16"/>
        <v>1</v>
      </c>
      <c r="D141" s="961"/>
      <c r="E141" s="53">
        <f t="shared" si="17"/>
        <v>0</v>
      </c>
      <c r="F141" s="961"/>
      <c r="G141" s="53">
        <f t="shared" si="18"/>
        <v>1</v>
      </c>
      <c r="H141" s="961"/>
      <c r="I141" s="53">
        <f t="shared" si="19"/>
        <v>1</v>
      </c>
      <c r="J141" s="961"/>
      <c r="K141" s="53">
        <f t="shared" si="20"/>
        <v>1</v>
      </c>
      <c r="L141" s="961"/>
      <c r="M141" s="53">
        <f t="shared" si="21"/>
        <v>1</v>
      </c>
      <c r="N141" s="961"/>
      <c r="O141" s="53">
        <f t="shared" si="22"/>
        <v>1</v>
      </c>
      <c r="P141" s="961"/>
      <c r="Q141" s="53">
        <f t="shared" si="23"/>
        <v>1</v>
      </c>
      <c r="R141" s="489">
        <f t="shared" si="24"/>
        <v>0</v>
      </c>
      <c r="S141" s="798">
        <f t="shared" si="15"/>
        <v>0</v>
      </c>
    </row>
    <row r="142" spans="1:19">
      <c r="A142" s="963"/>
      <c r="B142" s="137"/>
      <c r="C142" s="53">
        <f t="shared" si="16"/>
        <v>1</v>
      </c>
      <c r="D142" s="961"/>
      <c r="E142" s="53">
        <f t="shared" si="17"/>
        <v>0</v>
      </c>
      <c r="F142" s="961"/>
      <c r="G142" s="53">
        <f t="shared" si="18"/>
        <v>1</v>
      </c>
      <c r="H142" s="961"/>
      <c r="I142" s="53">
        <f t="shared" si="19"/>
        <v>1</v>
      </c>
      <c r="J142" s="961"/>
      <c r="K142" s="53">
        <f t="shared" si="20"/>
        <v>1</v>
      </c>
      <c r="L142" s="961"/>
      <c r="M142" s="53">
        <f t="shared" si="21"/>
        <v>1</v>
      </c>
      <c r="N142" s="961"/>
      <c r="O142" s="53">
        <f t="shared" si="22"/>
        <v>1</v>
      </c>
      <c r="P142" s="961"/>
      <c r="Q142" s="53">
        <f t="shared" si="23"/>
        <v>1</v>
      </c>
      <c r="R142" s="489">
        <f t="shared" si="24"/>
        <v>0</v>
      </c>
      <c r="S142" s="798">
        <f t="shared" si="15"/>
        <v>0</v>
      </c>
    </row>
    <row r="143" spans="1:19">
      <c r="A143" s="963"/>
      <c r="B143" s="137"/>
      <c r="C143" s="53">
        <f t="shared" si="16"/>
        <v>1</v>
      </c>
      <c r="D143" s="961"/>
      <c r="E143" s="53">
        <f t="shared" si="17"/>
        <v>0</v>
      </c>
      <c r="F143" s="961"/>
      <c r="G143" s="53">
        <f t="shared" si="18"/>
        <v>1</v>
      </c>
      <c r="H143" s="961"/>
      <c r="I143" s="53">
        <f t="shared" si="19"/>
        <v>1</v>
      </c>
      <c r="J143" s="961"/>
      <c r="K143" s="53">
        <f t="shared" si="20"/>
        <v>1</v>
      </c>
      <c r="L143" s="961"/>
      <c r="M143" s="53">
        <f t="shared" si="21"/>
        <v>1</v>
      </c>
      <c r="N143" s="961"/>
      <c r="O143" s="53">
        <f t="shared" si="22"/>
        <v>1</v>
      </c>
      <c r="P143" s="961"/>
      <c r="Q143" s="53">
        <f t="shared" si="23"/>
        <v>1</v>
      </c>
      <c r="R143" s="489">
        <f t="shared" si="24"/>
        <v>0</v>
      </c>
      <c r="S143" s="798">
        <f t="shared" si="15"/>
        <v>0</v>
      </c>
    </row>
    <row r="144" spans="1:19">
      <c r="A144" s="963"/>
      <c r="B144" s="137"/>
      <c r="C144" s="53">
        <f t="shared" si="16"/>
        <v>1</v>
      </c>
      <c r="D144" s="961"/>
      <c r="E144" s="53">
        <f t="shared" si="17"/>
        <v>0</v>
      </c>
      <c r="F144" s="961"/>
      <c r="G144" s="53">
        <f t="shared" si="18"/>
        <v>1</v>
      </c>
      <c r="H144" s="961"/>
      <c r="I144" s="53">
        <f t="shared" si="19"/>
        <v>1</v>
      </c>
      <c r="J144" s="961"/>
      <c r="K144" s="53">
        <f t="shared" si="20"/>
        <v>1</v>
      </c>
      <c r="L144" s="961"/>
      <c r="M144" s="53">
        <f t="shared" si="21"/>
        <v>1</v>
      </c>
      <c r="N144" s="961"/>
      <c r="O144" s="53">
        <f t="shared" si="22"/>
        <v>1</v>
      </c>
      <c r="P144" s="961"/>
      <c r="Q144" s="53">
        <f t="shared" si="23"/>
        <v>1</v>
      </c>
      <c r="R144" s="489">
        <f t="shared" si="24"/>
        <v>0</v>
      </c>
      <c r="S144" s="798">
        <f t="shared" si="15"/>
        <v>0</v>
      </c>
    </row>
    <row r="145" spans="1:19">
      <c r="A145" s="963"/>
      <c r="B145" s="137"/>
      <c r="C145" s="53">
        <f t="shared" si="16"/>
        <v>1</v>
      </c>
      <c r="D145" s="961"/>
      <c r="E145" s="53">
        <f t="shared" si="17"/>
        <v>0</v>
      </c>
      <c r="F145" s="961"/>
      <c r="G145" s="53">
        <f t="shared" si="18"/>
        <v>1</v>
      </c>
      <c r="H145" s="961"/>
      <c r="I145" s="53">
        <f t="shared" si="19"/>
        <v>1</v>
      </c>
      <c r="J145" s="961"/>
      <c r="K145" s="53">
        <f t="shared" si="20"/>
        <v>1</v>
      </c>
      <c r="L145" s="961"/>
      <c r="M145" s="53">
        <f t="shared" si="21"/>
        <v>1</v>
      </c>
      <c r="N145" s="961"/>
      <c r="O145" s="53">
        <f t="shared" si="22"/>
        <v>1</v>
      </c>
      <c r="P145" s="961"/>
      <c r="Q145" s="53">
        <f t="shared" si="23"/>
        <v>1</v>
      </c>
      <c r="R145" s="489">
        <f t="shared" si="24"/>
        <v>0</v>
      </c>
      <c r="S145" s="798">
        <f t="shared" si="15"/>
        <v>0</v>
      </c>
    </row>
    <row r="146" spans="1:19">
      <c r="A146" s="963"/>
      <c r="B146" s="137"/>
      <c r="C146" s="53">
        <f t="shared" si="16"/>
        <v>1</v>
      </c>
      <c r="D146" s="961"/>
      <c r="E146" s="53">
        <f t="shared" si="17"/>
        <v>0</v>
      </c>
      <c r="F146" s="961"/>
      <c r="G146" s="53">
        <f t="shared" si="18"/>
        <v>1</v>
      </c>
      <c r="H146" s="961"/>
      <c r="I146" s="53">
        <f t="shared" si="19"/>
        <v>1</v>
      </c>
      <c r="J146" s="961"/>
      <c r="K146" s="53">
        <f t="shared" si="20"/>
        <v>1</v>
      </c>
      <c r="L146" s="961"/>
      <c r="M146" s="53">
        <f t="shared" si="21"/>
        <v>1</v>
      </c>
      <c r="N146" s="961"/>
      <c r="O146" s="53">
        <f t="shared" si="22"/>
        <v>1</v>
      </c>
      <c r="P146" s="961"/>
      <c r="Q146" s="53">
        <f t="shared" si="23"/>
        <v>1</v>
      </c>
      <c r="R146" s="489">
        <f t="shared" si="24"/>
        <v>0</v>
      </c>
      <c r="S146" s="798">
        <f t="shared" si="15"/>
        <v>0</v>
      </c>
    </row>
    <row r="147" spans="1:19">
      <c r="A147" s="963"/>
      <c r="B147" s="137"/>
      <c r="C147" s="53">
        <f t="shared" si="16"/>
        <v>1</v>
      </c>
      <c r="D147" s="961"/>
      <c r="E147" s="53">
        <f t="shared" si="17"/>
        <v>0</v>
      </c>
      <c r="F147" s="961"/>
      <c r="G147" s="53">
        <f t="shared" si="18"/>
        <v>1</v>
      </c>
      <c r="H147" s="961"/>
      <c r="I147" s="53">
        <f t="shared" si="19"/>
        <v>1</v>
      </c>
      <c r="J147" s="961"/>
      <c r="K147" s="53">
        <f t="shared" si="20"/>
        <v>1</v>
      </c>
      <c r="L147" s="961"/>
      <c r="M147" s="53">
        <f t="shared" si="21"/>
        <v>1</v>
      </c>
      <c r="N147" s="961"/>
      <c r="O147" s="53">
        <f t="shared" si="22"/>
        <v>1</v>
      </c>
      <c r="P147" s="961"/>
      <c r="Q147" s="53">
        <f t="shared" si="23"/>
        <v>1</v>
      </c>
      <c r="R147" s="489">
        <f t="shared" si="24"/>
        <v>0</v>
      </c>
      <c r="S147" s="798">
        <f t="shared" si="15"/>
        <v>0</v>
      </c>
    </row>
    <row r="148" spans="1:19">
      <c r="A148" s="963"/>
      <c r="B148" s="137"/>
      <c r="C148" s="53">
        <f t="shared" si="16"/>
        <v>1</v>
      </c>
      <c r="D148" s="961"/>
      <c r="E148" s="53">
        <f t="shared" si="17"/>
        <v>0</v>
      </c>
      <c r="F148" s="961"/>
      <c r="G148" s="53">
        <f t="shared" si="18"/>
        <v>1</v>
      </c>
      <c r="H148" s="961"/>
      <c r="I148" s="53">
        <f t="shared" si="19"/>
        <v>1</v>
      </c>
      <c r="J148" s="961"/>
      <c r="K148" s="53">
        <f t="shared" si="20"/>
        <v>1</v>
      </c>
      <c r="L148" s="961"/>
      <c r="M148" s="53">
        <f t="shared" si="21"/>
        <v>1</v>
      </c>
      <c r="N148" s="961"/>
      <c r="O148" s="53">
        <f t="shared" si="22"/>
        <v>1</v>
      </c>
      <c r="P148" s="961"/>
      <c r="Q148" s="53">
        <f t="shared" si="23"/>
        <v>1</v>
      </c>
      <c r="R148" s="489">
        <f t="shared" si="24"/>
        <v>0</v>
      </c>
      <c r="S148" s="798">
        <f t="shared" si="15"/>
        <v>0</v>
      </c>
    </row>
    <row r="149" spans="1:19">
      <c r="A149" s="963"/>
      <c r="B149" s="137"/>
      <c r="C149" s="53">
        <f t="shared" si="16"/>
        <v>1</v>
      </c>
      <c r="D149" s="961"/>
      <c r="E149" s="53">
        <f t="shared" si="17"/>
        <v>0</v>
      </c>
      <c r="F149" s="961"/>
      <c r="G149" s="53">
        <f t="shared" si="18"/>
        <v>1</v>
      </c>
      <c r="H149" s="961"/>
      <c r="I149" s="53">
        <f t="shared" si="19"/>
        <v>1</v>
      </c>
      <c r="J149" s="961"/>
      <c r="K149" s="53">
        <f t="shared" si="20"/>
        <v>1</v>
      </c>
      <c r="L149" s="961"/>
      <c r="M149" s="53">
        <f t="shared" si="21"/>
        <v>1</v>
      </c>
      <c r="N149" s="961"/>
      <c r="O149" s="53">
        <f t="shared" si="22"/>
        <v>1</v>
      </c>
      <c r="P149" s="961"/>
      <c r="Q149" s="53">
        <f t="shared" si="23"/>
        <v>1</v>
      </c>
      <c r="R149" s="489">
        <f t="shared" si="24"/>
        <v>0</v>
      </c>
      <c r="S149" s="798">
        <f t="shared" si="15"/>
        <v>0</v>
      </c>
    </row>
    <row r="150" spans="1:19">
      <c r="A150" s="963"/>
      <c r="B150" s="137"/>
      <c r="C150" s="53">
        <f t="shared" si="16"/>
        <v>1</v>
      </c>
      <c r="D150" s="961"/>
      <c r="E150" s="53">
        <f t="shared" si="17"/>
        <v>0</v>
      </c>
      <c r="F150" s="961"/>
      <c r="G150" s="53">
        <f t="shared" si="18"/>
        <v>1</v>
      </c>
      <c r="H150" s="961"/>
      <c r="I150" s="53">
        <f t="shared" si="19"/>
        <v>1</v>
      </c>
      <c r="J150" s="961"/>
      <c r="K150" s="53">
        <f t="shared" si="20"/>
        <v>1</v>
      </c>
      <c r="L150" s="961"/>
      <c r="M150" s="53">
        <f t="shared" si="21"/>
        <v>1</v>
      </c>
      <c r="N150" s="961"/>
      <c r="O150" s="53">
        <f t="shared" si="22"/>
        <v>1</v>
      </c>
      <c r="P150" s="961"/>
      <c r="Q150" s="53">
        <f t="shared" si="23"/>
        <v>1</v>
      </c>
      <c r="R150" s="489">
        <f t="shared" si="24"/>
        <v>0</v>
      </c>
      <c r="S150" s="798">
        <f t="shared" si="15"/>
        <v>0</v>
      </c>
    </row>
    <row r="151" spans="1:19">
      <c r="A151" s="963"/>
      <c r="B151" s="137"/>
      <c r="C151" s="53">
        <f t="shared" si="16"/>
        <v>1</v>
      </c>
      <c r="D151" s="961"/>
      <c r="E151" s="53">
        <f t="shared" si="17"/>
        <v>0</v>
      </c>
      <c r="F151" s="961"/>
      <c r="G151" s="53">
        <f t="shared" si="18"/>
        <v>1</v>
      </c>
      <c r="H151" s="961"/>
      <c r="I151" s="53">
        <f t="shared" si="19"/>
        <v>1</v>
      </c>
      <c r="J151" s="961"/>
      <c r="K151" s="53">
        <f t="shared" si="20"/>
        <v>1</v>
      </c>
      <c r="L151" s="961"/>
      <c r="M151" s="53">
        <f t="shared" si="21"/>
        <v>1</v>
      </c>
      <c r="N151" s="961"/>
      <c r="O151" s="53">
        <f t="shared" si="22"/>
        <v>1</v>
      </c>
      <c r="P151" s="961"/>
      <c r="Q151" s="53">
        <f t="shared" si="23"/>
        <v>1</v>
      </c>
      <c r="R151" s="489">
        <f t="shared" si="24"/>
        <v>0</v>
      </c>
      <c r="S151" s="798">
        <f t="shared" si="15"/>
        <v>0</v>
      </c>
    </row>
    <row r="152" spans="1:19">
      <c r="A152" s="963"/>
      <c r="B152" s="137"/>
      <c r="C152" s="53">
        <f t="shared" si="16"/>
        <v>1</v>
      </c>
      <c r="D152" s="961"/>
      <c r="E152" s="53">
        <f t="shared" si="17"/>
        <v>0</v>
      </c>
      <c r="F152" s="961"/>
      <c r="G152" s="53">
        <f t="shared" si="18"/>
        <v>1</v>
      </c>
      <c r="H152" s="961"/>
      <c r="I152" s="53">
        <f t="shared" si="19"/>
        <v>1</v>
      </c>
      <c r="J152" s="961"/>
      <c r="K152" s="53">
        <f t="shared" si="20"/>
        <v>1</v>
      </c>
      <c r="L152" s="961"/>
      <c r="M152" s="53">
        <f t="shared" si="21"/>
        <v>1</v>
      </c>
      <c r="N152" s="961"/>
      <c r="O152" s="53">
        <f t="shared" si="22"/>
        <v>1</v>
      </c>
      <c r="P152" s="961"/>
      <c r="Q152" s="53">
        <f t="shared" si="23"/>
        <v>1</v>
      </c>
      <c r="R152" s="489">
        <f t="shared" si="24"/>
        <v>0</v>
      </c>
      <c r="S152" s="798">
        <f t="shared" ref="S152:S215" si="25">ROUND(R152*B152/10000,0)</f>
        <v>0</v>
      </c>
    </row>
    <row r="153" spans="1:19">
      <c r="A153" s="963"/>
      <c r="B153" s="137"/>
      <c r="C153" s="53">
        <f t="shared" si="16"/>
        <v>1</v>
      </c>
      <c r="D153" s="961"/>
      <c r="E153" s="53">
        <f t="shared" si="17"/>
        <v>0</v>
      </c>
      <c r="F153" s="961"/>
      <c r="G153" s="53">
        <f t="shared" si="18"/>
        <v>1</v>
      </c>
      <c r="H153" s="961"/>
      <c r="I153" s="53">
        <f t="shared" si="19"/>
        <v>1</v>
      </c>
      <c r="J153" s="961"/>
      <c r="K153" s="53">
        <f t="shared" si="20"/>
        <v>1</v>
      </c>
      <c r="L153" s="961"/>
      <c r="M153" s="53">
        <f t="shared" si="21"/>
        <v>1</v>
      </c>
      <c r="N153" s="961"/>
      <c r="O153" s="53">
        <f t="shared" si="22"/>
        <v>1</v>
      </c>
      <c r="P153" s="961"/>
      <c r="Q153" s="53">
        <f t="shared" si="23"/>
        <v>1</v>
      </c>
      <c r="R153" s="489">
        <f t="shared" si="24"/>
        <v>0</v>
      </c>
      <c r="S153" s="798">
        <f t="shared" si="25"/>
        <v>0</v>
      </c>
    </row>
    <row r="154" spans="1:19">
      <c r="A154" s="963"/>
      <c r="B154" s="137"/>
      <c r="C154" s="53">
        <f t="shared" ref="C154:C217" si="26">IF(B154="",1,(LOOKUP(B154,$3:$3,$4:$4)-LOOKUP($B$24,$3:$3,$4:$4)+100)/100)</f>
        <v>1</v>
      </c>
      <c r="D154" s="961"/>
      <c r="E154" s="53">
        <f t="shared" ref="E154:E217" si="27">(SUMIF($5:$5,D154,$6:$6)-SUMIF($5:$5,$D$24,$6:$6)+100)/100</f>
        <v>0</v>
      </c>
      <c r="F154" s="961"/>
      <c r="G154" s="53">
        <f t="shared" ref="G154:G217" si="28">(SUMIF($7:$7,F154,$8:$8)-SUMIF($7:$7,$F$24,$8:$8)+100)/100</f>
        <v>1</v>
      </c>
      <c r="H154" s="961"/>
      <c r="I154" s="53">
        <f t="shared" ref="I154:I217" si="29">(SUMIF($9:$9,H154,$10:$10)-SUMIF($9:$9,$H$24,$10:$10)+100)/100</f>
        <v>1</v>
      </c>
      <c r="J154" s="961"/>
      <c r="K154" s="53">
        <f t="shared" ref="K154:K217" si="30">(SUMIF($11:$11,J154,$12:$12)-SUMIF($11:$11,$J$24,$12:$12)+100)/100</f>
        <v>1</v>
      </c>
      <c r="L154" s="961"/>
      <c r="M154" s="53">
        <f t="shared" ref="M154:M217" si="31">(SUMIF($13:$13,L154,$14:$14)-SUMIF($13:$13,$L$24,$14:$14)+100)/100</f>
        <v>1</v>
      </c>
      <c r="N154" s="961"/>
      <c r="O154" s="53">
        <f t="shared" ref="O154:O217" si="32">(SUMIF($15:$15,N154,$16:$16)-SUMIF($15:$15,$N$24,$16:$16)+100)/100</f>
        <v>1</v>
      </c>
      <c r="P154" s="961"/>
      <c r="Q154" s="53">
        <f t="shared" ref="Q154:Q217" si="33">(SUMIF($17:$17,P154,$18:$18)-SUMIF($17:$17,$P$24,$18:$18)+100)/100</f>
        <v>1</v>
      </c>
      <c r="R154" s="489">
        <f t="shared" ref="R154:R217" si="34">IF(B154="",0,ROUND($R$24*C154*E154*G154*I154*K154*M154*O154*Q154,0))</f>
        <v>0</v>
      </c>
      <c r="S154" s="798">
        <f t="shared" si="25"/>
        <v>0</v>
      </c>
    </row>
    <row r="155" spans="1:19">
      <c r="A155" s="963"/>
      <c r="B155" s="137"/>
      <c r="C155" s="53">
        <f t="shared" si="26"/>
        <v>1</v>
      </c>
      <c r="D155" s="961"/>
      <c r="E155" s="53">
        <f t="shared" si="27"/>
        <v>0</v>
      </c>
      <c r="F155" s="961"/>
      <c r="G155" s="53">
        <f t="shared" si="28"/>
        <v>1</v>
      </c>
      <c r="H155" s="961"/>
      <c r="I155" s="53">
        <f t="shared" si="29"/>
        <v>1</v>
      </c>
      <c r="J155" s="961"/>
      <c r="K155" s="53">
        <f t="shared" si="30"/>
        <v>1</v>
      </c>
      <c r="L155" s="961"/>
      <c r="M155" s="53">
        <f t="shared" si="31"/>
        <v>1</v>
      </c>
      <c r="N155" s="961"/>
      <c r="O155" s="53">
        <f t="shared" si="32"/>
        <v>1</v>
      </c>
      <c r="P155" s="961"/>
      <c r="Q155" s="53">
        <f t="shared" si="33"/>
        <v>1</v>
      </c>
      <c r="R155" s="489">
        <f t="shared" si="34"/>
        <v>0</v>
      </c>
      <c r="S155" s="798">
        <f t="shared" si="25"/>
        <v>0</v>
      </c>
    </row>
    <row r="156" spans="1:19">
      <c r="A156" s="963"/>
      <c r="B156" s="137"/>
      <c r="C156" s="53">
        <f t="shared" si="26"/>
        <v>1</v>
      </c>
      <c r="D156" s="961"/>
      <c r="E156" s="53">
        <f t="shared" si="27"/>
        <v>0</v>
      </c>
      <c r="F156" s="961"/>
      <c r="G156" s="53">
        <f t="shared" si="28"/>
        <v>1</v>
      </c>
      <c r="H156" s="961"/>
      <c r="I156" s="53">
        <f t="shared" si="29"/>
        <v>1</v>
      </c>
      <c r="J156" s="961"/>
      <c r="K156" s="53">
        <f t="shared" si="30"/>
        <v>1</v>
      </c>
      <c r="L156" s="961"/>
      <c r="M156" s="53">
        <f t="shared" si="31"/>
        <v>1</v>
      </c>
      <c r="N156" s="961"/>
      <c r="O156" s="53">
        <f t="shared" si="32"/>
        <v>1</v>
      </c>
      <c r="P156" s="961"/>
      <c r="Q156" s="53">
        <f t="shared" si="33"/>
        <v>1</v>
      </c>
      <c r="R156" s="489">
        <f t="shared" si="34"/>
        <v>0</v>
      </c>
      <c r="S156" s="798">
        <f t="shared" si="25"/>
        <v>0</v>
      </c>
    </row>
    <row r="157" spans="1:19">
      <c r="A157" s="963"/>
      <c r="B157" s="137"/>
      <c r="C157" s="53">
        <f t="shared" si="26"/>
        <v>1</v>
      </c>
      <c r="D157" s="961"/>
      <c r="E157" s="53">
        <f t="shared" si="27"/>
        <v>0</v>
      </c>
      <c r="F157" s="961"/>
      <c r="G157" s="53">
        <f t="shared" si="28"/>
        <v>1</v>
      </c>
      <c r="H157" s="961"/>
      <c r="I157" s="53">
        <f t="shared" si="29"/>
        <v>1</v>
      </c>
      <c r="J157" s="961"/>
      <c r="K157" s="53">
        <f t="shared" si="30"/>
        <v>1</v>
      </c>
      <c r="L157" s="961"/>
      <c r="M157" s="53">
        <f t="shared" si="31"/>
        <v>1</v>
      </c>
      <c r="N157" s="961"/>
      <c r="O157" s="53">
        <f t="shared" si="32"/>
        <v>1</v>
      </c>
      <c r="P157" s="961"/>
      <c r="Q157" s="53">
        <f t="shared" si="33"/>
        <v>1</v>
      </c>
      <c r="R157" s="489">
        <f t="shared" si="34"/>
        <v>0</v>
      </c>
      <c r="S157" s="798">
        <f t="shared" si="25"/>
        <v>0</v>
      </c>
    </row>
    <row r="158" spans="1:19">
      <c r="A158" s="963"/>
      <c r="B158" s="137"/>
      <c r="C158" s="53">
        <f t="shared" si="26"/>
        <v>1</v>
      </c>
      <c r="D158" s="961"/>
      <c r="E158" s="53">
        <f t="shared" si="27"/>
        <v>0</v>
      </c>
      <c r="F158" s="961"/>
      <c r="G158" s="53">
        <f t="shared" si="28"/>
        <v>1</v>
      </c>
      <c r="H158" s="961"/>
      <c r="I158" s="53">
        <f t="shared" si="29"/>
        <v>1</v>
      </c>
      <c r="J158" s="961"/>
      <c r="K158" s="53">
        <f t="shared" si="30"/>
        <v>1</v>
      </c>
      <c r="L158" s="961"/>
      <c r="M158" s="53">
        <f t="shared" si="31"/>
        <v>1</v>
      </c>
      <c r="N158" s="961"/>
      <c r="O158" s="53">
        <f t="shared" si="32"/>
        <v>1</v>
      </c>
      <c r="P158" s="961"/>
      <c r="Q158" s="53">
        <f t="shared" si="33"/>
        <v>1</v>
      </c>
      <c r="R158" s="489">
        <f t="shared" si="34"/>
        <v>0</v>
      </c>
      <c r="S158" s="798">
        <f t="shared" si="25"/>
        <v>0</v>
      </c>
    </row>
    <row r="159" spans="1:19">
      <c r="A159" s="963"/>
      <c r="B159" s="137"/>
      <c r="C159" s="53">
        <f t="shared" si="26"/>
        <v>1</v>
      </c>
      <c r="D159" s="961"/>
      <c r="E159" s="53">
        <f t="shared" si="27"/>
        <v>0</v>
      </c>
      <c r="F159" s="961"/>
      <c r="G159" s="53">
        <f t="shared" si="28"/>
        <v>1</v>
      </c>
      <c r="H159" s="961"/>
      <c r="I159" s="53">
        <f t="shared" si="29"/>
        <v>1</v>
      </c>
      <c r="J159" s="961"/>
      <c r="K159" s="53">
        <f t="shared" si="30"/>
        <v>1</v>
      </c>
      <c r="L159" s="961"/>
      <c r="M159" s="53">
        <f t="shared" si="31"/>
        <v>1</v>
      </c>
      <c r="N159" s="961"/>
      <c r="O159" s="53">
        <f t="shared" si="32"/>
        <v>1</v>
      </c>
      <c r="P159" s="961"/>
      <c r="Q159" s="53">
        <f t="shared" si="33"/>
        <v>1</v>
      </c>
      <c r="R159" s="489">
        <f t="shared" si="34"/>
        <v>0</v>
      </c>
      <c r="S159" s="798">
        <f t="shared" si="25"/>
        <v>0</v>
      </c>
    </row>
    <row r="160" spans="1:19">
      <c r="A160" s="963"/>
      <c r="B160" s="137"/>
      <c r="C160" s="53">
        <f t="shared" si="26"/>
        <v>1</v>
      </c>
      <c r="D160" s="961"/>
      <c r="E160" s="53">
        <f t="shared" si="27"/>
        <v>0</v>
      </c>
      <c r="F160" s="961"/>
      <c r="G160" s="53">
        <f t="shared" si="28"/>
        <v>1</v>
      </c>
      <c r="H160" s="961"/>
      <c r="I160" s="53">
        <f t="shared" si="29"/>
        <v>1</v>
      </c>
      <c r="J160" s="961"/>
      <c r="K160" s="53">
        <f t="shared" si="30"/>
        <v>1</v>
      </c>
      <c r="L160" s="961"/>
      <c r="M160" s="53">
        <f t="shared" si="31"/>
        <v>1</v>
      </c>
      <c r="N160" s="961"/>
      <c r="O160" s="53">
        <f t="shared" si="32"/>
        <v>1</v>
      </c>
      <c r="P160" s="961"/>
      <c r="Q160" s="53">
        <f t="shared" si="33"/>
        <v>1</v>
      </c>
      <c r="R160" s="489">
        <f t="shared" si="34"/>
        <v>0</v>
      </c>
      <c r="S160" s="798">
        <f t="shared" si="25"/>
        <v>0</v>
      </c>
    </row>
    <row r="161" spans="1:19">
      <c r="A161" s="963"/>
      <c r="B161" s="137"/>
      <c r="C161" s="53">
        <f t="shared" si="26"/>
        <v>1</v>
      </c>
      <c r="D161" s="961"/>
      <c r="E161" s="53">
        <f t="shared" si="27"/>
        <v>0</v>
      </c>
      <c r="F161" s="961"/>
      <c r="G161" s="53">
        <f t="shared" si="28"/>
        <v>1</v>
      </c>
      <c r="H161" s="961"/>
      <c r="I161" s="53">
        <f t="shared" si="29"/>
        <v>1</v>
      </c>
      <c r="J161" s="961"/>
      <c r="K161" s="53">
        <f t="shared" si="30"/>
        <v>1</v>
      </c>
      <c r="L161" s="961"/>
      <c r="M161" s="53">
        <f t="shared" si="31"/>
        <v>1</v>
      </c>
      <c r="N161" s="961"/>
      <c r="O161" s="53">
        <f t="shared" si="32"/>
        <v>1</v>
      </c>
      <c r="P161" s="961"/>
      <c r="Q161" s="53">
        <f t="shared" si="33"/>
        <v>1</v>
      </c>
      <c r="R161" s="489">
        <f t="shared" si="34"/>
        <v>0</v>
      </c>
      <c r="S161" s="798">
        <f t="shared" si="25"/>
        <v>0</v>
      </c>
    </row>
    <row r="162" spans="1:19">
      <c r="A162" s="963"/>
      <c r="B162" s="137"/>
      <c r="C162" s="53">
        <f t="shared" si="26"/>
        <v>1</v>
      </c>
      <c r="D162" s="961"/>
      <c r="E162" s="53">
        <f t="shared" si="27"/>
        <v>0</v>
      </c>
      <c r="F162" s="961"/>
      <c r="G162" s="53">
        <f t="shared" si="28"/>
        <v>1</v>
      </c>
      <c r="H162" s="961"/>
      <c r="I162" s="53">
        <f t="shared" si="29"/>
        <v>1</v>
      </c>
      <c r="J162" s="961"/>
      <c r="K162" s="53">
        <f t="shared" si="30"/>
        <v>1</v>
      </c>
      <c r="L162" s="961"/>
      <c r="M162" s="53">
        <f t="shared" si="31"/>
        <v>1</v>
      </c>
      <c r="N162" s="961"/>
      <c r="O162" s="53">
        <f t="shared" si="32"/>
        <v>1</v>
      </c>
      <c r="P162" s="961"/>
      <c r="Q162" s="53">
        <f t="shared" si="33"/>
        <v>1</v>
      </c>
      <c r="R162" s="489">
        <f t="shared" si="34"/>
        <v>0</v>
      </c>
      <c r="S162" s="798">
        <f t="shared" si="25"/>
        <v>0</v>
      </c>
    </row>
    <row r="163" spans="1:19">
      <c r="A163" s="963"/>
      <c r="B163" s="137"/>
      <c r="C163" s="53">
        <f t="shared" si="26"/>
        <v>1</v>
      </c>
      <c r="D163" s="961"/>
      <c r="E163" s="53">
        <f t="shared" si="27"/>
        <v>0</v>
      </c>
      <c r="F163" s="961"/>
      <c r="G163" s="53">
        <f t="shared" si="28"/>
        <v>1</v>
      </c>
      <c r="H163" s="961"/>
      <c r="I163" s="53">
        <f t="shared" si="29"/>
        <v>1</v>
      </c>
      <c r="J163" s="961"/>
      <c r="K163" s="53">
        <f t="shared" si="30"/>
        <v>1</v>
      </c>
      <c r="L163" s="961"/>
      <c r="M163" s="53">
        <f t="shared" si="31"/>
        <v>1</v>
      </c>
      <c r="N163" s="961"/>
      <c r="O163" s="53">
        <f t="shared" si="32"/>
        <v>1</v>
      </c>
      <c r="P163" s="961"/>
      <c r="Q163" s="53">
        <f t="shared" si="33"/>
        <v>1</v>
      </c>
      <c r="R163" s="489">
        <f t="shared" si="34"/>
        <v>0</v>
      </c>
      <c r="S163" s="798">
        <f t="shared" si="25"/>
        <v>0</v>
      </c>
    </row>
    <row r="164" spans="1:19">
      <c r="A164" s="963"/>
      <c r="B164" s="137"/>
      <c r="C164" s="53">
        <f t="shared" si="26"/>
        <v>1</v>
      </c>
      <c r="D164" s="961"/>
      <c r="E164" s="53">
        <f t="shared" si="27"/>
        <v>0</v>
      </c>
      <c r="F164" s="961"/>
      <c r="G164" s="53">
        <f t="shared" si="28"/>
        <v>1</v>
      </c>
      <c r="H164" s="961"/>
      <c r="I164" s="53">
        <f t="shared" si="29"/>
        <v>1</v>
      </c>
      <c r="J164" s="961"/>
      <c r="K164" s="53">
        <f t="shared" si="30"/>
        <v>1</v>
      </c>
      <c r="L164" s="961"/>
      <c r="M164" s="53">
        <f t="shared" si="31"/>
        <v>1</v>
      </c>
      <c r="N164" s="961"/>
      <c r="O164" s="53">
        <f t="shared" si="32"/>
        <v>1</v>
      </c>
      <c r="P164" s="961"/>
      <c r="Q164" s="53">
        <f t="shared" si="33"/>
        <v>1</v>
      </c>
      <c r="R164" s="489">
        <f t="shared" si="34"/>
        <v>0</v>
      </c>
      <c r="S164" s="798">
        <f t="shared" si="25"/>
        <v>0</v>
      </c>
    </row>
    <row r="165" spans="1:19">
      <c r="A165" s="963"/>
      <c r="B165" s="137"/>
      <c r="C165" s="53">
        <f t="shared" si="26"/>
        <v>1</v>
      </c>
      <c r="D165" s="961"/>
      <c r="E165" s="53">
        <f t="shared" si="27"/>
        <v>0</v>
      </c>
      <c r="F165" s="961"/>
      <c r="G165" s="53">
        <f t="shared" si="28"/>
        <v>1</v>
      </c>
      <c r="H165" s="961"/>
      <c r="I165" s="53">
        <f t="shared" si="29"/>
        <v>1</v>
      </c>
      <c r="J165" s="961"/>
      <c r="K165" s="53">
        <f t="shared" si="30"/>
        <v>1</v>
      </c>
      <c r="L165" s="961"/>
      <c r="M165" s="53">
        <f t="shared" si="31"/>
        <v>1</v>
      </c>
      <c r="N165" s="961"/>
      <c r="O165" s="53">
        <f t="shared" si="32"/>
        <v>1</v>
      </c>
      <c r="P165" s="961"/>
      <c r="Q165" s="53">
        <f t="shared" si="33"/>
        <v>1</v>
      </c>
      <c r="R165" s="489">
        <f t="shared" si="34"/>
        <v>0</v>
      </c>
      <c r="S165" s="798">
        <f t="shared" si="25"/>
        <v>0</v>
      </c>
    </row>
    <row r="166" spans="1:19">
      <c r="A166" s="963"/>
      <c r="B166" s="137"/>
      <c r="C166" s="53">
        <f t="shared" si="26"/>
        <v>1</v>
      </c>
      <c r="D166" s="961"/>
      <c r="E166" s="53">
        <f t="shared" si="27"/>
        <v>0</v>
      </c>
      <c r="F166" s="961"/>
      <c r="G166" s="53">
        <f t="shared" si="28"/>
        <v>1</v>
      </c>
      <c r="H166" s="961"/>
      <c r="I166" s="53">
        <f t="shared" si="29"/>
        <v>1</v>
      </c>
      <c r="J166" s="961"/>
      <c r="K166" s="53">
        <f t="shared" si="30"/>
        <v>1</v>
      </c>
      <c r="L166" s="961"/>
      <c r="M166" s="53">
        <f t="shared" si="31"/>
        <v>1</v>
      </c>
      <c r="N166" s="961"/>
      <c r="O166" s="53">
        <f t="shared" si="32"/>
        <v>1</v>
      </c>
      <c r="P166" s="961"/>
      <c r="Q166" s="53">
        <f t="shared" si="33"/>
        <v>1</v>
      </c>
      <c r="R166" s="489">
        <f t="shared" si="34"/>
        <v>0</v>
      </c>
      <c r="S166" s="798">
        <f t="shared" si="25"/>
        <v>0</v>
      </c>
    </row>
    <row r="167" spans="1:19">
      <c r="A167" s="963"/>
      <c r="B167" s="137"/>
      <c r="C167" s="53">
        <f t="shared" si="26"/>
        <v>1</v>
      </c>
      <c r="D167" s="961"/>
      <c r="E167" s="53">
        <f t="shared" si="27"/>
        <v>0</v>
      </c>
      <c r="F167" s="961"/>
      <c r="G167" s="53">
        <f t="shared" si="28"/>
        <v>1</v>
      </c>
      <c r="H167" s="961"/>
      <c r="I167" s="53">
        <f t="shared" si="29"/>
        <v>1</v>
      </c>
      <c r="J167" s="961"/>
      <c r="K167" s="53">
        <f t="shared" si="30"/>
        <v>1</v>
      </c>
      <c r="L167" s="961"/>
      <c r="M167" s="53">
        <f t="shared" si="31"/>
        <v>1</v>
      </c>
      <c r="N167" s="961"/>
      <c r="O167" s="53">
        <f t="shared" si="32"/>
        <v>1</v>
      </c>
      <c r="P167" s="961"/>
      <c r="Q167" s="53">
        <f t="shared" si="33"/>
        <v>1</v>
      </c>
      <c r="R167" s="489">
        <f t="shared" si="34"/>
        <v>0</v>
      </c>
      <c r="S167" s="798">
        <f t="shared" si="25"/>
        <v>0</v>
      </c>
    </row>
    <row r="168" spans="1:19">
      <c r="A168" s="963"/>
      <c r="B168" s="137"/>
      <c r="C168" s="53">
        <f t="shared" si="26"/>
        <v>1</v>
      </c>
      <c r="D168" s="961"/>
      <c r="E168" s="53">
        <f t="shared" si="27"/>
        <v>0</v>
      </c>
      <c r="F168" s="961"/>
      <c r="G168" s="53">
        <f t="shared" si="28"/>
        <v>1</v>
      </c>
      <c r="H168" s="961"/>
      <c r="I168" s="53">
        <f t="shared" si="29"/>
        <v>1</v>
      </c>
      <c r="J168" s="961"/>
      <c r="K168" s="53">
        <f t="shared" si="30"/>
        <v>1</v>
      </c>
      <c r="L168" s="961"/>
      <c r="M168" s="53">
        <f t="shared" si="31"/>
        <v>1</v>
      </c>
      <c r="N168" s="961"/>
      <c r="O168" s="53">
        <f t="shared" si="32"/>
        <v>1</v>
      </c>
      <c r="P168" s="961"/>
      <c r="Q168" s="53">
        <f t="shared" si="33"/>
        <v>1</v>
      </c>
      <c r="R168" s="489">
        <f t="shared" si="34"/>
        <v>0</v>
      </c>
      <c r="S168" s="798">
        <f t="shared" si="25"/>
        <v>0</v>
      </c>
    </row>
    <row r="169" spans="1:19">
      <c r="A169" s="963"/>
      <c r="B169" s="137"/>
      <c r="C169" s="53">
        <f t="shared" si="26"/>
        <v>1</v>
      </c>
      <c r="D169" s="961"/>
      <c r="E169" s="53">
        <f t="shared" si="27"/>
        <v>0</v>
      </c>
      <c r="F169" s="961"/>
      <c r="G169" s="53">
        <f t="shared" si="28"/>
        <v>1</v>
      </c>
      <c r="H169" s="961"/>
      <c r="I169" s="53">
        <f t="shared" si="29"/>
        <v>1</v>
      </c>
      <c r="J169" s="961"/>
      <c r="K169" s="53">
        <f t="shared" si="30"/>
        <v>1</v>
      </c>
      <c r="L169" s="961"/>
      <c r="M169" s="53">
        <f t="shared" si="31"/>
        <v>1</v>
      </c>
      <c r="N169" s="961"/>
      <c r="O169" s="53">
        <f t="shared" si="32"/>
        <v>1</v>
      </c>
      <c r="P169" s="961"/>
      <c r="Q169" s="53">
        <f t="shared" si="33"/>
        <v>1</v>
      </c>
      <c r="R169" s="489">
        <f t="shared" si="34"/>
        <v>0</v>
      </c>
      <c r="S169" s="798">
        <f t="shared" si="25"/>
        <v>0</v>
      </c>
    </row>
    <row r="170" spans="1:19">
      <c r="A170" s="963"/>
      <c r="B170" s="137"/>
      <c r="C170" s="53">
        <f t="shared" si="26"/>
        <v>1</v>
      </c>
      <c r="D170" s="961"/>
      <c r="E170" s="53">
        <f t="shared" si="27"/>
        <v>0</v>
      </c>
      <c r="F170" s="961"/>
      <c r="G170" s="53">
        <f t="shared" si="28"/>
        <v>1</v>
      </c>
      <c r="H170" s="961"/>
      <c r="I170" s="53">
        <f t="shared" si="29"/>
        <v>1</v>
      </c>
      <c r="J170" s="961"/>
      <c r="K170" s="53">
        <f t="shared" si="30"/>
        <v>1</v>
      </c>
      <c r="L170" s="961"/>
      <c r="M170" s="53">
        <f t="shared" si="31"/>
        <v>1</v>
      </c>
      <c r="N170" s="961"/>
      <c r="O170" s="53">
        <f t="shared" si="32"/>
        <v>1</v>
      </c>
      <c r="P170" s="961"/>
      <c r="Q170" s="53">
        <f t="shared" si="33"/>
        <v>1</v>
      </c>
      <c r="R170" s="489">
        <f t="shared" si="34"/>
        <v>0</v>
      </c>
      <c r="S170" s="798">
        <f t="shared" si="25"/>
        <v>0</v>
      </c>
    </row>
    <row r="171" spans="1:19">
      <c r="A171" s="963"/>
      <c r="B171" s="137"/>
      <c r="C171" s="53">
        <f t="shared" si="26"/>
        <v>1</v>
      </c>
      <c r="D171" s="961"/>
      <c r="E171" s="53">
        <f t="shared" si="27"/>
        <v>0</v>
      </c>
      <c r="F171" s="961"/>
      <c r="G171" s="53">
        <f t="shared" si="28"/>
        <v>1</v>
      </c>
      <c r="H171" s="961"/>
      <c r="I171" s="53">
        <f t="shared" si="29"/>
        <v>1</v>
      </c>
      <c r="J171" s="961"/>
      <c r="K171" s="53">
        <f t="shared" si="30"/>
        <v>1</v>
      </c>
      <c r="L171" s="961"/>
      <c r="M171" s="53">
        <f t="shared" si="31"/>
        <v>1</v>
      </c>
      <c r="N171" s="961"/>
      <c r="O171" s="53">
        <f t="shared" si="32"/>
        <v>1</v>
      </c>
      <c r="P171" s="961"/>
      <c r="Q171" s="53">
        <f t="shared" si="33"/>
        <v>1</v>
      </c>
      <c r="R171" s="489">
        <f t="shared" si="34"/>
        <v>0</v>
      </c>
      <c r="S171" s="798">
        <f t="shared" si="25"/>
        <v>0</v>
      </c>
    </row>
    <row r="172" spans="1:19">
      <c r="A172" s="963"/>
      <c r="B172" s="137"/>
      <c r="C172" s="53">
        <f t="shared" si="26"/>
        <v>1</v>
      </c>
      <c r="D172" s="961"/>
      <c r="E172" s="53">
        <f t="shared" si="27"/>
        <v>0</v>
      </c>
      <c r="F172" s="961"/>
      <c r="G172" s="53">
        <f t="shared" si="28"/>
        <v>1</v>
      </c>
      <c r="H172" s="961"/>
      <c r="I172" s="53">
        <f t="shared" si="29"/>
        <v>1</v>
      </c>
      <c r="J172" s="961"/>
      <c r="K172" s="53">
        <f t="shared" si="30"/>
        <v>1</v>
      </c>
      <c r="L172" s="961"/>
      <c r="M172" s="53">
        <f t="shared" si="31"/>
        <v>1</v>
      </c>
      <c r="N172" s="961"/>
      <c r="O172" s="53">
        <f t="shared" si="32"/>
        <v>1</v>
      </c>
      <c r="P172" s="961"/>
      <c r="Q172" s="53">
        <f t="shared" si="33"/>
        <v>1</v>
      </c>
      <c r="R172" s="489">
        <f t="shared" si="34"/>
        <v>0</v>
      </c>
      <c r="S172" s="798">
        <f t="shared" si="25"/>
        <v>0</v>
      </c>
    </row>
    <row r="173" spans="1:19">
      <c r="A173" s="963"/>
      <c r="B173" s="137"/>
      <c r="C173" s="53">
        <f t="shared" si="26"/>
        <v>1</v>
      </c>
      <c r="D173" s="961"/>
      <c r="E173" s="53">
        <f t="shared" si="27"/>
        <v>0</v>
      </c>
      <c r="F173" s="961"/>
      <c r="G173" s="53">
        <f t="shared" si="28"/>
        <v>1</v>
      </c>
      <c r="H173" s="961"/>
      <c r="I173" s="53">
        <f t="shared" si="29"/>
        <v>1</v>
      </c>
      <c r="J173" s="961"/>
      <c r="K173" s="53">
        <f t="shared" si="30"/>
        <v>1</v>
      </c>
      <c r="L173" s="961"/>
      <c r="M173" s="53">
        <f t="shared" si="31"/>
        <v>1</v>
      </c>
      <c r="N173" s="961"/>
      <c r="O173" s="53">
        <f t="shared" si="32"/>
        <v>1</v>
      </c>
      <c r="P173" s="961"/>
      <c r="Q173" s="53">
        <f t="shared" si="33"/>
        <v>1</v>
      </c>
      <c r="R173" s="489">
        <f t="shared" si="34"/>
        <v>0</v>
      </c>
      <c r="S173" s="798">
        <f t="shared" si="25"/>
        <v>0</v>
      </c>
    </row>
    <row r="174" spans="1:19">
      <c r="A174" s="963"/>
      <c r="B174" s="137"/>
      <c r="C174" s="53">
        <f t="shared" si="26"/>
        <v>1</v>
      </c>
      <c r="D174" s="961"/>
      <c r="E174" s="53">
        <f t="shared" si="27"/>
        <v>0</v>
      </c>
      <c r="F174" s="961"/>
      <c r="G174" s="53">
        <f t="shared" si="28"/>
        <v>1</v>
      </c>
      <c r="H174" s="961"/>
      <c r="I174" s="53">
        <f t="shared" si="29"/>
        <v>1</v>
      </c>
      <c r="J174" s="961"/>
      <c r="K174" s="53">
        <f t="shared" si="30"/>
        <v>1</v>
      </c>
      <c r="L174" s="961"/>
      <c r="M174" s="53">
        <f t="shared" si="31"/>
        <v>1</v>
      </c>
      <c r="N174" s="961"/>
      <c r="O174" s="53">
        <f t="shared" si="32"/>
        <v>1</v>
      </c>
      <c r="P174" s="961"/>
      <c r="Q174" s="53">
        <f t="shared" si="33"/>
        <v>1</v>
      </c>
      <c r="R174" s="489">
        <f t="shared" si="34"/>
        <v>0</v>
      </c>
      <c r="S174" s="798">
        <f t="shared" si="25"/>
        <v>0</v>
      </c>
    </row>
    <row r="175" spans="1:19">
      <c r="A175" s="963"/>
      <c r="B175" s="137"/>
      <c r="C175" s="53">
        <f t="shared" si="26"/>
        <v>1</v>
      </c>
      <c r="D175" s="961"/>
      <c r="E175" s="53">
        <f t="shared" si="27"/>
        <v>0</v>
      </c>
      <c r="F175" s="961"/>
      <c r="G175" s="53">
        <f t="shared" si="28"/>
        <v>1</v>
      </c>
      <c r="H175" s="961"/>
      <c r="I175" s="53">
        <f t="shared" si="29"/>
        <v>1</v>
      </c>
      <c r="J175" s="961"/>
      <c r="K175" s="53">
        <f t="shared" si="30"/>
        <v>1</v>
      </c>
      <c r="L175" s="961"/>
      <c r="M175" s="53">
        <f t="shared" si="31"/>
        <v>1</v>
      </c>
      <c r="N175" s="961"/>
      <c r="O175" s="53">
        <f t="shared" si="32"/>
        <v>1</v>
      </c>
      <c r="P175" s="961"/>
      <c r="Q175" s="53">
        <f t="shared" si="33"/>
        <v>1</v>
      </c>
      <c r="R175" s="489">
        <f t="shared" si="34"/>
        <v>0</v>
      </c>
      <c r="S175" s="798">
        <f t="shared" si="25"/>
        <v>0</v>
      </c>
    </row>
    <row r="176" spans="1:19">
      <c r="A176" s="963"/>
      <c r="B176" s="137"/>
      <c r="C176" s="53">
        <f t="shared" si="26"/>
        <v>1</v>
      </c>
      <c r="D176" s="961"/>
      <c r="E176" s="53">
        <f t="shared" si="27"/>
        <v>0</v>
      </c>
      <c r="F176" s="961"/>
      <c r="G176" s="53">
        <f t="shared" si="28"/>
        <v>1</v>
      </c>
      <c r="H176" s="961"/>
      <c r="I176" s="53">
        <f t="shared" si="29"/>
        <v>1</v>
      </c>
      <c r="J176" s="961"/>
      <c r="K176" s="53">
        <f t="shared" si="30"/>
        <v>1</v>
      </c>
      <c r="L176" s="961"/>
      <c r="M176" s="53">
        <f t="shared" si="31"/>
        <v>1</v>
      </c>
      <c r="N176" s="961"/>
      <c r="O176" s="53">
        <f t="shared" si="32"/>
        <v>1</v>
      </c>
      <c r="P176" s="961"/>
      <c r="Q176" s="53">
        <f t="shared" si="33"/>
        <v>1</v>
      </c>
      <c r="R176" s="489">
        <f t="shared" si="34"/>
        <v>0</v>
      </c>
      <c r="S176" s="798">
        <f t="shared" si="25"/>
        <v>0</v>
      </c>
    </row>
    <row r="177" spans="1:19">
      <c r="A177" s="963"/>
      <c r="B177" s="137"/>
      <c r="C177" s="53">
        <f t="shared" si="26"/>
        <v>1</v>
      </c>
      <c r="D177" s="961"/>
      <c r="E177" s="53">
        <f t="shared" si="27"/>
        <v>0</v>
      </c>
      <c r="F177" s="961"/>
      <c r="G177" s="53">
        <f t="shared" si="28"/>
        <v>1</v>
      </c>
      <c r="H177" s="961"/>
      <c r="I177" s="53">
        <f t="shared" si="29"/>
        <v>1</v>
      </c>
      <c r="J177" s="961"/>
      <c r="K177" s="53">
        <f t="shared" si="30"/>
        <v>1</v>
      </c>
      <c r="L177" s="961"/>
      <c r="M177" s="53">
        <f t="shared" si="31"/>
        <v>1</v>
      </c>
      <c r="N177" s="961"/>
      <c r="O177" s="53">
        <f t="shared" si="32"/>
        <v>1</v>
      </c>
      <c r="P177" s="961"/>
      <c r="Q177" s="53">
        <f t="shared" si="33"/>
        <v>1</v>
      </c>
      <c r="R177" s="489">
        <f t="shared" si="34"/>
        <v>0</v>
      </c>
      <c r="S177" s="798">
        <f t="shared" si="25"/>
        <v>0</v>
      </c>
    </row>
    <row r="178" spans="1:19">
      <c r="A178" s="963"/>
      <c r="B178" s="137"/>
      <c r="C178" s="53">
        <f t="shared" si="26"/>
        <v>1</v>
      </c>
      <c r="D178" s="961"/>
      <c r="E178" s="53">
        <f t="shared" si="27"/>
        <v>0</v>
      </c>
      <c r="F178" s="961"/>
      <c r="G178" s="53">
        <f t="shared" si="28"/>
        <v>1</v>
      </c>
      <c r="H178" s="961"/>
      <c r="I178" s="53">
        <f t="shared" si="29"/>
        <v>1</v>
      </c>
      <c r="J178" s="961"/>
      <c r="K178" s="53">
        <f t="shared" si="30"/>
        <v>1</v>
      </c>
      <c r="L178" s="961"/>
      <c r="M178" s="53">
        <f t="shared" si="31"/>
        <v>1</v>
      </c>
      <c r="N178" s="961"/>
      <c r="O178" s="53">
        <f t="shared" si="32"/>
        <v>1</v>
      </c>
      <c r="P178" s="961"/>
      <c r="Q178" s="53">
        <f t="shared" si="33"/>
        <v>1</v>
      </c>
      <c r="R178" s="489">
        <f t="shared" si="34"/>
        <v>0</v>
      </c>
      <c r="S178" s="798">
        <f t="shared" si="25"/>
        <v>0</v>
      </c>
    </row>
    <row r="179" spans="1:19">
      <c r="A179" s="963"/>
      <c r="B179" s="137"/>
      <c r="C179" s="53">
        <f t="shared" si="26"/>
        <v>1</v>
      </c>
      <c r="D179" s="961"/>
      <c r="E179" s="53">
        <f t="shared" si="27"/>
        <v>0</v>
      </c>
      <c r="F179" s="961"/>
      <c r="G179" s="53">
        <f t="shared" si="28"/>
        <v>1</v>
      </c>
      <c r="H179" s="961"/>
      <c r="I179" s="53">
        <f t="shared" si="29"/>
        <v>1</v>
      </c>
      <c r="J179" s="961"/>
      <c r="K179" s="53">
        <f t="shared" si="30"/>
        <v>1</v>
      </c>
      <c r="L179" s="961"/>
      <c r="M179" s="53">
        <f t="shared" si="31"/>
        <v>1</v>
      </c>
      <c r="N179" s="961"/>
      <c r="O179" s="53">
        <f t="shared" si="32"/>
        <v>1</v>
      </c>
      <c r="P179" s="961"/>
      <c r="Q179" s="53">
        <f t="shared" si="33"/>
        <v>1</v>
      </c>
      <c r="R179" s="489">
        <f t="shared" si="34"/>
        <v>0</v>
      </c>
      <c r="S179" s="798">
        <f t="shared" si="25"/>
        <v>0</v>
      </c>
    </row>
    <row r="180" spans="1:19">
      <c r="A180" s="963"/>
      <c r="B180" s="137"/>
      <c r="C180" s="53">
        <f t="shared" si="26"/>
        <v>1</v>
      </c>
      <c r="D180" s="961"/>
      <c r="E180" s="53">
        <f t="shared" si="27"/>
        <v>0</v>
      </c>
      <c r="F180" s="961"/>
      <c r="G180" s="53">
        <f t="shared" si="28"/>
        <v>1</v>
      </c>
      <c r="H180" s="961"/>
      <c r="I180" s="53">
        <f t="shared" si="29"/>
        <v>1</v>
      </c>
      <c r="J180" s="961"/>
      <c r="K180" s="53">
        <f t="shared" si="30"/>
        <v>1</v>
      </c>
      <c r="L180" s="961"/>
      <c r="M180" s="53">
        <f t="shared" si="31"/>
        <v>1</v>
      </c>
      <c r="N180" s="961"/>
      <c r="O180" s="53">
        <f t="shared" si="32"/>
        <v>1</v>
      </c>
      <c r="P180" s="961"/>
      <c r="Q180" s="53">
        <f t="shared" si="33"/>
        <v>1</v>
      </c>
      <c r="R180" s="489">
        <f t="shared" si="34"/>
        <v>0</v>
      </c>
      <c r="S180" s="798">
        <f t="shared" si="25"/>
        <v>0</v>
      </c>
    </row>
    <row r="181" spans="1:19">
      <c r="A181" s="963"/>
      <c r="B181" s="137"/>
      <c r="C181" s="53">
        <f t="shared" si="26"/>
        <v>1</v>
      </c>
      <c r="D181" s="961"/>
      <c r="E181" s="53">
        <f t="shared" si="27"/>
        <v>0</v>
      </c>
      <c r="F181" s="961"/>
      <c r="G181" s="53">
        <f t="shared" si="28"/>
        <v>1</v>
      </c>
      <c r="H181" s="961"/>
      <c r="I181" s="53">
        <f t="shared" si="29"/>
        <v>1</v>
      </c>
      <c r="J181" s="961"/>
      <c r="K181" s="53">
        <f t="shared" si="30"/>
        <v>1</v>
      </c>
      <c r="L181" s="961"/>
      <c r="M181" s="53">
        <f t="shared" si="31"/>
        <v>1</v>
      </c>
      <c r="N181" s="961"/>
      <c r="O181" s="53">
        <f t="shared" si="32"/>
        <v>1</v>
      </c>
      <c r="P181" s="961"/>
      <c r="Q181" s="53">
        <f t="shared" si="33"/>
        <v>1</v>
      </c>
      <c r="R181" s="489">
        <f t="shared" si="34"/>
        <v>0</v>
      </c>
      <c r="S181" s="798">
        <f t="shared" si="25"/>
        <v>0</v>
      </c>
    </row>
    <row r="182" spans="1:19">
      <c r="A182" s="963"/>
      <c r="B182" s="137"/>
      <c r="C182" s="53">
        <f t="shared" si="26"/>
        <v>1</v>
      </c>
      <c r="D182" s="961"/>
      <c r="E182" s="53">
        <f t="shared" si="27"/>
        <v>0</v>
      </c>
      <c r="F182" s="961"/>
      <c r="G182" s="53">
        <f t="shared" si="28"/>
        <v>1</v>
      </c>
      <c r="H182" s="961"/>
      <c r="I182" s="53">
        <f t="shared" si="29"/>
        <v>1</v>
      </c>
      <c r="J182" s="961"/>
      <c r="K182" s="53">
        <f t="shared" si="30"/>
        <v>1</v>
      </c>
      <c r="L182" s="961"/>
      <c r="M182" s="53">
        <f t="shared" si="31"/>
        <v>1</v>
      </c>
      <c r="N182" s="961"/>
      <c r="O182" s="53">
        <f t="shared" si="32"/>
        <v>1</v>
      </c>
      <c r="P182" s="961"/>
      <c r="Q182" s="53">
        <f t="shared" si="33"/>
        <v>1</v>
      </c>
      <c r="R182" s="489">
        <f t="shared" si="34"/>
        <v>0</v>
      </c>
      <c r="S182" s="798">
        <f t="shared" si="25"/>
        <v>0</v>
      </c>
    </row>
    <row r="183" spans="1:19">
      <c r="A183" s="963"/>
      <c r="B183" s="137"/>
      <c r="C183" s="53">
        <f t="shared" si="26"/>
        <v>1</v>
      </c>
      <c r="D183" s="961"/>
      <c r="E183" s="53">
        <f t="shared" si="27"/>
        <v>0</v>
      </c>
      <c r="F183" s="961"/>
      <c r="G183" s="53">
        <f t="shared" si="28"/>
        <v>1</v>
      </c>
      <c r="H183" s="961"/>
      <c r="I183" s="53">
        <f t="shared" si="29"/>
        <v>1</v>
      </c>
      <c r="J183" s="961"/>
      <c r="K183" s="53">
        <f t="shared" si="30"/>
        <v>1</v>
      </c>
      <c r="L183" s="961"/>
      <c r="M183" s="53">
        <f t="shared" si="31"/>
        <v>1</v>
      </c>
      <c r="N183" s="961"/>
      <c r="O183" s="53">
        <f t="shared" si="32"/>
        <v>1</v>
      </c>
      <c r="P183" s="961"/>
      <c r="Q183" s="53">
        <f t="shared" si="33"/>
        <v>1</v>
      </c>
      <c r="R183" s="489">
        <f t="shared" si="34"/>
        <v>0</v>
      </c>
      <c r="S183" s="798">
        <f t="shared" si="25"/>
        <v>0</v>
      </c>
    </row>
    <row r="184" spans="1:19">
      <c r="A184" s="963"/>
      <c r="B184" s="137"/>
      <c r="C184" s="53">
        <f t="shared" si="26"/>
        <v>1</v>
      </c>
      <c r="D184" s="961"/>
      <c r="E184" s="53">
        <f t="shared" si="27"/>
        <v>0</v>
      </c>
      <c r="F184" s="961"/>
      <c r="G184" s="53">
        <f t="shared" si="28"/>
        <v>1</v>
      </c>
      <c r="H184" s="961"/>
      <c r="I184" s="53">
        <f t="shared" si="29"/>
        <v>1</v>
      </c>
      <c r="J184" s="961"/>
      <c r="K184" s="53">
        <f t="shared" si="30"/>
        <v>1</v>
      </c>
      <c r="L184" s="961"/>
      <c r="M184" s="53">
        <f t="shared" si="31"/>
        <v>1</v>
      </c>
      <c r="N184" s="961"/>
      <c r="O184" s="53">
        <f t="shared" si="32"/>
        <v>1</v>
      </c>
      <c r="P184" s="961"/>
      <c r="Q184" s="53">
        <f t="shared" si="33"/>
        <v>1</v>
      </c>
      <c r="R184" s="489">
        <f t="shared" si="34"/>
        <v>0</v>
      </c>
      <c r="S184" s="798">
        <f t="shared" si="25"/>
        <v>0</v>
      </c>
    </row>
    <row r="185" spans="1:19">
      <c r="A185" s="963"/>
      <c r="B185" s="137"/>
      <c r="C185" s="53">
        <f t="shared" si="26"/>
        <v>1</v>
      </c>
      <c r="D185" s="961"/>
      <c r="E185" s="53">
        <f t="shared" si="27"/>
        <v>0</v>
      </c>
      <c r="F185" s="961"/>
      <c r="G185" s="53">
        <f t="shared" si="28"/>
        <v>1</v>
      </c>
      <c r="H185" s="961"/>
      <c r="I185" s="53">
        <f t="shared" si="29"/>
        <v>1</v>
      </c>
      <c r="J185" s="961"/>
      <c r="K185" s="53">
        <f t="shared" si="30"/>
        <v>1</v>
      </c>
      <c r="L185" s="961"/>
      <c r="M185" s="53">
        <f t="shared" si="31"/>
        <v>1</v>
      </c>
      <c r="N185" s="961"/>
      <c r="O185" s="53">
        <f t="shared" si="32"/>
        <v>1</v>
      </c>
      <c r="P185" s="961"/>
      <c r="Q185" s="53">
        <f t="shared" si="33"/>
        <v>1</v>
      </c>
      <c r="R185" s="489">
        <f t="shared" si="34"/>
        <v>0</v>
      </c>
      <c r="S185" s="798">
        <f t="shared" si="25"/>
        <v>0</v>
      </c>
    </row>
    <row r="186" spans="1:19">
      <c r="A186" s="963"/>
      <c r="B186" s="137"/>
      <c r="C186" s="53">
        <f t="shared" si="26"/>
        <v>1</v>
      </c>
      <c r="D186" s="961"/>
      <c r="E186" s="53">
        <f t="shared" si="27"/>
        <v>0</v>
      </c>
      <c r="F186" s="961"/>
      <c r="G186" s="53">
        <f t="shared" si="28"/>
        <v>1</v>
      </c>
      <c r="H186" s="961"/>
      <c r="I186" s="53">
        <f t="shared" si="29"/>
        <v>1</v>
      </c>
      <c r="J186" s="961"/>
      <c r="K186" s="53">
        <f t="shared" si="30"/>
        <v>1</v>
      </c>
      <c r="L186" s="961"/>
      <c r="M186" s="53">
        <f t="shared" si="31"/>
        <v>1</v>
      </c>
      <c r="N186" s="961"/>
      <c r="O186" s="53">
        <f t="shared" si="32"/>
        <v>1</v>
      </c>
      <c r="P186" s="961"/>
      <c r="Q186" s="53">
        <f t="shared" si="33"/>
        <v>1</v>
      </c>
      <c r="R186" s="489">
        <f t="shared" si="34"/>
        <v>0</v>
      </c>
      <c r="S186" s="798">
        <f t="shared" si="25"/>
        <v>0</v>
      </c>
    </row>
    <row r="187" spans="1:19">
      <c r="A187" s="963"/>
      <c r="B187" s="137"/>
      <c r="C187" s="53">
        <f t="shared" si="26"/>
        <v>1</v>
      </c>
      <c r="D187" s="961"/>
      <c r="E187" s="53">
        <f t="shared" si="27"/>
        <v>0</v>
      </c>
      <c r="F187" s="961"/>
      <c r="G187" s="53">
        <f t="shared" si="28"/>
        <v>1</v>
      </c>
      <c r="H187" s="961"/>
      <c r="I187" s="53">
        <f t="shared" si="29"/>
        <v>1</v>
      </c>
      <c r="J187" s="961"/>
      <c r="K187" s="53">
        <f t="shared" si="30"/>
        <v>1</v>
      </c>
      <c r="L187" s="961"/>
      <c r="M187" s="53">
        <f t="shared" si="31"/>
        <v>1</v>
      </c>
      <c r="N187" s="961"/>
      <c r="O187" s="53">
        <f t="shared" si="32"/>
        <v>1</v>
      </c>
      <c r="P187" s="961"/>
      <c r="Q187" s="53">
        <f t="shared" si="33"/>
        <v>1</v>
      </c>
      <c r="R187" s="489">
        <f t="shared" si="34"/>
        <v>0</v>
      </c>
      <c r="S187" s="798">
        <f t="shared" si="25"/>
        <v>0</v>
      </c>
    </row>
    <row r="188" spans="1:19">
      <c r="A188" s="963"/>
      <c r="B188" s="137"/>
      <c r="C188" s="53">
        <f t="shared" si="26"/>
        <v>1</v>
      </c>
      <c r="D188" s="961"/>
      <c r="E188" s="53">
        <f t="shared" si="27"/>
        <v>0</v>
      </c>
      <c r="F188" s="961"/>
      <c r="G188" s="53">
        <f t="shared" si="28"/>
        <v>1</v>
      </c>
      <c r="H188" s="961"/>
      <c r="I188" s="53">
        <f t="shared" si="29"/>
        <v>1</v>
      </c>
      <c r="J188" s="961"/>
      <c r="K188" s="53">
        <f t="shared" si="30"/>
        <v>1</v>
      </c>
      <c r="L188" s="961"/>
      <c r="M188" s="53">
        <f t="shared" si="31"/>
        <v>1</v>
      </c>
      <c r="N188" s="961"/>
      <c r="O188" s="53">
        <f t="shared" si="32"/>
        <v>1</v>
      </c>
      <c r="P188" s="961"/>
      <c r="Q188" s="53">
        <f t="shared" si="33"/>
        <v>1</v>
      </c>
      <c r="R188" s="489">
        <f t="shared" si="34"/>
        <v>0</v>
      </c>
      <c r="S188" s="798">
        <f t="shared" si="25"/>
        <v>0</v>
      </c>
    </row>
    <row r="189" spans="1:19">
      <c r="A189" s="963"/>
      <c r="B189" s="137"/>
      <c r="C189" s="53">
        <f t="shared" si="26"/>
        <v>1</v>
      </c>
      <c r="D189" s="961"/>
      <c r="E189" s="53">
        <f t="shared" si="27"/>
        <v>0</v>
      </c>
      <c r="F189" s="961"/>
      <c r="G189" s="53">
        <f t="shared" si="28"/>
        <v>1</v>
      </c>
      <c r="H189" s="961"/>
      <c r="I189" s="53">
        <f t="shared" si="29"/>
        <v>1</v>
      </c>
      <c r="J189" s="961"/>
      <c r="K189" s="53">
        <f t="shared" si="30"/>
        <v>1</v>
      </c>
      <c r="L189" s="961"/>
      <c r="M189" s="53">
        <f t="shared" si="31"/>
        <v>1</v>
      </c>
      <c r="N189" s="961"/>
      <c r="O189" s="53">
        <f t="shared" si="32"/>
        <v>1</v>
      </c>
      <c r="P189" s="961"/>
      <c r="Q189" s="53">
        <f t="shared" si="33"/>
        <v>1</v>
      </c>
      <c r="R189" s="489">
        <f t="shared" si="34"/>
        <v>0</v>
      </c>
      <c r="S189" s="798">
        <f t="shared" si="25"/>
        <v>0</v>
      </c>
    </row>
    <row r="190" spans="1:19">
      <c r="A190" s="963"/>
      <c r="B190" s="137"/>
      <c r="C190" s="53">
        <f t="shared" si="26"/>
        <v>1</v>
      </c>
      <c r="D190" s="961"/>
      <c r="E190" s="53">
        <f t="shared" si="27"/>
        <v>0</v>
      </c>
      <c r="F190" s="961"/>
      <c r="G190" s="53">
        <f t="shared" si="28"/>
        <v>1</v>
      </c>
      <c r="H190" s="961"/>
      <c r="I190" s="53">
        <f t="shared" si="29"/>
        <v>1</v>
      </c>
      <c r="J190" s="961"/>
      <c r="K190" s="53">
        <f t="shared" si="30"/>
        <v>1</v>
      </c>
      <c r="L190" s="961"/>
      <c r="M190" s="53">
        <f t="shared" si="31"/>
        <v>1</v>
      </c>
      <c r="N190" s="961"/>
      <c r="O190" s="53">
        <f t="shared" si="32"/>
        <v>1</v>
      </c>
      <c r="P190" s="961"/>
      <c r="Q190" s="53">
        <f t="shared" si="33"/>
        <v>1</v>
      </c>
      <c r="R190" s="489">
        <f t="shared" si="34"/>
        <v>0</v>
      </c>
      <c r="S190" s="798">
        <f t="shared" si="25"/>
        <v>0</v>
      </c>
    </row>
    <row r="191" spans="1:19">
      <c r="A191" s="963"/>
      <c r="B191" s="137"/>
      <c r="C191" s="53">
        <f t="shared" si="26"/>
        <v>1</v>
      </c>
      <c r="D191" s="961"/>
      <c r="E191" s="53">
        <f t="shared" si="27"/>
        <v>0</v>
      </c>
      <c r="F191" s="961"/>
      <c r="G191" s="53">
        <f t="shared" si="28"/>
        <v>1</v>
      </c>
      <c r="H191" s="961"/>
      <c r="I191" s="53">
        <f t="shared" si="29"/>
        <v>1</v>
      </c>
      <c r="J191" s="961"/>
      <c r="K191" s="53">
        <f t="shared" si="30"/>
        <v>1</v>
      </c>
      <c r="L191" s="961"/>
      <c r="M191" s="53">
        <f t="shared" si="31"/>
        <v>1</v>
      </c>
      <c r="N191" s="961"/>
      <c r="O191" s="53">
        <f t="shared" si="32"/>
        <v>1</v>
      </c>
      <c r="P191" s="961"/>
      <c r="Q191" s="53">
        <f t="shared" si="33"/>
        <v>1</v>
      </c>
      <c r="R191" s="489">
        <f t="shared" si="34"/>
        <v>0</v>
      </c>
      <c r="S191" s="798">
        <f t="shared" si="25"/>
        <v>0</v>
      </c>
    </row>
    <row r="192" spans="1:19">
      <c r="A192" s="963"/>
      <c r="B192" s="137"/>
      <c r="C192" s="53">
        <f t="shared" si="26"/>
        <v>1</v>
      </c>
      <c r="D192" s="961"/>
      <c r="E192" s="53">
        <f t="shared" si="27"/>
        <v>0</v>
      </c>
      <c r="F192" s="961"/>
      <c r="G192" s="53">
        <f t="shared" si="28"/>
        <v>1</v>
      </c>
      <c r="H192" s="961"/>
      <c r="I192" s="53">
        <f t="shared" si="29"/>
        <v>1</v>
      </c>
      <c r="J192" s="961"/>
      <c r="K192" s="53">
        <f t="shared" si="30"/>
        <v>1</v>
      </c>
      <c r="L192" s="961"/>
      <c r="M192" s="53">
        <f t="shared" si="31"/>
        <v>1</v>
      </c>
      <c r="N192" s="961"/>
      <c r="O192" s="53">
        <f t="shared" si="32"/>
        <v>1</v>
      </c>
      <c r="P192" s="961"/>
      <c r="Q192" s="53">
        <f t="shared" si="33"/>
        <v>1</v>
      </c>
      <c r="R192" s="489">
        <f t="shared" si="34"/>
        <v>0</v>
      </c>
      <c r="S192" s="798">
        <f t="shared" si="25"/>
        <v>0</v>
      </c>
    </row>
    <row r="193" spans="1:19">
      <c r="A193" s="963"/>
      <c r="B193" s="137"/>
      <c r="C193" s="53">
        <f t="shared" si="26"/>
        <v>1</v>
      </c>
      <c r="D193" s="961"/>
      <c r="E193" s="53">
        <f t="shared" si="27"/>
        <v>0</v>
      </c>
      <c r="F193" s="961"/>
      <c r="G193" s="53">
        <f t="shared" si="28"/>
        <v>1</v>
      </c>
      <c r="H193" s="961"/>
      <c r="I193" s="53">
        <f t="shared" si="29"/>
        <v>1</v>
      </c>
      <c r="J193" s="961"/>
      <c r="K193" s="53">
        <f t="shared" si="30"/>
        <v>1</v>
      </c>
      <c r="L193" s="961"/>
      <c r="M193" s="53">
        <f t="shared" si="31"/>
        <v>1</v>
      </c>
      <c r="N193" s="961"/>
      <c r="O193" s="53">
        <f t="shared" si="32"/>
        <v>1</v>
      </c>
      <c r="P193" s="961"/>
      <c r="Q193" s="53">
        <f t="shared" si="33"/>
        <v>1</v>
      </c>
      <c r="R193" s="489">
        <f t="shared" si="34"/>
        <v>0</v>
      </c>
      <c r="S193" s="798">
        <f t="shared" si="25"/>
        <v>0</v>
      </c>
    </row>
    <row r="194" spans="1:19">
      <c r="A194" s="963"/>
      <c r="B194" s="137"/>
      <c r="C194" s="53">
        <f t="shared" si="26"/>
        <v>1</v>
      </c>
      <c r="D194" s="961"/>
      <c r="E194" s="53">
        <f t="shared" si="27"/>
        <v>0</v>
      </c>
      <c r="F194" s="961"/>
      <c r="G194" s="53">
        <f t="shared" si="28"/>
        <v>1</v>
      </c>
      <c r="H194" s="961"/>
      <c r="I194" s="53">
        <f t="shared" si="29"/>
        <v>1</v>
      </c>
      <c r="J194" s="961"/>
      <c r="K194" s="53">
        <f t="shared" si="30"/>
        <v>1</v>
      </c>
      <c r="L194" s="961"/>
      <c r="M194" s="53">
        <f t="shared" si="31"/>
        <v>1</v>
      </c>
      <c r="N194" s="961"/>
      <c r="O194" s="53">
        <f t="shared" si="32"/>
        <v>1</v>
      </c>
      <c r="P194" s="961"/>
      <c r="Q194" s="53">
        <f t="shared" si="33"/>
        <v>1</v>
      </c>
      <c r="R194" s="489">
        <f t="shared" si="34"/>
        <v>0</v>
      </c>
      <c r="S194" s="798">
        <f t="shared" si="25"/>
        <v>0</v>
      </c>
    </row>
    <row r="195" spans="1:19">
      <c r="A195" s="963"/>
      <c r="B195" s="137"/>
      <c r="C195" s="53">
        <f t="shared" si="26"/>
        <v>1</v>
      </c>
      <c r="D195" s="961"/>
      <c r="E195" s="53">
        <f t="shared" si="27"/>
        <v>0</v>
      </c>
      <c r="F195" s="961"/>
      <c r="G195" s="53">
        <f t="shared" si="28"/>
        <v>1</v>
      </c>
      <c r="H195" s="961"/>
      <c r="I195" s="53">
        <f t="shared" si="29"/>
        <v>1</v>
      </c>
      <c r="J195" s="961"/>
      <c r="K195" s="53">
        <f t="shared" si="30"/>
        <v>1</v>
      </c>
      <c r="L195" s="961"/>
      <c r="M195" s="53">
        <f t="shared" si="31"/>
        <v>1</v>
      </c>
      <c r="N195" s="961"/>
      <c r="O195" s="53">
        <f t="shared" si="32"/>
        <v>1</v>
      </c>
      <c r="P195" s="961"/>
      <c r="Q195" s="53">
        <f t="shared" si="33"/>
        <v>1</v>
      </c>
      <c r="R195" s="489">
        <f t="shared" si="34"/>
        <v>0</v>
      </c>
      <c r="S195" s="798">
        <f t="shared" si="25"/>
        <v>0</v>
      </c>
    </row>
    <row r="196" spans="1:19">
      <c r="A196" s="963"/>
      <c r="B196" s="137"/>
      <c r="C196" s="53">
        <f t="shared" si="26"/>
        <v>1</v>
      </c>
      <c r="D196" s="961"/>
      <c r="E196" s="53">
        <f t="shared" si="27"/>
        <v>0</v>
      </c>
      <c r="F196" s="961"/>
      <c r="G196" s="53">
        <f t="shared" si="28"/>
        <v>1</v>
      </c>
      <c r="H196" s="961"/>
      <c r="I196" s="53">
        <f t="shared" si="29"/>
        <v>1</v>
      </c>
      <c r="J196" s="961"/>
      <c r="K196" s="53">
        <f t="shared" si="30"/>
        <v>1</v>
      </c>
      <c r="L196" s="961"/>
      <c r="M196" s="53">
        <f t="shared" si="31"/>
        <v>1</v>
      </c>
      <c r="N196" s="961"/>
      <c r="O196" s="53">
        <f t="shared" si="32"/>
        <v>1</v>
      </c>
      <c r="P196" s="961"/>
      <c r="Q196" s="53">
        <f t="shared" si="33"/>
        <v>1</v>
      </c>
      <c r="R196" s="489">
        <f t="shared" si="34"/>
        <v>0</v>
      </c>
      <c r="S196" s="798">
        <f t="shared" si="25"/>
        <v>0</v>
      </c>
    </row>
    <row r="197" spans="1:19">
      <c r="A197" s="963"/>
      <c r="B197" s="137"/>
      <c r="C197" s="53">
        <f t="shared" si="26"/>
        <v>1</v>
      </c>
      <c r="D197" s="961"/>
      <c r="E197" s="53">
        <f t="shared" si="27"/>
        <v>0</v>
      </c>
      <c r="F197" s="961"/>
      <c r="G197" s="53">
        <f t="shared" si="28"/>
        <v>1</v>
      </c>
      <c r="H197" s="961"/>
      <c r="I197" s="53">
        <f t="shared" si="29"/>
        <v>1</v>
      </c>
      <c r="J197" s="961"/>
      <c r="K197" s="53">
        <f t="shared" si="30"/>
        <v>1</v>
      </c>
      <c r="L197" s="961"/>
      <c r="M197" s="53">
        <f t="shared" si="31"/>
        <v>1</v>
      </c>
      <c r="N197" s="961"/>
      <c r="O197" s="53">
        <f t="shared" si="32"/>
        <v>1</v>
      </c>
      <c r="P197" s="961"/>
      <c r="Q197" s="53">
        <f t="shared" si="33"/>
        <v>1</v>
      </c>
      <c r="R197" s="489">
        <f t="shared" si="34"/>
        <v>0</v>
      </c>
      <c r="S197" s="798">
        <f t="shared" si="25"/>
        <v>0</v>
      </c>
    </row>
    <row r="198" spans="1:19">
      <c r="A198" s="963"/>
      <c r="B198" s="137"/>
      <c r="C198" s="53">
        <f t="shared" si="26"/>
        <v>1</v>
      </c>
      <c r="D198" s="961"/>
      <c r="E198" s="53">
        <f t="shared" si="27"/>
        <v>0</v>
      </c>
      <c r="F198" s="961"/>
      <c r="G198" s="53">
        <f t="shared" si="28"/>
        <v>1</v>
      </c>
      <c r="H198" s="961"/>
      <c r="I198" s="53">
        <f t="shared" si="29"/>
        <v>1</v>
      </c>
      <c r="J198" s="961"/>
      <c r="K198" s="53">
        <f t="shared" si="30"/>
        <v>1</v>
      </c>
      <c r="L198" s="961"/>
      <c r="M198" s="53">
        <f t="shared" si="31"/>
        <v>1</v>
      </c>
      <c r="N198" s="961"/>
      <c r="O198" s="53">
        <f t="shared" si="32"/>
        <v>1</v>
      </c>
      <c r="P198" s="961"/>
      <c r="Q198" s="53">
        <f t="shared" si="33"/>
        <v>1</v>
      </c>
      <c r="R198" s="489">
        <f t="shared" si="34"/>
        <v>0</v>
      </c>
      <c r="S198" s="798">
        <f t="shared" si="25"/>
        <v>0</v>
      </c>
    </row>
    <row r="199" spans="1:19">
      <c r="A199" s="963"/>
      <c r="B199" s="137"/>
      <c r="C199" s="53">
        <f t="shared" si="26"/>
        <v>1</v>
      </c>
      <c r="D199" s="961"/>
      <c r="E199" s="53">
        <f t="shared" si="27"/>
        <v>0</v>
      </c>
      <c r="F199" s="961"/>
      <c r="G199" s="53">
        <f t="shared" si="28"/>
        <v>1</v>
      </c>
      <c r="H199" s="961"/>
      <c r="I199" s="53">
        <f t="shared" si="29"/>
        <v>1</v>
      </c>
      <c r="J199" s="961"/>
      <c r="K199" s="53">
        <f t="shared" si="30"/>
        <v>1</v>
      </c>
      <c r="L199" s="961"/>
      <c r="M199" s="53">
        <f t="shared" si="31"/>
        <v>1</v>
      </c>
      <c r="N199" s="961"/>
      <c r="O199" s="53">
        <f t="shared" si="32"/>
        <v>1</v>
      </c>
      <c r="P199" s="961"/>
      <c r="Q199" s="53">
        <f t="shared" si="33"/>
        <v>1</v>
      </c>
      <c r="R199" s="489">
        <f t="shared" si="34"/>
        <v>0</v>
      </c>
      <c r="S199" s="798">
        <f t="shared" si="25"/>
        <v>0</v>
      </c>
    </row>
    <row r="200" spans="1:19">
      <c r="A200" s="963"/>
      <c r="B200" s="137"/>
      <c r="C200" s="53">
        <f t="shared" si="26"/>
        <v>1</v>
      </c>
      <c r="D200" s="961"/>
      <c r="E200" s="53">
        <f t="shared" si="27"/>
        <v>0</v>
      </c>
      <c r="F200" s="961"/>
      <c r="G200" s="53">
        <f t="shared" si="28"/>
        <v>1</v>
      </c>
      <c r="H200" s="961"/>
      <c r="I200" s="53">
        <f t="shared" si="29"/>
        <v>1</v>
      </c>
      <c r="J200" s="961"/>
      <c r="K200" s="53">
        <f t="shared" si="30"/>
        <v>1</v>
      </c>
      <c r="L200" s="961"/>
      <c r="M200" s="53">
        <f t="shared" si="31"/>
        <v>1</v>
      </c>
      <c r="N200" s="961"/>
      <c r="O200" s="53">
        <f t="shared" si="32"/>
        <v>1</v>
      </c>
      <c r="P200" s="961"/>
      <c r="Q200" s="53">
        <f t="shared" si="33"/>
        <v>1</v>
      </c>
      <c r="R200" s="489">
        <f t="shared" si="34"/>
        <v>0</v>
      </c>
      <c r="S200" s="798">
        <f t="shared" si="25"/>
        <v>0</v>
      </c>
    </row>
    <row r="201" spans="1:19">
      <c r="A201" s="963"/>
      <c r="B201" s="137"/>
      <c r="C201" s="53">
        <f t="shared" si="26"/>
        <v>1</v>
      </c>
      <c r="D201" s="961"/>
      <c r="E201" s="53">
        <f t="shared" si="27"/>
        <v>0</v>
      </c>
      <c r="F201" s="961"/>
      <c r="G201" s="53">
        <f t="shared" si="28"/>
        <v>1</v>
      </c>
      <c r="H201" s="961"/>
      <c r="I201" s="53">
        <f t="shared" si="29"/>
        <v>1</v>
      </c>
      <c r="J201" s="961"/>
      <c r="K201" s="53">
        <f t="shared" si="30"/>
        <v>1</v>
      </c>
      <c r="L201" s="961"/>
      <c r="M201" s="53">
        <f t="shared" si="31"/>
        <v>1</v>
      </c>
      <c r="N201" s="961"/>
      <c r="O201" s="53">
        <f t="shared" si="32"/>
        <v>1</v>
      </c>
      <c r="P201" s="961"/>
      <c r="Q201" s="53">
        <f t="shared" si="33"/>
        <v>1</v>
      </c>
      <c r="R201" s="489">
        <f t="shared" si="34"/>
        <v>0</v>
      </c>
      <c r="S201" s="798">
        <f t="shared" si="25"/>
        <v>0</v>
      </c>
    </row>
    <row r="202" spans="1:19">
      <c r="A202" s="963"/>
      <c r="B202" s="137"/>
      <c r="C202" s="53">
        <f t="shared" si="26"/>
        <v>1</v>
      </c>
      <c r="D202" s="961"/>
      <c r="E202" s="53">
        <f t="shared" si="27"/>
        <v>0</v>
      </c>
      <c r="F202" s="961"/>
      <c r="G202" s="53">
        <f t="shared" si="28"/>
        <v>1</v>
      </c>
      <c r="H202" s="961"/>
      <c r="I202" s="53">
        <f t="shared" si="29"/>
        <v>1</v>
      </c>
      <c r="J202" s="961"/>
      <c r="K202" s="53">
        <f t="shared" si="30"/>
        <v>1</v>
      </c>
      <c r="L202" s="961"/>
      <c r="M202" s="53">
        <f t="shared" si="31"/>
        <v>1</v>
      </c>
      <c r="N202" s="961"/>
      <c r="O202" s="53">
        <f t="shared" si="32"/>
        <v>1</v>
      </c>
      <c r="P202" s="961"/>
      <c r="Q202" s="53">
        <f t="shared" si="33"/>
        <v>1</v>
      </c>
      <c r="R202" s="489">
        <f t="shared" si="34"/>
        <v>0</v>
      </c>
      <c r="S202" s="798">
        <f t="shared" si="25"/>
        <v>0</v>
      </c>
    </row>
    <row r="203" spans="1:19">
      <c r="A203" s="963"/>
      <c r="B203" s="137"/>
      <c r="C203" s="53">
        <f t="shared" si="26"/>
        <v>1</v>
      </c>
      <c r="D203" s="961"/>
      <c r="E203" s="53">
        <f t="shared" si="27"/>
        <v>0</v>
      </c>
      <c r="F203" s="961"/>
      <c r="G203" s="53">
        <f t="shared" si="28"/>
        <v>1</v>
      </c>
      <c r="H203" s="961"/>
      <c r="I203" s="53">
        <f t="shared" si="29"/>
        <v>1</v>
      </c>
      <c r="J203" s="961"/>
      <c r="K203" s="53">
        <f t="shared" si="30"/>
        <v>1</v>
      </c>
      <c r="L203" s="961"/>
      <c r="M203" s="53">
        <f t="shared" si="31"/>
        <v>1</v>
      </c>
      <c r="N203" s="961"/>
      <c r="O203" s="53">
        <f t="shared" si="32"/>
        <v>1</v>
      </c>
      <c r="P203" s="961"/>
      <c r="Q203" s="53">
        <f t="shared" si="33"/>
        <v>1</v>
      </c>
      <c r="R203" s="489">
        <f t="shared" si="34"/>
        <v>0</v>
      </c>
      <c r="S203" s="798">
        <f t="shared" si="25"/>
        <v>0</v>
      </c>
    </row>
    <row r="204" spans="1:19">
      <c r="A204" s="963"/>
      <c r="B204" s="137"/>
      <c r="C204" s="53">
        <f t="shared" si="26"/>
        <v>1</v>
      </c>
      <c r="D204" s="961"/>
      <c r="E204" s="53">
        <f t="shared" si="27"/>
        <v>0</v>
      </c>
      <c r="F204" s="961"/>
      <c r="G204" s="53">
        <f t="shared" si="28"/>
        <v>1</v>
      </c>
      <c r="H204" s="961"/>
      <c r="I204" s="53">
        <f t="shared" si="29"/>
        <v>1</v>
      </c>
      <c r="J204" s="961"/>
      <c r="K204" s="53">
        <f t="shared" si="30"/>
        <v>1</v>
      </c>
      <c r="L204" s="961"/>
      <c r="M204" s="53">
        <f t="shared" si="31"/>
        <v>1</v>
      </c>
      <c r="N204" s="961"/>
      <c r="O204" s="53">
        <f t="shared" si="32"/>
        <v>1</v>
      </c>
      <c r="P204" s="961"/>
      <c r="Q204" s="53">
        <f t="shared" si="33"/>
        <v>1</v>
      </c>
      <c r="R204" s="489">
        <f t="shared" si="34"/>
        <v>0</v>
      </c>
      <c r="S204" s="798">
        <f t="shared" si="25"/>
        <v>0</v>
      </c>
    </row>
    <row r="205" spans="1:19">
      <c r="A205" s="963"/>
      <c r="B205" s="137"/>
      <c r="C205" s="53">
        <f t="shared" si="26"/>
        <v>1</v>
      </c>
      <c r="D205" s="961"/>
      <c r="E205" s="53">
        <f t="shared" si="27"/>
        <v>0</v>
      </c>
      <c r="F205" s="961"/>
      <c r="G205" s="53">
        <f t="shared" si="28"/>
        <v>1</v>
      </c>
      <c r="H205" s="961"/>
      <c r="I205" s="53">
        <f t="shared" si="29"/>
        <v>1</v>
      </c>
      <c r="J205" s="961"/>
      <c r="K205" s="53">
        <f t="shared" si="30"/>
        <v>1</v>
      </c>
      <c r="L205" s="961"/>
      <c r="M205" s="53">
        <f t="shared" si="31"/>
        <v>1</v>
      </c>
      <c r="N205" s="961"/>
      <c r="O205" s="53">
        <f t="shared" si="32"/>
        <v>1</v>
      </c>
      <c r="P205" s="961"/>
      <c r="Q205" s="53">
        <f t="shared" si="33"/>
        <v>1</v>
      </c>
      <c r="R205" s="489">
        <f t="shared" si="34"/>
        <v>0</v>
      </c>
      <c r="S205" s="798">
        <f t="shared" si="25"/>
        <v>0</v>
      </c>
    </row>
    <row r="206" spans="1:19">
      <c r="A206" s="963"/>
      <c r="B206" s="137"/>
      <c r="C206" s="53">
        <f t="shared" si="26"/>
        <v>1</v>
      </c>
      <c r="D206" s="961"/>
      <c r="E206" s="53">
        <f t="shared" si="27"/>
        <v>0</v>
      </c>
      <c r="F206" s="961"/>
      <c r="G206" s="53">
        <f t="shared" si="28"/>
        <v>1</v>
      </c>
      <c r="H206" s="961"/>
      <c r="I206" s="53">
        <f t="shared" si="29"/>
        <v>1</v>
      </c>
      <c r="J206" s="961"/>
      <c r="K206" s="53">
        <f t="shared" si="30"/>
        <v>1</v>
      </c>
      <c r="L206" s="961"/>
      <c r="M206" s="53">
        <f t="shared" si="31"/>
        <v>1</v>
      </c>
      <c r="N206" s="961"/>
      <c r="O206" s="53">
        <f t="shared" si="32"/>
        <v>1</v>
      </c>
      <c r="P206" s="961"/>
      <c r="Q206" s="53">
        <f t="shared" si="33"/>
        <v>1</v>
      </c>
      <c r="R206" s="489">
        <f t="shared" si="34"/>
        <v>0</v>
      </c>
      <c r="S206" s="798">
        <f t="shared" si="25"/>
        <v>0</v>
      </c>
    </row>
    <row r="207" spans="1:19">
      <c r="A207" s="963"/>
      <c r="B207" s="137"/>
      <c r="C207" s="53">
        <f t="shared" si="26"/>
        <v>1</v>
      </c>
      <c r="D207" s="961"/>
      <c r="E207" s="53">
        <f t="shared" si="27"/>
        <v>0</v>
      </c>
      <c r="F207" s="961"/>
      <c r="G207" s="53">
        <f t="shared" si="28"/>
        <v>1</v>
      </c>
      <c r="H207" s="961"/>
      <c r="I207" s="53">
        <f t="shared" si="29"/>
        <v>1</v>
      </c>
      <c r="J207" s="961"/>
      <c r="K207" s="53">
        <f t="shared" si="30"/>
        <v>1</v>
      </c>
      <c r="L207" s="961"/>
      <c r="M207" s="53">
        <f t="shared" si="31"/>
        <v>1</v>
      </c>
      <c r="N207" s="961"/>
      <c r="O207" s="53">
        <f t="shared" si="32"/>
        <v>1</v>
      </c>
      <c r="P207" s="961"/>
      <c r="Q207" s="53">
        <f t="shared" si="33"/>
        <v>1</v>
      </c>
      <c r="R207" s="489">
        <f t="shared" si="34"/>
        <v>0</v>
      </c>
      <c r="S207" s="798">
        <f t="shared" si="25"/>
        <v>0</v>
      </c>
    </row>
    <row r="208" spans="1:19">
      <c r="A208" s="963"/>
      <c r="B208" s="137"/>
      <c r="C208" s="53">
        <f t="shared" si="26"/>
        <v>1</v>
      </c>
      <c r="D208" s="961"/>
      <c r="E208" s="53">
        <f t="shared" si="27"/>
        <v>0</v>
      </c>
      <c r="F208" s="961"/>
      <c r="G208" s="53">
        <f t="shared" si="28"/>
        <v>1</v>
      </c>
      <c r="H208" s="961"/>
      <c r="I208" s="53">
        <f t="shared" si="29"/>
        <v>1</v>
      </c>
      <c r="J208" s="961"/>
      <c r="K208" s="53">
        <f t="shared" si="30"/>
        <v>1</v>
      </c>
      <c r="L208" s="961"/>
      <c r="M208" s="53">
        <f t="shared" si="31"/>
        <v>1</v>
      </c>
      <c r="N208" s="961"/>
      <c r="O208" s="53">
        <f t="shared" si="32"/>
        <v>1</v>
      </c>
      <c r="P208" s="961"/>
      <c r="Q208" s="53">
        <f t="shared" si="33"/>
        <v>1</v>
      </c>
      <c r="R208" s="489">
        <f t="shared" si="34"/>
        <v>0</v>
      </c>
      <c r="S208" s="798">
        <f t="shared" si="25"/>
        <v>0</v>
      </c>
    </row>
    <row r="209" spans="1:19">
      <c r="A209" s="963"/>
      <c r="B209" s="137"/>
      <c r="C209" s="53">
        <f t="shared" si="26"/>
        <v>1</v>
      </c>
      <c r="D209" s="961"/>
      <c r="E209" s="53">
        <f t="shared" si="27"/>
        <v>0</v>
      </c>
      <c r="F209" s="961"/>
      <c r="G209" s="53">
        <f t="shared" si="28"/>
        <v>1</v>
      </c>
      <c r="H209" s="961"/>
      <c r="I209" s="53">
        <f t="shared" si="29"/>
        <v>1</v>
      </c>
      <c r="J209" s="961"/>
      <c r="K209" s="53">
        <f t="shared" si="30"/>
        <v>1</v>
      </c>
      <c r="L209" s="961"/>
      <c r="M209" s="53">
        <f t="shared" si="31"/>
        <v>1</v>
      </c>
      <c r="N209" s="961"/>
      <c r="O209" s="53">
        <f t="shared" si="32"/>
        <v>1</v>
      </c>
      <c r="P209" s="961"/>
      <c r="Q209" s="53">
        <f t="shared" si="33"/>
        <v>1</v>
      </c>
      <c r="R209" s="489">
        <f t="shared" si="34"/>
        <v>0</v>
      </c>
      <c r="S209" s="798">
        <f t="shared" si="25"/>
        <v>0</v>
      </c>
    </row>
    <row r="210" spans="1:19">
      <c r="A210" s="963"/>
      <c r="B210" s="137"/>
      <c r="C210" s="53">
        <f t="shared" si="26"/>
        <v>1</v>
      </c>
      <c r="D210" s="961"/>
      <c r="E210" s="53">
        <f t="shared" si="27"/>
        <v>0</v>
      </c>
      <c r="F210" s="961"/>
      <c r="G210" s="53">
        <f t="shared" si="28"/>
        <v>1</v>
      </c>
      <c r="H210" s="961"/>
      <c r="I210" s="53">
        <f t="shared" si="29"/>
        <v>1</v>
      </c>
      <c r="J210" s="961"/>
      <c r="K210" s="53">
        <f t="shared" si="30"/>
        <v>1</v>
      </c>
      <c r="L210" s="961"/>
      <c r="M210" s="53">
        <f t="shared" si="31"/>
        <v>1</v>
      </c>
      <c r="N210" s="961"/>
      <c r="O210" s="53">
        <f t="shared" si="32"/>
        <v>1</v>
      </c>
      <c r="P210" s="961"/>
      <c r="Q210" s="53">
        <f t="shared" si="33"/>
        <v>1</v>
      </c>
      <c r="R210" s="489">
        <f t="shared" si="34"/>
        <v>0</v>
      </c>
      <c r="S210" s="798">
        <f t="shared" si="25"/>
        <v>0</v>
      </c>
    </row>
    <row r="211" spans="1:19">
      <c r="A211" s="963"/>
      <c r="B211" s="137"/>
      <c r="C211" s="53">
        <f t="shared" si="26"/>
        <v>1</v>
      </c>
      <c r="D211" s="961"/>
      <c r="E211" s="53">
        <f t="shared" si="27"/>
        <v>0</v>
      </c>
      <c r="F211" s="961"/>
      <c r="G211" s="53">
        <f t="shared" si="28"/>
        <v>1</v>
      </c>
      <c r="H211" s="961"/>
      <c r="I211" s="53">
        <f t="shared" si="29"/>
        <v>1</v>
      </c>
      <c r="J211" s="961"/>
      <c r="K211" s="53">
        <f t="shared" si="30"/>
        <v>1</v>
      </c>
      <c r="L211" s="961"/>
      <c r="M211" s="53">
        <f t="shared" si="31"/>
        <v>1</v>
      </c>
      <c r="N211" s="961"/>
      <c r="O211" s="53">
        <f t="shared" si="32"/>
        <v>1</v>
      </c>
      <c r="P211" s="961"/>
      <c r="Q211" s="53">
        <f t="shared" si="33"/>
        <v>1</v>
      </c>
      <c r="R211" s="489">
        <f t="shared" si="34"/>
        <v>0</v>
      </c>
      <c r="S211" s="798">
        <f t="shared" si="25"/>
        <v>0</v>
      </c>
    </row>
    <row r="212" spans="1:19">
      <c r="A212" s="963"/>
      <c r="B212" s="137"/>
      <c r="C212" s="53">
        <f t="shared" si="26"/>
        <v>1</v>
      </c>
      <c r="D212" s="961"/>
      <c r="E212" s="53">
        <f t="shared" si="27"/>
        <v>0</v>
      </c>
      <c r="F212" s="961"/>
      <c r="G212" s="53">
        <f t="shared" si="28"/>
        <v>1</v>
      </c>
      <c r="H212" s="961"/>
      <c r="I212" s="53">
        <f t="shared" si="29"/>
        <v>1</v>
      </c>
      <c r="J212" s="961"/>
      <c r="K212" s="53">
        <f t="shared" si="30"/>
        <v>1</v>
      </c>
      <c r="L212" s="961"/>
      <c r="M212" s="53">
        <f t="shared" si="31"/>
        <v>1</v>
      </c>
      <c r="N212" s="961"/>
      <c r="O212" s="53">
        <f t="shared" si="32"/>
        <v>1</v>
      </c>
      <c r="P212" s="961"/>
      <c r="Q212" s="53">
        <f t="shared" si="33"/>
        <v>1</v>
      </c>
      <c r="R212" s="489">
        <f t="shared" si="34"/>
        <v>0</v>
      </c>
      <c r="S212" s="798">
        <f t="shared" si="25"/>
        <v>0</v>
      </c>
    </row>
    <row r="213" spans="1:19">
      <c r="A213" s="963"/>
      <c r="B213" s="137"/>
      <c r="C213" s="53">
        <f t="shared" si="26"/>
        <v>1</v>
      </c>
      <c r="D213" s="961"/>
      <c r="E213" s="53">
        <f t="shared" si="27"/>
        <v>0</v>
      </c>
      <c r="F213" s="961"/>
      <c r="G213" s="53">
        <f t="shared" si="28"/>
        <v>1</v>
      </c>
      <c r="H213" s="961"/>
      <c r="I213" s="53">
        <f t="shared" si="29"/>
        <v>1</v>
      </c>
      <c r="J213" s="961"/>
      <c r="K213" s="53">
        <f t="shared" si="30"/>
        <v>1</v>
      </c>
      <c r="L213" s="961"/>
      <c r="M213" s="53">
        <f t="shared" si="31"/>
        <v>1</v>
      </c>
      <c r="N213" s="961"/>
      <c r="O213" s="53">
        <f t="shared" si="32"/>
        <v>1</v>
      </c>
      <c r="P213" s="961"/>
      <c r="Q213" s="53">
        <f t="shared" si="33"/>
        <v>1</v>
      </c>
      <c r="R213" s="489">
        <f t="shared" si="34"/>
        <v>0</v>
      </c>
      <c r="S213" s="798">
        <f t="shared" si="25"/>
        <v>0</v>
      </c>
    </row>
    <row r="214" spans="1:19">
      <c r="A214" s="963"/>
      <c r="B214" s="137"/>
      <c r="C214" s="53">
        <f t="shared" si="26"/>
        <v>1</v>
      </c>
      <c r="D214" s="961"/>
      <c r="E214" s="53">
        <f t="shared" si="27"/>
        <v>0</v>
      </c>
      <c r="F214" s="961"/>
      <c r="G214" s="53">
        <f t="shared" si="28"/>
        <v>1</v>
      </c>
      <c r="H214" s="961"/>
      <c r="I214" s="53">
        <f t="shared" si="29"/>
        <v>1</v>
      </c>
      <c r="J214" s="961"/>
      <c r="K214" s="53">
        <f t="shared" si="30"/>
        <v>1</v>
      </c>
      <c r="L214" s="961"/>
      <c r="M214" s="53">
        <f t="shared" si="31"/>
        <v>1</v>
      </c>
      <c r="N214" s="961"/>
      <c r="O214" s="53">
        <f t="shared" si="32"/>
        <v>1</v>
      </c>
      <c r="P214" s="961"/>
      <c r="Q214" s="53">
        <f t="shared" si="33"/>
        <v>1</v>
      </c>
      <c r="R214" s="489">
        <f t="shared" si="34"/>
        <v>0</v>
      </c>
      <c r="S214" s="798">
        <f t="shared" si="25"/>
        <v>0</v>
      </c>
    </row>
    <row r="215" spans="1:19">
      <c r="A215" s="963"/>
      <c r="B215" s="137"/>
      <c r="C215" s="53">
        <f t="shared" si="26"/>
        <v>1</v>
      </c>
      <c r="D215" s="961"/>
      <c r="E215" s="53">
        <f t="shared" si="27"/>
        <v>0</v>
      </c>
      <c r="F215" s="961"/>
      <c r="G215" s="53">
        <f t="shared" si="28"/>
        <v>1</v>
      </c>
      <c r="H215" s="961"/>
      <c r="I215" s="53">
        <f t="shared" si="29"/>
        <v>1</v>
      </c>
      <c r="J215" s="961"/>
      <c r="K215" s="53">
        <f t="shared" si="30"/>
        <v>1</v>
      </c>
      <c r="L215" s="961"/>
      <c r="M215" s="53">
        <f t="shared" si="31"/>
        <v>1</v>
      </c>
      <c r="N215" s="961"/>
      <c r="O215" s="53">
        <f t="shared" si="32"/>
        <v>1</v>
      </c>
      <c r="P215" s="961"/>
      <c r="Q215" s="53">
        <f t="shared" si="33"/>
        <v>1</v>
      </c>
      <c r="R215" s="489">
        <f t="shared" si="34"/>
        <v>0</v>
      </c>
      <c r="S215" s="798">
        <f t="shared" si="25"/>
        <v>0</v>
      </c>
    </row>
    <row r="216" spans="1:19">
      <c r="A216" s="963"/>
      <c r="B216" s="137"/>
      <c r="C216" s="53">
        <f t="shared" si="26"/>
        <v>1</v>
      </c>
      <c r="D216" s="961"/>
      <c r="E216" s="53">
        <f t="shared" si="27"/>
        <v>0</v>
      </c>
      <c r="F216" s="961"/>
      <c r="G216" s="53">
        <f t="shared" si="28"/>
        <v>1</v>
      </c>
      <c r="H216" s="961"/>
      <c r="I216" s="53">
        <f t="shared" si="29"/>
        <v>1</v>
      </c>
      <c r="J216" s="961"/>
      <c r="K216" s="53">
        <f t="shared" si="30"/>
        <v>1</v>
      </c>
      <c r="L216" s="961"/>
      <c r="M216" s="53">
        <f t="shared" si="31"/>
        <v>1</v>
      </c>
      <c r="N216" s="961"/>
      <c r="O216" s="53">
        <f t="shared" si="32"/>
        <v>1</v>
      </c>
      <c r="P216" s="961"/>
      <c r="Q216" s="53">
        <f t="shared" si="33"/>
        <v>1</v>
      </c>
      <c r="R216" s="489">
        <f t="shared" si="34"/>
        <v>0</v>
      </c>
      <c r="S216" s="798">
        <f t="shared" ref="S216:S279" si="35">ROUND(R216*B216/10000,0)</f>
        <v>0</v>
      </c>
    </row>
    <row r="217" spans="1:19">
      <c r="A217" s="963"/>
      <c r="B217" s="137"/>
      <c r="C217" s="53">
        <f t="shared" si="26"/>
        <v>1</v>
      </c>
      <c r="D217" s="961"/>
      <c r="E217" s="53">
        <f t="shared" si="27"/>
        <v>0</v>
      </c>
      <c r="F217" s="961"/>
      <c r="G217" s="53">
        <f t="shared" si="28"/>
        <v>1</v>
      </c>
      <c r="H217" s="961"/>
      <c r="I217" s="53">
        <f t="shared" si="29"/>
        <v>1</v>
      </c>
      <c r="J217" s="961"/>
      <c r="K217" s="53">
        <f t="shared" si="30"/>
        <v>1</v>
      </c>
      <c r="L217" s="961"/>
      <c r="M217" s="53">
        <f t="shared" si="31"/>
        <v>1</v>
      </c>
      <c r="N217" s="961"/>
      <c r="O217" s="53">
        <f t="shared" si="32"/>
        <v>1</v>
      </c>
      <c r="P217" s="961"/>
      <c r="Q217" s="53">
        <f t="shared" si="33"/>
        <v>1</v>
      </c>
      <c r="R217" s="489">
        <f t="shared" si="34"/>
        <v>0</v>
      </c>
      <c r="S217" s="798">
        <f t="shared" si="35"/>
        <v>0</v>
      </c>
    </row>
    <row r="218" spans="1:19">
      <c r="A218" s="963"/>
      <c r="B218" s="137"/>
      <c r="C218" s="53">
        <f t="shared" ref="C218:C281" si="36">IF(B218="",1,(LOOKUP(B218,$3:$3,$4:$4)-LOOKUP($B$24,$3:$3,$4:$4)+100)/100)</f>
        <v>1</v>
      </c>
      <c r="D218" s="961"/>
      <c r="E218" s="53">
        <f t="shared" ref="E218:E281" si="37">(SUMIF($5:$5,D218,$6:$6)-SUMIF($5:$5,$D$24,$6:$6)+100)/100</f>
        <v>0</v>
      </c>
      <c r="F218" s="961"/>
      <c r="G218" s="53">
        <f t="shared" ref="G218:G281" si="38">(SUMIF($7:$7,F218,$8:$8)-SUMIF($7:$7,$F$24,$8:$8)+100)/100</f>
        <v>1</v>
      </c>
      <c r="H218" s="961"/>
      <c r="I218" s="53">
        <f t="shared" ref="I218:I281" si="39">(SUMIF($9:$9,H218,$10:$10)-SUMIF($9:$9,$H$24,$10:$10)+100)/100</f>
        <v>1</v>
      </c>
      <c r="J218" s="961"/>
      <c r="K218" s="53">
        <f t="shared" ref="K218:K281" si="40">(SUMIF($11:$11,J218,$12:$12)-SUMIF($11:$11,$J$24,$12:$12)+100)/100</f>
        <v>1</v>
      </c>
      <c r="L218" s="961"/>
      <c r="M218" s="53">
        <f t="shared" ref="M218:M281" si="41">(SUMIF($13:$13,L218,$14:$14)-SUMIF($13:$13,$L$24,$14:$14)+100)/100</f>
        <v>1</v>
      </c>
      <c r="N218" s="961"/>
      <c r="O218" s="53">
        <f t="shared" ref="O218:O281" si="42">(SUMIF($15:$15,N218,$16:$16)-SUMIF($15:$15,$N$24,$16:$16)+100)/100</f>
        <v>1</v>
      </c>
      <c r="P218" s="961"/>
      <c r="Q218" s="53">
        <f t="shared" ref="Q218:Q281" si="43">(SUMIF($17:$17,P218,$18:$18)-SUMIF($17:$17,$P$24,$18:$18)+100)/100</f>
        <v>1</v>
      </c>
      <c r="R218" s="489">
        <f t="shared" ref="R218:R281" si="44">IF(B218="",0,ROUND($R$24*C218*E218*G218*I218*K218*M218*O218*Q218,0))</f>
        <v>0</v>
      </c>
      <c r="S218" s="798">
        <f t="shared" si="35"/>
        <v>0</v>
      </c>
    </row>
    <row r="219" spans="1:19">
      <c r="A219" s="963"/>
      <c r="B219" s="137"/>
      <c r="C219" s="53">
        <f t="shared" si="36"/>
        <v>1</v>
      </c>
      <c r="D219" s="961"/>
      <c r="E219" s="53">
        <f t="shared" si="37"/>
        <v>0</v>
      </c>
      <c r="F219" s="961"/>
      <c r="G219" s="53">
        <f t="shared" si="38"/>
        <v>1</v>
      </c>
      <c r="H219" s="961"/>
      <c r="I219" s="53">
        <f t="shared" si="39"/>
        <v>1</v>
      </c>
      <c r="J219" s="961"/>
      <c r="K219" s="53">
        <f t="shared" si="40"/>
        <v>1</v>
      </c>
      <c r="L219" s="961"/>
      <c r="M219" s="53">
        <f t="shared" si="41"/>
        <v>1</v>
      </c>
      <c r="N219" s="961"/>
      <c r="O219" s="53">
        <f t="shared" si="42"/>
        <v>1</v>
      </c>
      <c r="P219" s="961"/>
      <c r="Q219" s="53">
        <f t="shared" si="43"/>
        <v>1</v>
      </c>
      <c r="R219" s="489">
        <f t="shared" si="44"/>
        <v>0</v>
      </c>
      <c r="S219" s="798">
        <f t="shared" si="35"/>
        <v>0</v>
      </c>
    </row>
    <row r="220" spans="1:19">
      <c r="A220" s="963"/>
      <c r="B220" s="137"/>
      <c r="C220" s="53">
        <f t="shared" si="36"/>
        <v>1</v>
      </c>
      <c r="D220" s="961"/>
      <c r="E220" s="53">
        <f t="shared" si="37"/>
        <v>0</v>
      </c>
      <c r="F220" s="961"/>
      <c r="G220" s="53">
        <f t="shared" si="38"/>
        <v>1</v>
      </c>
      <c r="H220" s="961"/>
      <c r="I220" s="53">
        <f t="shared" si="39"/>
        <v>1</v>
      </c>
      <c r="J220" s="961"/>
      <c r="K220" s="53">
        <f t="shared" si="40"/>
        <v>1</v>
      </c>
      <c r="L220" s="961"/>
      <c r="M220" s="53">
        <f t="shared" si="41"/>
        <v>1</v>
      </c>
      <c r="N220" s="961"/>
      <c r="O220" s="53">
        <f t="shared" si="42"/>
        <v>1</v>
      </c>
      <c r="P220" s="961"/>
      <c r="Q220" s="53">
        <f t="shared" si="43"/>
        <v>1</v>
      </c>
      <c r="R220" s="489">
        <f t="shared" si="44"/>
        <v>0</v>
      </c>
      <c r="S220" s="798">
        <f t="shared" si="35"/>
        <v>0</v>
      </c>
    </row>
    <row r="221" spans="1:19">
      <c r="A221" s="963"/>
      <c r="B221" s="137"/>
      <c r="C221" s="53">
        <f t="shared" si="36"/>
        <v>1</v>
      </c>
      <c r="D221" s="961"/>
      <c r="E221" s="53">
        <f t="shared" si="37"/>
        <v>0</v>
      </c>
      <c r="F221" s="961"/>
      <c r="G221" s="53">
        <f t="shared" si="38"/>
        <v>1</v>
      </c>
      <c r="H221" s="961"/>
      <c r="I221" s="53">
        <f t="shared" si="39"/>
        <v>1</v>
      </c>
      <c r="J221" s="961"/>
      <c r="K221" s="53">
        <f t="shared" si="40"/>
        <v>1</v>
      </c>
      <c r="L221" s="961"/>
      <c r="M221" s="53">
        <f t="shared" si="41"/>
        <v>1</v>
      </c>
      <c r="N221" s="961"/>
      <c r="O221" s="53">
        <f t="shared" si="42"/>
        <v>1</v>
      </c>
      <c r="P221" s="961"/>
      <c r="Q221" s="53">
        <f t="shared" si="43"/>
        <v>1</v>
      </c>
      <c r="R221" s="489">
        <f t="shared" si="44"/>
        <v>0</v>
      </c>
      <c r="S221" s="798">
        <f t="shared" si="35"/>
        <v>0</v>
      </c>
    </row>
    <row r="222" spans="1:19">
      <c r="A222" s="963"/>
      <c r="B222" s="137"/>
      <c r="C222" s="53">
        <f t="shared" si="36"/>
        <v>1</v>
      </c>
      <c r="D222" s="961"/>
      <c r="E222" s="53">
        <f t="shared" si="37"/>
        <v>0</v>
      </c>
      <c r="F222" s="961"/>
      <c r="G222" s="53">
        <f t="shared" si="38"/>
        <v>1</v>
      </c>
      <c r="H222" s="961"/>
      <c r="I222" s="53">
        <f t="shared" si="39"/>
        <v>1</v>
      </c>
      <c r="J222" s="961"/>
      <c r="K222" s="53">
        <f t="shared" si="40"/>
        <v>1</v>
      </c>
      <c r="L222" s="961"/>
      <c r="M222" s="53">
        <f t="shared" si="41"/>
        <v>1</v>
      </c>
      <c r="N222" s="961"/>
      <c r="O222" s="53">
        <f t="shared" si="42"/>
        <v>1</v>
      </c>
      <c r="P222" s="961"/>
      <c r="Q222" s="53">
        <f t="shared" si="43"/>
        <v>1</v>
      </c>
      <c r="R222" s="489">
        <f t="shared" si="44"/>
        <v>0</v>
      </c>
      <c r="S222" s="798">
        <f t="shared" si="35"/>
        <v>0</v>
      </c>
    </row>
    <row r="223" spans="1:19">
      <c r="A223" s="963"/>
      <c r="B223" s="137"/>
      <c r="C223" s="53">
        <f t="shared" si="36"/>
        <v>1</v>
      </c>
      <c r="D223" s="961"/>
      <c r="E223" s="53">
        <f t="shared" si="37"/>
        <v>0</v>
      </c>
      <c r="F223" s="961"/>
      <c r="G223" s="53">
        <f t="shared" si="38"/>
        <v>1</v>
      </c>
      <c r="H223" s="961"/>
      <c r="I223" s="53">
        <f t="shared" si="39"/>
        <v>1</v>
      </c>
      <c r="J223" s="961"/>
      <c r="K223" s="53">
        <f t="shared" si="40"/>
        <v>1</v>
      </c>
      <c r="L223" s="961"/>
      <c r="M223" s="53">
        <f t="shared" si="41"/>
        <v>1</v>
      </c>
      <c r="N223" s="961"/>
      <c r="O223" s="53">
        <f t="shared" si="42"/>
        <v>1</v>
      </c>
      <c r="P223" s="961"/>
      <c r="Q223" s="53">
        <f t="shared" si="43"/>
        <v>1</v>
      </c>
      <c r="R223" s="489">
        <f t="shared" si="44"/>
        <v>0</v>
      </c>
      <c r="S223" s="798">
        <f t="shared" si="35"/>
        <v>0</v>
      </c>
    </row>
    <row r="224" spans="1:19">
      <c r="A224" s="963"/>
      <c r="B224" s="137"/>
      <c r="C224" s="53">
        <f t="shared" si="36"/>
        <v>1</v>
      </c>
      <c r="D224" s="961"/>
      <c r="E224" s="53">
        <f t="shared" si="37"/>
        <v>0</v>
      </c>
      <c r="F224" s="961"/>
      <c r="G224" s="53">
        <f t="shared" si="38"/>
        <v>1</v>
      </c>
      <c r="H224" s="961"/>
      <c r="I224" s="53">
        <f t="shared" si="39"/>
        <v>1</v>
      </c>
      <c r="J224" s="961"/>
      <c r="K224" s="53">
        <f t="shared" si="40"/>
        <v>1</v>
      </c>
      <c r="L224" s="961"/>
      <c r="M224" s="53">
        <f t="shared" si="41"/>
        <v>1</v>
      </c>
      <c r="N224" s="961"/>
      <c r="O224" s="53">
        <f t="shared" si="42"/>
        <v>1</v>
      </c>
      <c r="P224" s="961"/>
      <c r="Q224" s="53">
        <f t="shared" si="43"/>
        <v>1</v>
      </c>
      <c r="R224" s="489">
        <f t="shared" si="44"/>
        <v>0</v>
      </c>
      <c r="S224" s="798">
        <f t="shared" si="35"/>
        <v>0</v>
      </c>
    </row>
    <row r="225" spans="1:19">
      <c r="A225" s="963"/>
      <c r="B225" s="137"/>
      <c r="C225" s="53">
        <f t="shared" si="36"/>
        <v>1</v>
      </c>
      <c r="D225" s="961"/>
      <c r="E225" s="53">
        <f t="shared" si="37"/>
        <v>0</v>
      </c>
      <c r="F225" s="961"/>
      <c r="G225" s="53">
        <f t="shared" si="38"/>
        <v>1</v>
      </c>
      <c r="H225" s="961"/>
      <c r="I225" s="53">
        <f t="shared" si="39"/>
        <v>1</v>
      </c>
      <c r="J225" s="961"/>
      <c r="K225" s="53">
        <f t="shared" si="40"/>
        <v>1</v>
      </c>
      <c r="L225" s="961"/>
      <c r="M225" s="53">
        <f t="shared" si="41"/>
        <v>1</v>
      </c>
      <c r="N225" s="961"/>
      <c r="O225" s="53">
        <f t="shared" si="42"/>
        <v>1</v>
      </c>
      <c r="P225" s="961"/>
      <c r="Q225" s="53">
        <f t="shared" si="43"/>
        <v>1</v>
      </c>
      <c r="R225" s="489">
        <f t="shared" si="44"/>
        <v>0</v>
      </c>
      <c r="S225" s="798">
        <f t="shared" si="35"/>
        <v>0</v>
      </c>
    </row>
    <row r="226" spans="1:19">
      <c r="A226" s="963"/>
      <c r="B226" s="137"/>
      <c r="C226" s="53">
        <f t="shared" si="36"/>
        <v>1</v>
      </c>
      <c r="D226" s="961"/>
      <c r="E226" s="53">
        <f t="shared" si="37"/>
        <v>0</v>
      </c>
      <c r="F226" s="961"/>
      <c r="G226" s="53">
        <f t="shared" si="38"/>
        <v>1</v>
      </c>
      <c r="H226" s="961"/>
      <c r="I226" s="53">
        <f t="shared" si="39"/>
        <v>1</v>
      </c>
      <c r="J226" s="961"/>
      <c r="K226" s="53">
        <f t="shared" si="40"/>
        <v>1</v>
      </c>
      <c r="L226" s="961"/>
      <c r="M226" s="53">
        <f t="shared" si="41"/>
        <v>1</v>
      </c>
      <c r="N226" s="961"/>
      <c r="O226" s="53">
        <f t="shared" si="42"/>
        <v>1</v>
      </c>
      <c r="P226" s="961"/>
      <c r="Q226" s="53">
        <f t="shared" si="43"/>
        <v>1</v>
      </c>
      <c r="R226" s="489">
        <f t="shared" si="44"/>
        <v>0</v>
      </c>
      <c r="S226" s="798">
        <f t="shared" si="35"/>
        <v>0</v>
      </c>
    </row>
    <row r="227" spans="1:19">
      <c r="A227" s="963"/>
      <c r="B227" s="137"/>
      <c r="C227" s="53">
        <f t="shared" si="36"/>
        <v>1</v>
      </c>
      <c r="D227" s="961"/>
      <c r="E227" s="53">
        <f t="shared" si="37"/>
        <v>0</v>
      </c>
      <c r="F227" s="961"/>
      <c r="G227" s="53">
        <f t="shared" si="38"/>
        <v>1</v>
      </c>
      <c r="H227" s="961"/>
      <c r="I227" s="53">
        <f t="shared" si="39"/>
        <v>1</v>
      </c>
      <c r="J227" s="961"/>
      <c r="K227" s="53">
        <f t="shared" si="40"/>
        <v>1</v>
      </c>
      <c r="L227" s="961"/>
      <c r="M227" s="53">
        <f t="shared" si="41"/>
        <v>1</v>
      </c>
      <c r="N227" s="961"/>
      <c r="O227" s="53">
        <f t="shared" si="42"/>
        <v>1</v>
      </c>
      <c r="P227" s="961"/>
      <c r="Q227" s="53">
        <f t="shared" si="43"/>
        <v>1</v>
      </c>
      <c r="R227" s="489">
        <f t="shared" si="44"/>
        <v>0</v>
      </c>
      <c r="S227" s="798">
        <f t="shared" si="35"/>
        <v>0</v>
      </c>
    </row>
    <row r="228" spans="1:19">
      <c r="A228" s="963"/>
      <c r="B228" s="137"/>
      <c r="C228" s="53">
        <f t="shared" si="36"/>
        <v>1</v>
      </c>
      <c r="D228" s="961"/>
      <c r="E228" s="53">
        <f t="shared" si="37"/>
        <v>0</v>
      </c>
      <c r="F228" s="961"/>
      <c r="G228" s="53">
        <f t="shared" si="38"/>
        <v>1</v>
      </c>
      <c r="H228" s="961"/>
      <c r="I228" s="53">
        <f t="shared" si="39"/>
        <v>1</v>
      </c>
      <c r="J228" s="961"/>
      <c r="K228" s="53">
        <f t="shared" si="40"/>
        <v>1</v>
      </c>
      <c r="L228" s="961"/>
      <c r="M228" s="53">
        <f t="shared" si="41"/>
        <v>1</v>
      </c>
      <c r="N228" s="961"/>
      <c r="O228" s="53">
        <f t="shared" si="42"/>
        <v>1</v>
      </c>
      <c r="P228" s="961"/>
      <c r="Q228" s="53">
        <f t="shared" si="43"/>
        <v>1</v>
      </c>
      <c r="R228" s="489">
        <f t="shared" si="44"/>
        <v>0</v>
      </c>
      <c r="S228" s="798">
        <f t="shared" si="35"/>
        <v>0</v>
      </c>
    </row>
    <row r="229" spans="1:19">
      <c r="A229" s="963"/>
      <c r="B229" s="137"/>
      <c r="C229" s="53">
        <f t="shared" si="36"/>
        <v>1</v>
      </c>
      <c r="D229" s="961"/>
      <c r="E229" s="53">
        <f t="shared" si="37"/>
        <v>0</v>
      </c>
      <c r="F229" s="961"/>
      <c r="G229" s="53">
        <f t="shared" si="38"/>
        <v>1</v>
      </c>
      <c r="H229" s="961"/>
      <c r="I229" s="53">
        <f t="shared" si="39"/>
        <v>1</v>
      </c>
      <c r="J229" s="961"/>
      <c r="K229" s="53">
        <f t="shared" si="40"/>
        <v>1</v>
      </c>
      <c r="L229" s="961"/>
      <c r="M229" s="53">
        <f t="shared" si="41"/>
        <v>1</v>
      </c>
      <c r="N229" s="961"/>
      <c r="O229" s="53">
        <f t="shared" si="42"/>
        <v>1</v>
      </c>
      <c r="P229" s="961"/>
      <c r="Q229" s="53">
        <f t="shared" si="43"/>
        <v>1</v>
      </c>
      <c r="R229" s="489">
        <f t="shared" si="44"/>
        <v>0</v>
      </c>
      <c r="S229" s="798">
        <f t="shared" si="35"/>
        <v>0</v>
      </c>
    </row>
    <row r="230" spans="1:19">
      <c r="A230" s="963"/>
      <c r="B230" s="137"/>
      <c r="C230" s="53">
        <f t="shared" si="36"/>
        <v>1</v>
      </c>
      <c r="D230" s="961"/>
      <c r="E230" s="53">
        <f t="shared" si="37"/>
        <v>0</v>
      </c>
      <c r="F230" s="961"/>
      <c r="G230" s="53">
        <f t="shared" si="38"/>
        <v>1</v>
      </c>
      <c r="H230" s="961"/>
      <c r="I230" s="53">
        <f t="shared" si="39"/>
        <v>1</v>
      </c>
      <c r="J230" s="961"/>
      <c r="K230" s="53">
        <f t="shared" si="40"/>
        <v>1</v>
      </c>
      <c r="L230" s="961"/>
      <c r="M230" s="53">
        <f t="shared" si="41"/>
        <v>1</v>
      </c>
      <c r="N230" s="961"/>
      <c r="O230" s="53">
        <f t="shared" si="42"/>
        <v>1</v>
      </c>
      <c r="P230" s="961"/>
      <c r="Q230" s="53">
        <f t="shared" si="43"/>
        <v>1</v>
      </c>
      <c r="R230" s="489">
        <f t="shared" si="44"/>
        <v>0</v>
      </c>
      <c r="S230" s="798">
        <f t="shared" si="35"/>
        <v>0</v>
      </c>
    </row>
    <row r="231" spans="1:19">
      <c r="A231" s="963"/>
      <c r="B231" s="137"/>
      <c r="C231" s="53">
        <f t="shared" si="36"/>
        <v>1</v>
      </c>
      <c r="D231" s="961"/>
      <c r="E231" s="53">
        <f t="shared" si="37"/>
        <v>0</v>
      </c>
      <c r="F231" s="961"/>
      <c r="G231" s="53">
        <f t="shared" si="38"/>
        <v>1</v>
      </c>
      <c r="H231" s="961"/>
      <c r="I231" s="53">
        <f t="shared" si="39"/>
        <v>1</v>
      </c>
      <c r="J231" s="961"/>
      <c r="K231" s="53">
        <f t="shared" si="40"/>
        <v>1</v>
      </c>
      <c r="L231" s="961"/>
      <c r="M231" s="53">
        <f t="shared" si="41"/>
        <v>1</v>
      </c>
      <c r="N231" s="961"/>
      <c r="O231" s="53">
        <f t="shared" si="42"/>
        <v>1</v>
      </c>
      <c r="P231" s="961"/>
      <c r="Q231" s="53">
        <f t="shared" si="43"/>
        <v>1</v>
      </c>
      <c r="R231" s="489">
        <f t="shared" si="44"/>
        <v>0</v>
      </c>
      <c r="S231" s="798">
        <f t="shared" si="35"/>
        <v>0</v>
      </c>
    </row>
    <row r="232" spans="1:19">
      <c r="A232" s="963"/>
      <c r="B232" s="137"/>
      <c r="C232" s="53">
        <f t="shared" si="36"/>
        <v>1</v>
      </c>
      <c r="D232" s="961"/>
      <c r="E232" s="53">
        <f t="shared" si="37"/>
        <v>0</v>
      </c>
      <c r="F232" s="961"/>
      <c r="G232" s="53">
        <f t="shared" si="38"/>
        <v>1</v>
      </c>
      <c r="H232" s="961"/>
      <c r="I232" s="53">
        <f t="shared" si="39"/>
        <v>1</v>
      </c>
      <c r="J232" s="961"/>
      <c r="K232" s="53">
        <f t="shared" si="40"/>
        <v>1</v>
      </c>
      <c r="L232" s="961"/>
      <c r="M232" s="53">
        <f t="shared" si="41"/>
        <v>1</v>
      </c>
      <c r="N232" s="961"/>
      <c r="O232" s="53">
        <f t="shared" si="42"/>
        <v>1</v>
      </c>
      <c r="P232" s="961"/>
      <c r="Q232" s="53">
        <f t="shared" si="43"/>
        <v>1</v>
      </c>
      <c r="R232" s="489">
        <f t="shared" si="44"/>
        <v>0</v>
      </c>
      <c r="S232" s="798">
        <f t="shared" si="35"/>
        <v>0</v>
      </c>
    </row>
    <row r="233" spans="1:19">
      <c r="A233" s="963"/>
      <c r="B233" s="137"/>
      <c r="C233" s="53">
        <f t="shared" si="36"/>
        <v>1</v>
      </c>
      <c r="D233" s="961"/>
      <c r="E233" s="53">
        <f t="shared" si="37"/>
        <v>0</v>
      </c>
      <c r="F233" s="961"/>
      <c r="G233" s="53">
        <f t="shared" si="38"/>
        <v>1</v>
      </c>
      <c r="H233" s="961"/>
      <c r="I233" s="53">
        <f t="shared" si="39"/>
        <v>1</v>
      </c>
      <c r="J233" s="961"/>
      <c r="K233" s="53">
        <f t="shared" si="40"/>
        <v>1</v>
      </c>
      <c r="L233" s="961"/>
      <c r="M233" s="53">
        <f t="shared" si="41"/>
        <v>1</v>
      </c>
      <c r="N233" s="961"/>
      <c r="O233" s="53">
        <f t="shared" si="42"/>
        <v>1</v>
      </c>
      <c r="P233" s="961"/>
      <c r="Q233" s="53">
        <f t="shared" si="43"/>
        <v>1</v>
      </c>
      <c r="R233" s="489">
        <f t="shared" si="44"/>
        <v>0</v>
      </c>
      <c r="S233" s="798">
        <f t="shared" si="35"/>
        <v>0</v>
      </c>
    </row>
    <row r="234" spans="1:19">
      <c r="A234" s="963"/>
      <c r="B234" s="137"/>
      <c r="C234" s="53">
        <f t="shared" si="36"/>
        <v>1</v>
      </c>
      <c r="D234" s="961"/>
      <c r="E234" s="53">
        <f t="shared" si="37"/>
        <v>0</v>
      </c>
      <c r="F234" s="961"/>
      <c r="G234" s="53">
        <f t="shared" si="38"/>
        <v>1</v>
      </c>
      <c r="H234" s="961"/>
      <c r="I234" s="53">
        <f t="shared" si="39"/>
        <v>1</v>
      </c>
      <c r="J234" s="961"/>
      <c r="K234" s="53">
        <f t="shared" si="40"/>
        <v>1</v>
      </c>
      <c r="L234" s="961"/>
      <c r="M234" s="53">
        <f t="shared" si="41"/>
        <v>1</v>
      </c>
      <c r="N234" s="961"/>
      <c r="O234" s="53">
        <f t="shared" si="42"/>
        <v>1</v>
      </c>
      <c r="P234" s="961"/>
      <c r="Q234" s="53">
        <f t="shared" si="43"/>
        <v>1</v>
      </c>
      <c r="R234" s="489">
        <f t="shared" si="44"/>
        <v>0</v>
      </c>
      <c r="S234" s="798">
        <f t="shared" si="35"/>
        <v>0</v>
      </c>
    </row>
    <row r="235" spans="1:19">
      <c r="A235" s="963"/>
      <c r="B235" s="137"/>
      <c r="C235" s="53">
        <f t="shared" si="36"/>
        <v>1</v>
      </c>
      <c r="D235" s="961"/>
      <c r="E235" s="53">
        <f t="shared" si="37"/>
        <v>0</v>
      </c>
      <c r="F235" s="961"/>
      <c r="G235" s="53">
        <f t="shared" si="38"/>
        <v>1</v>
      </c>
      <c r="H235" s="961"/>
      <c r="I235" s="53">
        <f t="shared" si="39"/>
        <v>1</v>
      </c>
      <c r="J235" s="961"/>
      <c r="K235" s="53">
        <f t="shared" si="40"/>
        <v>1</v>
      </c>
      <c r="L235" s="961"/>
      <c r="M235" s="53">
        <f t="shared" si="41"/>
        <v>1</v>
      </c>
      <c r="N235" s="961"/>
      <c r="O235" s="53">
        <f t="shared" si="42"/>
        <v>1</v>
      </c>
      <c r="P235" s="961"/>
      <c r="Q235" s="53">
        <f t="shared" si="43"/>
        <v>1</v>
      </c>
      <c r="R235" s="489">
        <f t="shared" si="44"/>
        <v>0</v>
      </c>
      <c r="S235" s="798">
        <f t="shared" si="35"/>
        <v>0</v>
      </c>
    </row>
    <row r="236" spans="1:19">
      <c r="A236" s="963"/>
      <c r="B236" s="137"/>
      <c r="C236" s="53">
        <f t="shared" si="36"/>
        <v>1</v>
      </c>
      <c r="D236" s="961"/>
      <c r="E236" s="53">
        <f t="shared" si="37"/>
        <v>0</v>
      </c>
      <c r="F236" s="961"/>
      <c r="G236" s="53">
        <f t="shared" si="38"/>
        <v>1</v>
      </c>
      <c r="H236" s="961"/>
      <c r="I236" s="53">
        <f t="shared" si="39"/>
        <v>1</v>
      </c>
      <c r="J236" s="961"/>
      <c r="K236" s="53">
        <f t="shared" si="40"/>
        <v>1</v>
      </c>
      <c r="L236" s="961"/>
      <c r="M236" s="53">
        <f t="shared" si="41"/>
        <v>1</v>
      </c>
      <c r="N236" s="961"/>
      <c r="O236" s="53">
        <f t="shared" si="42"/>
        <v>1</v>
      </c>
      <c r="P236" s="961"/>
      <c r="Q236" s="53">
        <f t="shared" si="43"/>
        <v>1</v>
      </c>
      <c r="R236" s="489">
        <f t="shared" si="44"/>
        <v>0</v>
      </c>
      <c r="S236" s="798">
        <f t="shared" si="35"/>
        <v>0</v>
      </c>
    </row>
    <row r="237" spans="1:19">
      <c r="A237" s="963"/>
      <c r="B237" s="137"/>
      <c r="C237" s="53">
        <f t="shared" si="36"/>
        <v>1</v>
      </c>
      <c r="D237" s="961"/>
      <c r="E237" s="53">
        <f t="shared" si="37"/>
        <v>0</v>
      </c>
      <c r="F237" s="961"/>
      <c r="G237" s="53">
        <f t="shared" si="38"/>
        <v>1</v>
      </c>
      <c r="H237" s="961"/>
      <c r="I237" s="53">
        <f t="shared" si="39"/>
        <v>1</v>
      </c>
      <c r="J237" s="961"/>
      <c r="K237" s="53">
        <f t="shared" si="40"/>
        <v>1</v>
      </c>
      <c r="L237" s="961"/>
      <c r="M237" s="53">
        <f t="shared" si="41"/>
        <v>1</v>
      </c>
      <c r="N237" s="961"/>
      <c r="O237" s="53">
        <f t="shared" si="42"/>
        <v>1</v>
      </c>
      <c r="P237" s="961"/>
      <c r="Q237" s="53">
        <f t="shared" si="43"/>
        <v>1</v>
      </c>
      <c r="R237" s="489">
        <f t="shared" si="44"/>
        <v>0</v>
      </c>
      <c r="S237" s="798">
        <f t="shared" si="35"/>
        <v>0</v>
      </c>
    </row>
    <row r="238" spans="1:19">
      <c r="A238" s="963"/>
      <c r="B238" s="137"/>
      <c r="C238" s="53">
        <f t="shared" si="36"/>
        <v>1</v>
      </c>
      <c r="D238" s="961"/>
      <c r="E238" s="53">
        <f t="shared" si="37"/>
        <v>0</v>
      </c>
      <c r="F238" s="961"/>
      <c r="G238" s="53">
        <f t="shared" si="38"/>
        <v>1</v>
      </c>
      <c r="H238" s="961"/>
      <c r="I238" s="53">
        <f t="shared" si="39"/>
        <v>1</v>
      </c>
      <c r="J238" s="961"/>
      <c r="K238" s="53">
        <f t="shared" si="40"/>
        <v>1</v>
      </c>
      <c r="L238" s="961"/>
      <c r="M238" s="53">
        <f t="shared" si="41"/>
        <v>1</v>
      </c>
      <c r="N238" s="961"/>
      <c r="O238" s="53">
        <f t="shared" si="42"/>
        <v>1</v>
      </c>
      <c r="P238" s="961"/>
      <c r="Q238" s="53">
        <f t="shared" si="43"/>
        <v>1</v>
      </c>
      <c r="R238" s="489">
        <f t="shared" si="44"/>
        <v>0</v>
      </c>
      <c r="S238" s="798">
        <f t="shared" si="35"/>
        <v>0</v>
      </c>
    </row>
    <row r="239" spans="1:19">
      <c r="A239" s="963"/>
      <c r="B239" s="137"/>
      <c r="C239" s="53">
        <f t="shared" si="36"/>
        <v>1</v>
      </c>
      <c r="D239" s="961"/>
      <c r="E239" s="53">
        <f t="shared" si="37"/>
        <v>0</v>
      </c>
      <c r="F239" s="961"/>
      <c r="G239" s="53">
        <f t="shared" si="38"/>
        <v>1</v>
      </c>
      <c r="H239" s="961"/>
      <c r="I239" s="53">
        <f t="shared" si="39"/>
        <v>1</v>
      </c>
      <c r="J239" s="961"/>
      <c r="K239" s="53">
        <f t="shared" si="40"/>
        <v>1</v>
      </c>
      <c r="L239" s="961"/>
      <c r="M239" s="53">
        <f t="shared" si="41"/>
        <v>1</v>
      </c>
      <c r="N239" s="961"/>
      <c r="O239" s="53">
        <f t="shared" si="42"/>
        <v>1</v>
      </c>
      <c r="P239" s="961"/>
      <c r="Q239" s="53">
        <f t="shared" si="43"/>
        <v>1</v>
      </c>
      <c r="R239" s="489">
        <f t="shared" si="44"/>
        <v>0</v>
      </c>
      <c r="S239" s="798">
        <f t="shared" si="35"/>
        <v>0</v>
      </c>
    </row>
    <row r="240" spans="1:19">
      <c r="A240" s="963"/>
      <c r="B240" s="137"/>
      <c r="C240" s="53">
        <f t="shared" si="36"/>
        <v>1</v>
      </c>
      <c r="D240" s="961"/>
      <c r="E240" s="53">
        <f t="shared" si="37"/>
        <v>0</v>
      </c>
      <c r="F240" s="961"/>
      <c r="G240" s="53">
        <f t="shared" si="38"/>
        <v>1</v>
      </c>
      <c r="H240" s="961"/>
      <c r="I240" s="53">
        <f t="shared" si="39"/>
        <v>1</v>
      </c>
      <c r="J240" s="961"/>
      <c r="K240" s="53">
        <f t="shared" si="40"/>
        <v>1</v>
      </c>
      <c r="L240" s="961"/>
      <c r="M240" s="53">
        <f t="shared" si="41"/>
        <v>1</v>
      </c>
      <c r="N240" s="961"/>
      <c r="O240" s="53">
        <f t="shared" si="42"/>
        <v>1</v>
      </c>
      <c r="P240" s="961"/>
      <c r="Q240" s="53">
        <f t="shared" si="43"/>
        <v>1</v>
      </c>
      <c r="R240" s="489">
        <f t="shared" si="44"/>
        <v>0</v>
      </c>
      <c r="S240" s="798">
        <f t="shared" si="35"/>
        <v>0</v>
      </c>
    </row>
    <row r="241" spans="1:19">
      <c r="A241" s="963"/>
      <c r="B241" s="137"/>
      <c r="C241" s="53">
        <f t="shared" si="36"/>
        <v>1</v>
      </c>
      <c r="D241" s="961"/>
      <c r="E241" s="53">
        <f t="shared" si="37"/>
        <v>0</v>
      </c>
      <c r="F241" s="961"/>
      <c r="G241" s="53">
        <f t="shared" si="38"/>
        <v>1</v>
      </c>
      <c r="H241" s="961"/>
      <c r="I241" s="53">
        <f t="shared" si="39"/>
        <v>1</v>
      </c>
      <c r="J241" s="961"/>
      <c r="K241" s="53">
        <f t="shared" si="40"/>
        <v>1</v>
      </c>
      <c r="L241" s="961"/>
      <c r="M241" s="53">
        <f t="shared" si="41"/>
        <v>1</v>
      </c>
      <c r="N241" s="961"/>
      <c r="O241" s="53">
        <f t="shared" si="42"/>
        <v>1</v>
      </c>
      <c r="P241" s="961"/>
      <c r="Q241" s="53">
        <f t="shared" si="43"/>
        <v>1</v>
      </c>
      <c r="R241" s="489">
        <f t="shared" si="44"/>
        <v>0</v>
      </c>
      <c r="S241" s="798">
        <f t="shared" si="35"/>
        <v>0</v>
      </c>
    </row>
    <row r="242" spans="1:19">
      <c r="A242" s="963"/>
      <c r="B242" s="137"/>
      <c r="C242" s="53">
        <f t="shared" si="36"/>
        <v>1</v>
      </c>
      <c r="D242" s="961"/>
      <c r="E242" s="53">
        <f t="shared" si="37"/>
        <v>0</v>
      </c>
      <c r="F242" s="961"/>
      <c r="G242" s="53">
        <f t="shared" si="38"/>
        <v>1</v>
      </c>
      <c r="H242" s="961"/>
      <c r="I242" s="53">
        <f t="shared" si="39"/>
        <v>1</v>
      </c>
      <c r="J242" s="961"/>
      <c r="K242" s="53">
        <f t="shared" si="40"/>
        <v>1</v>
      </c>
      <c r="L242" s="961"/>
      <c r="M242" s="53">
        <f t="shared" si="41"/>
        <v>1</v>
      </c>
      <c r="N242" s="961"/>
      <c r="O242" s="53">
        <f t="shared" si="42"/>
        <v>1</v>
      </c>
      <c r="P242" s="961"/>
      <c r="Q242" s="53">
        <f t="shared" si="43"/>
        <v>1</v>
      </c>
      <c r="R242" s="489">
        <f t="shared" si="44"/>
        <v>0</v>
      </c>
      <c r="S242" s="798">
        <f t="shared" si="35"/>
        <v>0</v>
      </c>
    </row>
    <row r="243" spans="1:19">
      <c r="A243" s="963"/>
      <c r="B243" s="137"/>
      <c r="C243" s="53">
        <f t="shared" si="36"/>
        <v>1</v>
      </c>
      <c r="D243" s="961"/>
      <c r="E243" s="53">
        <f t="shared" si="37"/>
        <v>0</v>
      </c>
      <c r="F243" s="961"/>
      <c r="G243" s="53">
        <f t="shared" si="38"/>
        <v>1</v>
      </c>
      <c r="H243" s="961"/>
      <c r="I243" s="53">
        <f t="shared" si="39"/>
        <v>1</v>
      </c>
      <c r="J243" s="961"/>
      <c r="K243" s="53">
        <f t="shared" si="40"/>
        <v>1</v>
      </c>
      <c r="L243" s="961"/>
      <c r="M243" s="53">
        <f t="shared" si="41"/>
        <v>1</v>
      </c>
      <c r="N243" s="961"/>
      <c r="O243" s="53">
        <f t="shared" si="42"/>
        <v>1</v>
      </c>
      <c r="P243" s="961"/>
      <c r="Q243" s="53">
        <f t="shared" si="43"/>
        <v>1</v>
      </c>
      <c r="R243" s="489">
        <f t="shared" si="44"/>
        <v>0</v>
      </c>
      <c r="S243" s="798">
        <f t="shared" si="35"/>
        <v>0</v>
      </c>
    </row>
    <row r="244" spans="1:19">
      <c r="A244" s="963"/>
      <c r="B244" s="137"/>
      <c r="C244" s="53">
        <f t="shared" si="36"/>
        <v>1</v>
      </c>
      <c r="D244" s="961"/>
      <c r="E244" s="53">
        <f t="shared" si="37"/>
        <v>0</v>
      </c>
      <c r="F244" s="961"/>
      <c r="G244" s="53">
        <f t="shared" si="38"/>
        <v>1</v>
      </c>
      <c r="H244" s="961"/>
      <c r="I244" s="53">
        <f t="shared" si="39"/>
        <v>1</v>
      </c>
      <c r="J244" s="961"/>
      <c r="K244" s="53">
        <f t="shared" si="40"/>
        <v>1</v>
      </c>
      <c r="L244" s="961"/>
      <c r="M244" s="53">
        <f t="shared" si="41"/>
        <v>1</v>
      </c>
      <c r="N244" s="961"/>
      <c r="O244" s="53">
        <f t="shared" si="42"/>
        <v>1</v>
      </c>
      <c r="P244" s="961"/>
      <c r="Q244" s="53">
        <f t="shared" si="43"/>
        <v>1</v>
      </c>
      <c r="R244" s="489">
        <f t="shared" si="44"/>
        <v>0</v>
      </c>
      <c r="S244" s="798">
        <f t="shared" si="35"/>
        <v>0</v>
      </c>
    </row>
    <row r="245" spans="1:19">
      <c r="A245" s="963"/>
      <c r="B245" s="137"/>
      <c r="C245" s="53">
        <f t="shared" si="36"/>
        <v>1</v>
      </c>
      <c r="D245" s="961"/>
      <c r="E245" s="53">
        <f t="shared" si="37"/>
        <v>0</v>
      </c>
      <c r="F245" s="961"/>
      <c r="G245" s="53">
        <f t="shared" si="38"/>
        <v>1</v>
      </c>
      <c r="H245" s="961"/>
      <c r="I245" s="53">
        <f t="shared" si="39"/>
        <v>1</v>
      </c>
      <c r="J245" s="961"/>
      <c r="K245" s="53">
        <f t="shared" si="40"/>
        <v>1</v>
      </c>
      <c r="L245" s="961"/>
      <c r="M245" s="53">
        <f t="shared" si="41"/>
        <v>1</v>
      </c>
      <c r="N245" s="961"/>
      <c r="O245" s="53">
        <f t="shared" si="42"/>
        <v>1</v>
      </c>
      <c r="P245" s="961"/>
      <c r="Q245" s="53">
        <f t="shared" si="43"/>
        <v>1</v>
      </c>
      <c r="R245" s="489">
        <f t="shared" si="44"/>
        <v>0</v>
      </c>
      <c r="S245" s="798">
        <f t="shared" si="35"/>
        <v>0</v>
      </c>
    </row>
    <row r="246" spans="1:19">
      <c r="A246" s="963"/>
      <c r="B246" s="137"/>
      <c r="C246" s="53">
        <f t="shared" si="36"/>
        <v>1</v>
      </c>
      <c r="D246" s="961"/>
      <c r="E246" s="53">
        <f t="shared" si="37"/>
        <v>0</v>
      </c>
      <c r="F246" s="961"/>
      <c r="G246" s="53">
        <f t="shared" si="38"/>
        <v>1</v>
      </c>
      <c r="H246" s="961"/>
      <c r="I246" s="53">
        <f t="shared" si="39"/>
        <v>1</v>
      </c>
      <c r="J246" s="961"/>
      <c r="K246" s="53">
        <f t="shared" si="40"/>
        <v>1</v>
      </c>
      <c r="L246" s="961"/>
      <c r="M246" s="53">
        <f t="shared" si="41"/>
        <v>1</v>
      </c>
      <c r="N246" s="961"/>
      <c r="O246" s="53">
        <f t="shared" si="42"/>
        <v>1</v>
      </c>
      <c r="P246" s="961"/>
      <c r="Q246" s="53">
        <f t="shared" si="43"/>
        <v>1</v>
      </c>
      <c r="R246" s="489">
        <f t="shared" si="44"/>
        <v>0</v>
      </c>
      <c r="S246" s="798">
        <f t="shared" si="35"/>
        <v>0</v>
      </c>
    </row>
    <row r="247" spans="1:19">
      <c r="A247" s="963"/>
      <c r="B247" s="137"/>
      <c r="C247" s="53">
        <f t="shared" si="36"/>
        <v>1</v>
      </c>
      <c r="D247" s="961"/>
      <c r="E247" s="53">
        <f t="shared" si="37"/>
        <v>0</v>
      </c>
      <c r="F247" s="961"/>
      <c r="G247" s="53">
        <f t="shared" si="38"/>
        <v>1</v>
      </c>
      <c r="H247" s="961"/>
      <c r="I247" s="53">
        <f t="shared" si="39"/>
        <v>1</v>
      </c>
      <c r="J247" s="961"/>
      <c r="K247" s="53">
        <f t="shared" si="40"/>
        <v>1</v>
      </c>
      <c r="L247" s="961"/>
      <c r="M247" s="53">
        <f t="shared" si="41"/>
        <v>1</v>
      </c>
      <c r="N247" s="961"/>
      <c r="O247" s="53">
        <f t="shared" si="42"/>
        <v>1</v>
      </c>
      <c r="P247" s="961"/>
      <c r="Q247" s="53">
        <f t="shared" si="43"/>
        <v>1</v>
      </c>
      <c r="R247" s="489">
        <f t="shared" si="44"/>
        <v>0</v>
      </c>
      <c r="S247" s="798">
        <f t="shared" si="35"/>
        <v>0</v>
      </c>
    </row>
    <row r="248" spans="1:19">
      <c r="A248" s="963"/>
      <c r="B248" s="137"/>
      <c r="C248" s="53">
        <f t="shared" si="36"/>
        <v>1</v>
      </c>
      <c r="D248" s="961"/>
      <c r="E248" s="53">
        <f t="shared" si="37"/>
        <v>0</v>
      </c>
      <c r="F248" s="961"/>
      <c r="G248" s="53">
        <f t="shared" si="38"/>
        <v>1</v>
      </c>
      <c r="H248" s="961"/>
      <c r="I248" s="53">
        <f t="shared" si="39"/>
        <v>1</v>
      </c>
      <c r="J248" s="961"/>
      <c r="K248" s="53">
        <f t="shared" si="40"/>
        <v>1</v>
      </c>
      <c r="L248" s="961"/>
      <c r="M248" s="53">
        <f t="shared" si="41"/>
        <v>1</v>
      </c>
      <c r="N248" s="961"/>
      <c r="O248" s="53">
        <f t="shared" si="42"/>
        <v>1</v>
      </c>
      <c r="P248" s="961"/>
      <c r="Q248" s="53">
        <f t="shared" si="43"/>
        <v>1</v>
      </c>
      <c r="R248" s="489">
        <f t="shared" si="44"/>
        <v>0</v>
      </c>
      <c r="S248" s="798">
        <f t="shared" si="35"/>
        <v>0</v>
      </c>
    </row>
    <row r="249" spans="1:19">
      <c r="A249" s="963"/>
      <c r="B249" s="137"/>
      <c r="C249" s="53">
        <f t="shared" si="36"/>
        <v>1</v>
      </c>
      <c r="D249" s="961"/>
      <c r="E249" s="53">
        <f t="shared" si="37"/>
        <v>0</v>
      </c>
      <c r="F249" s="961"/>
      <c r="G249" s="53">
        <f t="shared" si="38"/>
        <v>1</v>
      </c>
      <c r="H249" s="961"/>
      <c r="I249" s="53">
        <f t="shared" si="39"/>
        <v>1</v>
      </c>
      <c r="J249" s="961"/>
      <c r="K249" s="53">
        <f t="shared" si="40"/>
        <v>1</v>
      </c>
      <c r="L249" s="961"/>
      <c r="M249" s="53">
        <f t="shared" si="41"/>
        <v>1</v>
      </c>
      <c r="N249" s="961"/>
      <c r="O249" s="53">
        <f t="shared" si="42"/>
        <v>1</v>
      </c>
      <c r="P249" s="961"/>
      <c r="Q249" s="53">
        <f t="shared" si="43"/>
        <v>1</v>
      </c>
      <c r="R249" s="489">
        <f t="shared" si="44"/>
        <v>0</v>
      </c>
      <c r="S249" s="798">
        <f t="shared" si="35"/>
        <v>0</v>
      </c>
    </row>
    <row r="250" spans="1:19">
      <c r="A250" s="963"/>
      <c r="B250" s="137"/>
      <c r="C250" s="53">
        <f t="shared" si="36"/>
        <v>1</v>
      </c>
      <c r="D250" s="961"/>
      <c r="E250" s="53">
        <f t="shared" si="37"/>
        <v>0</v>
      </c>
      <c r="F250" s="961"/>
      <c r="G250" s="53">
        <f t="shared" si="38"/>
        <v>1</v>
      </c>
      <c r="H250" s="961"/>
      <c r="I250" s="53">
        <f t="shared" si="39"/>
        <v>1</v>
      </c>
      <c r="J250" s="961"/>
      <c r="K250" s="53">
        <f t="shared" si="40"/>
        <v>1</v>
      </c>
      <c r="L250" s="961"/>
      <c r="M250" s="53">
        <f t="shared" si="41"/>
        <v>1</v>
      </c>
      <c r="N250" s="961"/>
      <c r="O250" s="53">
        <f t="shared" si="42"/>
        <v>1</v>
      </c>
      <c r="P250" s="961"/>
      <c r="Q250" s="53">
        <f t="shared" si="43"/>
        <v>1</v>
      </c>
      <c r="R250" s="489">
        <f t="shared" si="44"/>
        <v>0</v>
      </c>
      <c r="S250" s="798">
        <f t="shared" si="35"/>
        <v>0</v>
      </c>
    </row>
    <row r="251" spans="1:19">
      <c r="A251" s="963"/>
      <c r="B251" s="137"/>
      <c r="C251" s="53">
        <f t="shared" si="36"/>
        <v>1</v>
      </c>
      <c r="D251" s="961"/>
      <c r="E251" s="53">
        <f t="shared" si="37"/>
        <v>0</v>
      </c>
      <c r="F251" s="961"/>
      <c r="G251" s="53">
        <f t="shared" si="38"/>
        <v>1</v>
      </c>
      <c r="H251" s="961"/>
      <c r="I251" s="53">
        <f t="shared" si="39"/>
        <v>1</v>
      </c>
      <c r="J251" s="961"/>
      <c r="K251" s="53">
        <f t="shared" si="40"/>
        <v>1</v>
      </c>
      <c r="L251" s="961"/>
      <c r="M251" s="53">
        <f t="shared" si="41"/>
        <v>1</v>
      </c>
      <c r="N251" s="961"/>
      <c r="O251" s="53">
        <f t="shared" si="42"/>
        <v>1</v>
      </c>
      <c r="P251" s="961"/>
      <c r="Q251" s="53">
        <f t="shared" si="43"/>
        <v>1</v>
      </c>
      <c r="R251" s="489">
        <f t="shared" si="44"/>
        <v>0</v>
      </c>
      <c r="S251" s="798">
        <f t="shared" si="35"/>
        <v>0</v>
      </c>
    </row>
    <row r="252" spans="1:19">
      <c r="A252" s="963"/>
      <c r="B252" s="137"/>
      <c r="C252" s="53">
        <f t="shared" si="36"/>
        <v>1</v>
      </c>
      <c r="D252" s="961"/>
      <c r="E252" s="53">
        <f t="shared" si="37"/>
        <v>0</v>
      </c>
      <c r="F252" s="961"/>
      <c r="G252" s="53">
        <f t="shared" si="38"/>
        <v>1</v>
      </c>
      <c r="H252" s="961"/>
      <c r="I252" s="53">
        <f t="shared" si="39"/>
        <v>1</v>
      </c>
      <c r="J252" s="961"/>
      <c r="K252" s="53">
        <f t="shared" si="40"/>
        <v>1</v>
      </c>
      <c r="L252" s="961"/>
      <c r="M252" s="53">
        <f t="shared" si="41"/>
        <v>1</v>
      </c>
      <c r="N252" s="961"/>
      <c r="O252" s="53">
        <f t="shared" si="42"/>
        <v>1</v>
      </c>
      <c r="P252" s="961"/>
      <c r="Q252" s="53">
        <f t="shared" si="43"/>
        <v>1</v>
      </c>
      <c r="R252" s="489">
        <f t="shared" si="44"/>
        <v>0</v>
      </c>
      <c r="S252" s="798">
        <f t="shared" si="35"/>
        <v>0</v>
      </c>
    </row>
    <row r="253" spans="1:19">
      <c r="A253" s="963"/>
      <c r="B253" s="137"/>
      <c r="C253" s="53">
        <f t="shared" si="36"/>
        <v>1</v>
      </c>
      <c r="D253" s="961"/>
      <c r="E253" s="53">
        <f t="shared" si="37"/>
        <v>0</v>
      </c>
      <c r="F253" s="961"/>
      <c r="G253" s="53">
        <f t="shared" si="38"/>
        <v>1</v>
      </c>
      <c r="H253" s="961"/>
      <c r="I253" s="53">
        <f t="shared" si="39"/>
        <v>1</v>
      </c>
      <c r="J253" s="961"/>
      <c r="K253" s="53">
        <f t="shared" si="40"/>
        <v>1</v>
      </c>
      <c r="L253" s="961"/>
      <c r="M253" s="53">
        <f t="shared" si="41"/>
        <v>1</v>
      </c>
      <c r="N253" s="961"/>
      <c r="O253" s="53">
        <f t="shared" si="42"/>
        <v>1</v>
      </c>
      <c r="P253" s="961"/>
      <c r="Q253" s="53">
        <f t="shared" si="43"/>
        <v>1</v>
      </c>
      <c r="R253" s="489">
        <f t="shared" si="44"/>
        <v>0</v>
      </c>
      <c r="S253" s="798">
        <f t="shared" si="35"/>
        <v>0</v>
      </c>
    </row>
    <row r="254" spans="1:19">
      <c r="A254" s="963"/>
      <c r="B254" s="137"/>
      <c r="C254" s="53">
        <f t="shared" si="36"/>
        <v>1</v>
      </c>
      <c r="D254" s="961"/>
      <c r="E254" s="53">
        <f t="shared" si="37"/>
        <v>0</v>
      </c>
      <c r="F254" s="961"/>
      <c r="G254" s="53">
        <f t="shared" si="38"/>
        <v>1</v>
      </c>
      <c r="H254" s="961"/>
      <c r="I254" s="53">
        <f t="shared" si="39"/>
        <v>1</v>
      </c>
      <c r="J254" s="961"/>
      <c r="K254" s="53">
        <f t="shared" si="40"/>
        <v>1</v>
      </c>
      <c r="L254" s="961"/>
      <c r="M254" s="53">
        <f t="shared" si="41"/>
        <v>1</v>
      </c>
      <c r="N254" s="961"/>
      <c r="O254" s="53">
        <f t="shared" si="42"/>
        <v>1</v>
      </c>
      <c r="P254" s="961"/>
      <c r="Q254" s="53">
        <f t="shared" si="43"/>
        <v>1</v>
      </c>
      <c r="R254" s="489">
        <f t="shared" si="44"/>
        <v>0</v>
      </c>
      <c r="S254" s="798">
        <f t="shared" si="35"/>
        <v>0</v>
      </c>
    </row>
    <row r="255" spans="1:19">
      <c r="A255" s="963"/>
      <c r="B255" s="137"/>
      <c r="C255" s="53">
        <f t="shared" si="36"/>
        <v>1</v>
      </c>
      <c r="D255" s="961"/>
      <c r="E255" s="53">
        <f t="shared" si="37"/>
        <v>0</v>
      </c>
      <c r="F255" s="961"/>
      <c r="G255" s="53">
        <f t="shared" si="38"/>
        <v>1</v>
      </c>
      <c r="H255" s="961"/>
      <c r="I255" s="53">
        <f t="shared" si="39"/>
        <v>1</v>
      </c>
      <c r="J255" s="961"/>
      <c r="K255" s="53">
        <f t="shared" si="40"/>
        <v>1</v>
      </c>
      <c r="L255" s="961"/>
      <c r="M255" s="53">
        <f t="shared" si="41"/>
        <v>1</v>
      </c>
      <c r="N255" s="961"/>
      <c r="O255" s="53">
        <f t="shared" si="42"/>
        <v>1</v>
      </c>
      <c r="P255" s="961"/>
      <c r="Q255" s="53">
        <f t="shared" si="43"/>
        <v>1</v>
      </c>
      <c r="R255" s="489">
        <f t="shared" si="44"/>
        <v>0</v>
      </c>
      <c r="S255" s="798">
        <f t="shared" si="35"/>
        <v>0</v>
      </c>
    </row>
    <row r="256" spans="1:19">
      <c r="A256" s="963"/>
      <c r="B256" s="137"/>
      <c r="C256" s="53">
        <f t="shared" si="36"/>
        <v>1</v>
      </c>
      <c r="D256" s="961"/>
      <c r="E256" s="53">
        <f t="shared" si="37"/>
        <v>0</v>
      </c>
      <c r="F256" s="961"/>
      <c r="G256" s="53">
        <f t="shared" si="38"/>
        <v>1</v>
      </c>
      <c r="H256" s="961"/>
      <c r="I256" s="53">
        <f t="shared" si="39"/>
        <v>1</v>
      </c>
      <c r="J256" s="961"/>
      <c r="K256" s="53">
        <f t="shared" si="40"/>
        <v>1</v>
      </c>
      <c r="L256" s="961"/>
      <c r="M256" s="53">
        <f t="shared" si="41"/>
        <v>1</v>
      </c>
      <c r="N256" s="961"/>
      <c r="O256" s="53">
        <f t="shared" si="42"/>
        <v>1</v>
      </c>
      <c r="P256" s="961"/>
      <c r="Q256" s="53">
        <f t="shared" si="43"/>
        <v>1</v>
      </c>
      <c r="R256" s="489">
        <f t="shared" si="44"/>
        <v>0</v>
      </c>
      <c r="S256" s="798">
        <f t="shared" si="35"/>
        <v>0</v>
      </c>
    </row>
    <row r="257" spans="1:19">
      <c r="A257" s="963"/>
      <c r="B257" s="137"/>
      <c r="C257" s="53">
        <f t="shared" si="36"/>
        <v>1</v>
      </c>
      <c r="D257" s="961"/>
      <c r="E257" s="53">
        <f t="shared" si="37"/>
        <v>0</v>
      </c>
      <c r="F257" s="961"/>
      <c r="G257" s="53">
        <f t="shared" si="38"/>
        <v>1</v>
      </c>
      <c r="H257" s="961"/>
      <c r="I257" s="53">
        <f t="shared" si="39"/>
        <v>1</v>
      </c>
      <c r="J257" s="961"/>
      <c r="K257" s="53">
        <f t="shared" si="40"/>
        <v>1</v>
      </c>
      <c r="L257" s="961"/>
      <c r="M257" s="53">
        <f t="shared" si="41"/>
        <v>1</v>
      </c>
      <c r="N257" s="961"/>
      <c r="O257" s="53">
        <f t="shared" si="42"/>
        <v>1</v>
      </c>
      <c r="P257" s="961"/>
      <c r="Q257" s="53">
        <f t="shared" si="43"/>
        <v>1</v>
      </c>
      <c r="R257" s="489">
        <f t="shared" si="44"/>
        <v>0</v>
      </c>
      <c r="S257" s="798">
        <f t="shared" si="35"/>
        <v>0</v>
      </c>
    </row>
    <row r="258" spans="1:19">
      <c r="A258" s="963"/>
      <c r="B258" s="137"/>
      <c r="C258" s="53">
        <f t="shared" si="36"/>
        <v>1</v>
      </c>
      <c r="D258" s="961"/>
      <c r="E258" s="53">
        <f t="shared" si="37"/>
        <v>0</v>
      </c>
      <c r="F258" s="961"/>
      <c r="G258" s="53">
        <f t="shared" si="38"/>
        <v>1</v>
      </c>
      <c r="H258" s="961"/>
      <c r="I258" s="53">
        <f t="shared" si="39"/>
        <v>1</v>
      </c>
      <c r="J258" s="961"/>
      <c r="K258" s="53">
        <f t="shared" si="40"/>
        <v>1</v>
      </c>
      <c r="L258" s="961"/>
      <c r="M258" s="53">
        <f t="shared" si="41"/>
        <v>1</v>
      </c>
      <c r="N258" s="961"/>
      <c r="O258" s="53">
        <f t="shared" si="42"/>
        <v>1</v>
      </c>
      <c r="P258" s="961"/>
      <c r="Q258" s="53">
        <f t="shared" si="43"/>
        <v>1</v>
      </c>
      <c r="R258" s="489">
        <f t="shared" si="44"/>
        <v>0</v>
      </c>
      <c r="S258" s="798">
        <f t="shared" si="35"/>
        <v>0</v>
      </c>
    </row>
    <row r="259" spans="1:19">
      <c r="A259" s="963"/>
      <c r="B259" s="137"/>
      <c r="C259" s="53">
        <f t="shared" si="36"/>
        <v>1</v>
      </c>
      <c r="D259" s="961"/>
      <c r="E259" s="53">
        <f t="shared" si="37"/>
        <v>0</v>
      </c>
      <c r="F259" s="961"/>
      <c r="G259" s="53">
        <f t="shared" si="38"/>
        <v>1</v>
      </c>
      <c r="H259" s="961"/>
      <c r="I259" s="53">
        <f t="shared" si="39"/>
        <v>1</v>
      </c>
      <c r="J259" s="961"/>
      <c r="K259" s="53">
        <f t="shared" si="40"/>
        <v>1</v>
      </c>
      <c r="L259" s="961"/>
      <c r="M259" s="53">
        <f t="shared" si="41"/>
        <v>1</v>
      </c>
      <c r="N259" s="961"/>
      <c r="O259" s="53">
        <f t="shared" si="42"/>
        <v>1</v>
      </c>
      <c r="P259" s="961"/>
      <c r="Q259" s="53">
        <f t="shared" si="43"/>
        <v>1</v>
      </c>
      <c r="R259" s="489">
        <f t="shared" si="44"/>
        <v>0</v>
      </c>
      <c r="S259" s="798">
        <f t="shared" si="35"/>
        <v>0</v>
      </c>
    </row>
    <row r="260" spans="1:19">
      <c r="A260" s="963"/>
      <c r="B260" s="137"/>
      <c r="C260" s="53">
        <f t="shared" si="36"/>
        <v>1</v>
      </c>
      <c r="D260" s="961"/>
      <c r="E260" s="53">
        <f t="shared" si="37"/>
        <v>0</v>
      </c>
      <c r="F260" s="961"/>
      <c r="G260" s="53">
        <f t="shared" si="38"/>
        <v>1</v>
      </c>
      <c r="H260" s="961"/>
      <c r="I260" s="53">
        <f t="shared" si="39"/>
        <v>1</v>
      </c>
      <c r="J260" s="961"/>
      <c r="K260" s="53">
        <f t="shared" si="40"/>
        <v>1</v>
      </c>
      <c r="L260" s="961"/>
      <c r="M260" s="53">
        <f t="shared" si="41"/>
        <v>1</v>
      </c>
      <c r="N260" s="961"/>
      <c r="O260" s="53">
        <f t="shared" si="42"/>
        <v>1</v>
      </c>
      <c r="P260" s="961"/>
      <c r="Q260" s="53">
        <f t="shared" si="43"/>
        <v>1</v>
      </c>
      <c r="R260" s="489">
        <f t="shared" si="44"/>
        <v>0</v>
      </c>
      <c r="S260" s="798">
        <f t="shared" si="35"/>
        <v>0</v>
      </c>
    </row>
    <row r="261" spans="1:19">
      <c r="A261" s="963"/>
      <c r="B261" s="137"/>
      <c r="C261" s="53">
        <f t="shared" si="36"/>
        <v>1</v>
      </c>
      <c r="D261" s="961"/>
      <c r="E261" s="53">
        <f t="shared" si="37"/>
        <v>0</v>
      </c>
      <c r="F261" s="961"/>
      <c r="G261" s="53">
        <f t="shared" si="38"/>
        <v>1</v>
      </c>
      <c r="H261" s="961"/>
      <c r="I261" s="53">
        <f t="shared" si="39"/>
        <v>1</v>
      </c>
      <c r="J261" s="961"/>
      <c r="K261" s="53">
        <f t="shared" si="40"/>
        <v>1</v>
      </c>
      <c r="L261" s="961"/>
      <c r="M261" s="53">
        <f t="shared" si="41"/>
        <v>1</v>
      </c>
      <c r="N261" s="961"/>
      <c r="O261" s="53">
        <f t="shared" si="42"/>
        <v>1</v>
      </c>
      <c r="P261" s="961"/>
      <c r="Q261" s="53">
        <f t="shared" si="43"/>
        <v>1</v>
      </c>
      <c r="R261" s="489">
        <f t="shared" si="44"/>
        <v>0</v>
      </c>
      <c r="S261" s="798">
        <f t="shared" si="35"/>
        <v>0</v>
      </c>
    </row>
    <row r="262" spans="1:19">
      <c r="A262" s="963"/>
      <c r="B262" s="137"/>
      <c r="C262" s="53">
        <f t="shared" si="36"/>
        <v>1</v>
      </c>
      <c r="D262" s="961"/>
      <c r="E262" s="53">
        <f t="shared" si="37"/>
        <v>0</v>
      </c>
      <c r="F262" s="961"/>
      <c r="G262" s="53">
        <f t="shared" si="38"/>
        <v>1</v>
      </c>
      <c r="H262" s="961"/>
      <c r="I262" s="53">
        <f t="shared" si="39"/>
        <v>1</v>
      </c>
      <c r="J262" s="961"/>
      <c r="K262" s="53">
        <f t="shared" si="40"/>
        <v>1</v>
      </c>
      <c r="L262" s="961"/>
      <c r="M262" s="53">
        <f t="shared" si="41"/>
        <v>1</v>
      </c>
      <c r="N262" s="961"/>
      <c r="O262" s="53">
        <f t="shared" si="42"/>
        <v>1</v>
      </c>
      <c r="P262" s="961"/>
      <c r="Q262" s="53">
        <f t="shared" si="43"/>
        <v>1</v>
      </c>
      <c r="R262" s="489">
        <f t="shared" si="44"/>
        <v>0</v>
      </c>
      <c r="S262" s="798">
        <f t="shared" si="35"/>
        <v>0</v>
      </c>
    </row>
    <row r="263" spans="1:19">
      <c r="A263" s="963"/>
      <c r="B263" s="137"/>
      <c r="C263" s="53">
        <f t="shared" si="36"/>
        <v>1</v>
      </c>
      <c r="D263" s="961"/>
      <c r="E263" s="53">
        <f t="shared" si="37"/>
        <v>0</v>
      </c>
      <c r="F263" s="961"/>
      <c r="G263" s="53">
        <f t="shared" si="38"/>
        <v>1</v>
      </c>
      <c r="H263" s="961"/>
      <c r="I263" s="53">
        <f t="shared" si="39"/>
        <v>1</v>
      </c>
      <c r="J263" s="961"/>
      <c r="K263" s="53">
        <f t="shared" si="40"/>
        <v>1</v>
      </c>
      <c r="L263" s="961"/>
      <c r="M263" s="53">
        <f t="shared" si="41"/>
        <v>1</v>
      </c>
      <c r="N263" s="961"/>
      <c r="O263" s="53">
        <f t="shared" si="42"/>
        <v>1</v>
      </c>
      <c r="P263" s="961"/>
      <c r="Q263" s="53">
        <f t="shared" si="43"/>
        <v>1</v>
      </c>
      <c r="R263" s="489">
        <f t="shared" si="44"/>
        <v>0</v>
      </c>
      <c r="S263" s="798">
        <f t="shared" si="35"/>
        <v>0</v>
      </c>
    </row>
    <row r="264" spans="1:19">
      <c r="A264" s="963"/>
      <c r="B264" s="137"/>
      <c r="C264" s="53">
        <f t="shared" si="36"/>
        <v>1</v>
      </c>
      <c r="D264" s="961"/>
      <c r="E264" s="53">
        <f t="shared" si="37"/>
        <v>0</v>
      </c>
      <c r="F264" s="961"/>
      <c r="G264" s="53">
        <f t="shared" si="38"/>
        <v>1</v>
      </c>
      <c r="H264" s="961"/>
      <c r="I264" s="53">
        <f t="shared" si="39"/>
        <v>1</v>
      </c>
      <c r="J264" s="961"/>
      <c r="K264" s="53">
        <f t="shared" si="40"/>
        <v>1</v>
      </c>
      <c r="L264" s="961"/>
      <c r="M264" s="53">
        <f t="shared" si="41"/>
        <v>1</v>
      </c>
      <c r="N264" s="961"/>
      <c r="O264" s="53">
        <f t="shared" si="42"/>
        <v>1</v>
      </c>
      <c r="P264" s="961"/>
      <c r="Q264" s="53">
        <f t="shared" si="43"/>
        <v>1</v>
      </c>
      <c r="R264" s="489">
        <f t="shared" si="44"/>
        <v>0</v>
      </c>
      <c r="S264" s="798">
        <f t="shared" si="35"/>
        <v>0</v>
      </c>
    </row>
    <row r="265" spans="1:19">
      <c r="A265" s="963"/>
      <c r="B265" s="137"/>
      <c r="C265" s="53">
        <f t="shared" si="36"/>
        <v>1</v>
      </c>
      <c r="D265" s="961"/>
      <c r="E265" s="53">
        <f t="shared" si="37"/>
        <v>0</v>
      </c>
      <c r="F265" s="961"/>
      <c r="G265" s="53">
        <f t="shared" si="38"/>
        <v>1</v>
      </c>
      <c r="H265" s="961"/>
      <c r="I265" s="53">
        <f t="shared" si="39"/>
        <v>1</v>
      </c>
      <c r="J265" s="961"/>
      <c r="K265" s="53">
        <f t="shared" si="40"/>
        <v>1</v>
      </c>
      <c r="L265" s="961"/>
      <c r="M265" s="53">
        <f t="shared" si="41"/>
        <v>1</v>
      </c>
      <c r="N265" s="961"/>
      <c r="O265" s="53">
        <f t="shared" si="42"/>
        <v>1</v>
      </c>
      <c r="P265" s="961"/>
      <c r="Q265" s="53">
        <f t="shared" si="43"/>
        <v>1</v>
      </c>
      <c r="R265" s="489">
        <f t="shared" si="44"/>
        <v>0</v>
      </c>
      <c r="S265" s="798">
        <f t="shared" si="35"/>
        <v>0</v>
      </c>
    </row>
    <row r="266" spans="1:19">
      <c r="A266" s="963"/>
      <c r="B266" s="137"/>
      <c r="C266" s="53">
        <f t="shared" si="36"/>
        <v>1</v>
      </c>
      <c r="D266" s="961"/>
      <c r="E266" s="53">
        <f t="shared" si="37"/>
        <v>0</v>
      </c>
      <c r="F266" s="961"/>
      <c r="G266" s="53">
        <f t="shared" si="38"/>
        <v>1</v>
      </c>
      <c r="H266" s="961"/>
      <c r="I266" s="53">
        <f t="shared" si="39"/>
        <v>1</v>
      </c>
      <c r="J266" s="961"/>
      <c r="K266" s="53">
        <f t="shared" si="40"/>
        <v>1</v>
      </c>
      <c r="L266" s="961"/>
      <c r="M266" s="53">
        <f t="shared" si="41"/>
        <v>1</v>
      </c>
      <c r="N266" s="961"/>
      <c r="O266" s="53">
        <f t="shared" si="42"/>
        <v>1</v>
      </c>
      <c r="P266" s="961"/>
      <c r="Q266" s="53">
        <f t="shared" si="43"/>
        <v>1</v>
      </c>
      <c r="R266" s="489">
        <f t="shared" si="44"/>
        <v>0</v>
      </c>
      <c r="S266" s="798">
        <f t="shared" si="35"/>
        <v>0</v>
      </c>
    </row>
    <row r="267" spans="1:19">
      <c r="A267" s="963"/>
      <c r="B267" s="137"/>
      <c r="C267" s="53">
        <f t="shared" si="36"/>
        <v>1</v>
      </c>
      <c r="D267" s="961"/>
      <c r="E267" s="53">
        <f t="shared" si="37"/>
        <v>0</v>
      </c>
      <c r="F267" s="961"/>
      <c r="G267" s="53">
        <f t="shared" si="38"/>
        <v>1</v>
      </c>
      <c r="H267" s="961"/>
      <c r="I267" s="53">
        <f t="shared" si="39"/>
        <v>1</v>
      </c>
      <c r="J267" s="961"/>
      <c r="K267" s="53">
        <f t="shared" si="40"/>
        <v>1</v>
      </c>
      <c r="L267" s="961"/>
      <c r="M267" s="53">
        <f t="shared" si="41"/>
        <v>1</v>
      </c>
      <c r="N267" s="961"/>
      <c r="O267" s="53">
        <f t="shared" si="42"/>
        <v>1</v>
      </c>
      <c r="P267" s="961"/>
      <c r="Q267" s="53">
        <f t="shared" si="43"/>
        <v>1</v>
      </c>
      <c r="R267" s="489">
        <f t="shared" si="44"/>
        <v>0</v>
      </c>
      <c r="S267" s="798">
        <f t="shared" si="35"/>
        <v>0</v>
      </c>
    </row>
    <row r="268" spans="1:19">
      <c r="A268" s="963"/>
      <c r="B268" s="137"/>
      <c r="C268" s="53">
        <f t="shared" si="36"/>
        <v>1</v>
      </c>
      <c r="D268" s="961"/>
      <c r="E268" s="53">
        <f t="shared" si="37"/>
        <v>0</v>
      </c>
      <c r="F268" s="961"/>
      <c r="G268" s="53">
        <f t="shared" si="38"/>
        <v>1</v>
      </c>
      <c r="H268" s="961"/>
      <c r="I268" s="53">
        <f t="shared" si="39"/>
        <v>1</v>
      </c>
      <c r="J268" s="961"/>
      <c r="K268" s="53">
        <f t="shared" si="40"/>
        <v>1</v>
      </c>
      <c r="L268" s="961"/>
      <c r="M268" s="53">
        <f t="shared" si="41"/>
        <v>1</v>
      </c>
      <c r="N268" s="961"/>
      <c r="O268" s="53">
        <f t="shared" si="42"/>
        <v>1</v>
      </c>
      <c r="P268" s="961"/>
      <c r="Q268" s="53">
        <f t="shared" si="43"/>
        <v>1</v>
      </c>
      <c r="R268" s="489">
        <f t="shared" si="44"/>
        <v>0</v>
      </c>
      <c r="S268" s="798">
        <f t="shared" si="35"/>
        <v>0</v>
      </c>
    </row>
    <row r="269" spans="1:19">
      <c r="A269" s="963"/>
      <c r="B269" s="137"/>
      <c r="C269" s="53">
        <f t="shared" si="36"/>
        <v>1</v>
      </c>
      <c r="D269" s="961"/>
      <c r="E269" s="53">
        <f t="shared" si="37"/>
        <v>0</v>
      </c>
      <c r="F269" s="961"/>
      <c r="G269" s="53">
        <f t="shared" si="38"/>
        <v>1</v>
      </c>
      <c r="H269" s="961"/>
      <c r="I269" s="53">
        <f t="shared" si="39"/>
        <v>1</v>
      </c>
      <c r="J269" s="961"/>
      <c r="K269" s="53">
        <f t="shared" si="40"/>
        <v>1</v>
      </c>
      <c r="L269" s="961"/>
      <c r="M269" s="53">
        <f t="shared" si="41"/>
        <v>1</v>
      </c>
      <c r="N269" s="961"/>
      <c r="O269" s="53">
        <f t="shared" si="42"/>
        <v>1</v>
      </c>
      <c r="P269" s="961"/>
      <c r="Q269" s="53">
        <f t="shared" si="43"/>
        <v>1</v>
      </c>
      <c r="R269" s="489">
        <f t="shared" si="44"/>
        <v>0</v>
      </c>
      <c r="S269" s="798">
        <f t="shared" si="35"/>
        <v>0</v>
      </c>
    </row>
    <row r="270" spans="1:19">
      <c r="A270" s="963"/>
      <c r="B270" s="137"/>
      <c r="C270" s="53">
        <f t="shared" si="36"/>
        <v>1</v>
      </c>
      <c r="D270" s="961"/>
      <c r="E270" s="53">
        <f t="shared" si="37"/>
        <v>0</v>
      </c>
      <c r="F270" s="961"/>
      <c r="G270" s="53">
        <f t="shared" si="38"/>
        <v>1</v>
      </c>
      <c r="H270" s="961"/>
      <c r="I270" s="53">
        <f t="shared" si="39"/>
        <v>1</v>
      </c>
      <c r="J270" s="961"/>
      <c r="K270" s="53">
        <f t="shared" si="40"/>
        <v>1</v>
      </c>
      <c r="L270" s="961"/>
      <c r="M270" s="53">
        <f t="shared" si="41"/>
        <v>1</v>
      </c>
      <c r="N270" s="961"/>
      <c r="O270" s="53">
        <f t="shared" si="42"/>
        <v>1</v>
      </c>
      <c r="P270" s="961"/>
      <c r="Q270" s="53">
        <f t="shared" si="43"/>
        <v>1</v>
      </c>
      <c r="R270" s="489">
        <f t="shared" si="44"/>
        <v>0</v>
      </c>
      <c r="S270" s="798">
        <f t="shared" si="35"/>
        <v>0</v>
      </c>
    </row>
    <row r="271" spans="1:19">
      <c r="A271" s="963"/>
      <c r="B271" s="137"/>
      <c r="C271" s="53">
        <f t="shared" si="36"/>
        <v>1</v>
      </c>
      <c r="D271" s="961"/>
      <c r="E271" s="53">
        <f t="shared" si="37"/>
        <v>0</v>
      </c>
      <c r="F271" s="961"/>
      <c r="G271" s="53">
        <f t="shared" si="38"/>
        <v>1</v>
      </c>
      <c r="H271" s="961"/>
      <c r="I271" s="53">
        <f t="shared" si="39"/>
        <v>1</v>
      </c>
      <c r="J271" s="961"/>
      <c r="K271" s="53">
        <f t="shared" si="40"/>
        <v>1</v>
      </c>
      <c r="L271" s="961"/>
      <c r="M271" s="53">
        <f t="shared" si="41"/>
        <v>1</v>
      </c>
      <c r="N271" s="961"/>
      <c r="O271" s="53">
        <f t="shared" si="42"/>
        <v>1</v>
      </c>
      <c r="P271" s="961"/>
      <c r="Q271" s="53">
        <f t="shared" si="43"/>
        <v>1</v>
      </c>
      <c r="R271" s="489">
        <f t="shared" si="44"/>
        <v>0</v>
      </c>
      <c r="S271" s="798">
        <f t="shared" si="35"/>
        <v>0</v>
      </c>
    </row>
    <row r="272" spans="1:19">
      <c r="A272" s="963"/>
      <c r="B272" s="137"/>
      <c r="C272" s="53">
        <f t="shared" si="36"/>
        <v>1</v>
      </c>
      <c r="D272" s="961"/>
      <c r="E272" s="53">
        <f t="shared" si="37"/>
        <v>0</v>
      </c>
      <c r="F272" s="961"/>
      <c r="G272" s="53">
        <f t="shared" si="38"/>
        <v>1</v>
      </c>
      <c r="H272" s="961"/>
      <c r="I272" s="53">
        <f t="shared" si="39"/>
        <v>1</v>
      </c>
      <c r="J272" s="961"/>
      <c r="K272" s="53">
        <f t="shared" si="40"/>
        <v>1</v>
      </c>
      <c r="L272" s="961"/>
      <c r="M272" s="53">
        <f t="shared" si="41"/>
        <v>1</v>
      </c>
      <c r="N272" s="961"/>
      <c r="O272" s="53">
        <f t="shared" si="42"/>
        <v>1</v>
      </c>
      <c r="P272" s="961"/>
      <c r="Q272" s="53">
        <f t="shared" si="43"/>
        <v>1</v>
      </c>
      <c r="R272" s="489">
        <f t="shared" si="44"/>
        <v>0</v>
      </c>
      <c r="S272" s="798">
        <f t="shared" si="35"/>
        <v>0</v>
      </c>
    </row>
    <row r="273" spans="1:19">
      <c r="A273" s="963"/>
      <c r="B273" s="137"/>
      <c r="C273" s="53">
        <f t="shared" si="36"/>
        <v>1</v>
      </c>
      <c r="D273" s="961"/>
      <c r="E273" s="53">
        <f t="shared" si="37"/>
        <v>0</v>
      </c>
      <c r="F273" s="961"/>
      <c r="G273" s="53">
        <f t="shared" si="38"/>
        <v>1</v>
      </c>
      <c r="H273" s="961"/>
      <c r="I273" s="53">
        <f t="shared" si="39"/>
        <v>1</v>
      </c>
      <c r="J273" s="961"/>
      <c r="K273" s="53">
        <f t="shared" si="40"/>
        <v>1</v>
      </c>
      <c r="L273" s="961"/>
      <c r="M273" s="53">
        <f t="shared" si="41"/>
        <v>1</v>
      </c>
      <c r="N273" s="961"/>
      <c r="O273" s="53">
        <f t="shared" si="42"/>
        <v>1</v>
      </c>
      <c r="P273" s="961"/>
      <c r="Q273" s="53">
        <f t="shared" si="43"/>
        <v>1</v>
      </c>
      <c r="R273" s="489">
        <f t="shared" si="44"/>
        <v>0</v>
      </c>
      <c r="S273" s="798">
        <f t="shared" si="35"/>
        <v>0</v>
      </c>
    </row>
    <row r="274" spans="1:19">
      <c r="A274" s="963"/>
      <c r="B274" s="137"/>
      <c r="C274" s="53">
        <f t="shared" si="36"/>
        <v>1</v>
      </c>
      <c r="D274" s="961"/>
      <c r="E274" s="53">
        <f t="shared" si="37"/>
        <v>0</v>
      </c>
      <c r="F274" s="961"/>
      <c r="G274" s="53">
        <f t="shared" si="38"/>
        <v>1</v>
      </c>
      <c r="H274" s="961"/>
      <c r="I274" s="53">
        <f t="shared" si="39"/>
        <v>1</v>
      </c>
      <c r="J274" s="961"/>
      <c r="K274" s="53">
        <f t="shared" si="40"/>
        <v>1</v>
      </c>
      <c r="L274" s="961"/>
      <c r="M274" s="53">
        <f t="shared" si="41"/>
        <v>1</v>
      </c>
      <c r="N274" s="961"/>
      <c r="O274" s="53">
        <f t="shared" si="42"/>
        <v>1</v>
      </c>
      <c r="P274" s="961"/>
      <c r="Q274" s="53">
        <f t="shared" si="43"/>
        <v>1</v>
      </c>
      <c r="R274" s="489">
        <f t="shared" si="44"/>
        <v>0</v>
      </c>
      <c r="S274" s="798">
        <f t="shared" si="35"/>
        <v>0</v>
      </c>
    </row>
    <row r="275" spans="1:19">
      <c r="A275" s="963"/>
      <c r="B275" s="137"/>
      <c r="C275" s="53">
        <f t="shared" si="36"/>
        <v>1</v>
      </c>
      <c r="D275" s="961"/>
      <c r="E275" s="53">
        <f t="shared" si="37"/>
        <v>0</v>
      </c>
      <c r="F275" s="961"/>
      <c r="G275" s="53">
        <f t="shared" si="38"/>
        <v>1</v>
      </c>
      <c r="H275" s="961"/>
      <c r="I275" s="53">
        <f t="shared" si="39"/>
        <v>1</v>
      </c>
      <c r="J275" s="961"/>
      <c r="K275" s="53">
        <f t="shared" si="40"/>
        <v>1</v>
      </c>
      <c r="L275" s="961"/>
      <c r="M275" s="53">
        <f t="shared" si="41"/>
        <v>1</v>
      </c>
      <c r="N275" s="961"/>
      <c r="O275" s="53">
        <f t="shared" si="42"/>
        <v>1</v>
      </c>
      <c r="P275" s="961"/>
      <c r="Q275" s="53">
        <f t="shared" si="43"/>
        <v>1</v>
      </c>
      <c r="R275" s="489">
        <f t="shared" si="44"/>
        <v>0</v>
      </c>
      <c r="S275" s="798">
        <f t="shared" si="35"/>
        <v>0</v>
      </c>
    </row>
    <row r="276" spans="1:19">
      <c r="A276" s="963"/>
      <c r="B276" s="137"/>
      <c r="C276" s="53">
        <f t="shared" si="36"/>
        <v>1</v>
      </c>
      <c r="D276" s="961"/>
      <c r="E276" s="53">
        <f t="shared" si="37"/>
        <v>0</v>
      </c>
      <c r="F276" s="961"/>
      <c r="G276" s="53">
        <f t="shared" si="38"/>
        <v>1</v>
      </c>
      <c r="H276" s="961"/>
      <c r="I276" s="53">
        <f t="shared" si="39"/>
        <v>1</v>
      </c>
      <c r="J276" s="961"/>
      <c r="K276" s="53">
        <f t="shared" si="40"/>
        <v>1</v>
      </c>
      <c r="L276" s="961"/>
      <c r="M276" s="53">
        <f t="shared" si="41"/>
        <v>1</v>
      </c>
      <c r="N276" s="961"/>
      <c r="O276" s="53">
        <f t="shared" si="42"/>
        <v>1</v>
      </c>
      <c r="P276" s="961"/>
      <c r="Q276" s="53">
        <f t="shared" si="43"/>
        <v>1</v>
      </c>
      <c r="R276" s="489">
        <f t="shared" si="44"/>
        <v>0</v>
      </c>
      <c r="S276" s="798">
        <f t="shared" si="35"/>
        <v>0</v>
      </c>
    </row>
    <row r="277" spans="1:19">
      <c r="A277" s="963"/>
      <c r="B277" s="137"/>
      <c r="C277" s="53">
        <f t="shared" si="36"/>
        <v>1</v>
      </c>
      <c r="D277" s="961"/>
      <c r="E277" s="53">
        <f t="shared" si="37"/>
        <v>0</v>
      </c>
      <c r="F277" s="961"/>
      <c r="G277" s="53">
        <f t="shared" si="38"/>
        <v>1</v>
      </c>
      <c r="H277" s="961"/>
      <c r="I277" s="53">
        <f t="shared" si="39"/>
        <v>1</v>
      </c>
      <c r="J277" s="961"/>
      <c r="K277" s="53">
        <f t="shared" si="40"/>
        <v>1</v>
      </c>
      <c r="L277" s="961"/>
      <c r="M277" s="53">
        <f t="shared" si="41"/>
        <v>1</v>
      </c>
      <c r="N277" s="961"/>
      <c r="O277" s="53">
        <f t="shared" si="42"/>
        <v>1</v>
      </c>
      <c r="P277" s="961"/>
      <c r="Q277" s="53">
        <f t="shared" si="43"/>
        <v>1</v>
      </c>
      <c r="R277" s="489">
        <f t="shared" si="44"/>
        <v>0</v>
      </c>
      <c r="S277" s="798">
        <f t="shared" si="35"/>
        <v>0</v>
      </c>
    </row>
    <row r="278" spans="1:19">
      <c r="A278" s="963"/>
      <c r="B278" s="137"/>
      <c r="C278" s="53">
        <f t="shared" si="36"/>
        <v>1</v>
      </c>
      <c r="D278" s="961"/>
      <c r="E278" s="53">
        <f t="shared" si="37"/>
        <v>0</v>
      </c>
      <c r="F278" s="961"/>
      <c r="G278" s="53">
        <f t="shared" si="38"/>
        <v>1</v>
      </c>
      <c r="H278" s="961"/>
      <c r="I278" s="53">
        <f t="shared" si="39"/>
        <v>1</v>
      </c>
      <c r="J278" s="961"/>
      <c r="K278" s="53">
        <f t="shared" si="40"/>
        <v>1</v>
      </c>
      <c r="L278" s="961"/>
      <c r="M278" s="53">
        <f t="shared" si="41"/>
        <v>1</v>
      </c>
      <c r="N278" s="961"/>
      <c r="O278" s="53">
        <f t="shared" si="42"/>
        <v>1</v>
      </c>
      <c r="P278" s="961"/>
      <c r="Q278" s="53">
        <f t="shared" si="43"/>
        <v>1</v>
      </c>
      <c r="R278" s="489">
        <f t="shared" si="44"/>
        <v>0</v>
      </c>
      <c r="S278" s="798">
        <f t="shared" si="35"/>
        <v>0</v>
      </c>
    </row>
    <row r="279" spans="1:19">
      <c r="A279" s="963"/>
      <c r="B279" s="137"/>
      <c r="C279" s="53">
        <f t="shared" si="36"/>
        <v>1</v>
      </c>
      <c r="D279" s="961"/>
      <c r="E279" s="53">
        <f t="shared" si="37"/>
        <v>0</v>
      </c>
      <c r="F279" s="961"/>
      <c r="G279" s="53">
        <f t="shared" si="38"/>
        <v>1</v>
      </c>
      <c r="H279" s="961"/>
      <c r="I279" s="53">
        <f t="shared" si="39"/>
        <v>1</v>
      </c>
      <c r="J279" s="961"/>
      <c r="K279" s="53">
        <f t="shared" si="40"/>
        <v>1</v>
      </c>
      <c r="L279" s="961"/>
      <c r="M279" s="53">
        <f t="shared" si="41"/>
        <v>1</v>
      </c>
      <c r="N279" s="961"/>
      <c r="O279" s="53">
        <f t="shared" si="42"/>
        <v>1</v>
      </c>
      <c r="P279" s="961"/>
      <c r="Q279" s="53">
        <f t="shared" si="43"/>
        <v>1</v>
      </c>
      <c r="R279" s="489">
        <f t="shared" si="44"/>
        <v>0</v>
      </c>
      <c r="S279" s="798">
        <f t="shared" si="35"/>
        <v>0</v>
      </c>
    </row>
    <row r="280" spans="1:19">
      <c r="A280" s="963"/>
      <c r="B280" s="137"/>
      <c r="C280" s="53">
        <f t="shared" si="36"/>
        <v>1</v>
      </c>
      <c r="D280" s="961"/>
      <c r="E280" s="53">
        <f t="shared" si="37"/>
        <v>0</v>
      </c>
      <c r="F280" s="961"/>
      <c r="G280" s="53">
        <f t="shared" si="38"/>
        <v>1</v>
      </c>
      <c r="H280" s="961"/>
      <c r="I280" s="53">
        <f t="shared" si="39"/>
        <v>1</v>
      </c>
      <c r="J280" s="961"/>
      <c r="K280" s="53">
        <f t="shared" si="40"/>
        <v>1</v>
      </c>
      <c r="L280" s="961"/>
      <c r="M280" s="53">
        <f t="shared" si="41"/>
        <v>1</v>
      </c>
      <c r="N280" s="961"/>
      <c r="O280" s="53">
        <f t="shared" si="42"/>
        <v>1</v>
      </c>
      <c r="P280" s="961"/>
      <c r="Q280" s="53">
        <f t="shared" si="43"/>
        <v>1</v>
      </c>
      <c r="R280" s="489">
        <f t="shared" si="44"/>
        <v>0</v>
      </c>
      <c r="S280" s="798">
        <f t="shared" ref="S280:S343" si="45">ROUND(R280*B280/10000,0)</f>
        <v>0</v>
      </c>
    </row>
    <row r="281" spans="1:19">
      <c r="A281" s="963"/>
      <c r="B281" s="137"/>
      <c r="C281" s="53">
        <f t="shared" si="36"/>
        <v>1</v>
      </c>
      <c r="D281" s="961"/>
      <c r="E281" s="53">
        <f t="shared" si="37"/>
        <v>0</v>
      </c>
      <c r="F281" s="961"/>
      <c r="G281" s="53">
        <f t="shared" si="38"/>
        <v>1</v>
      </c>
      <c r="H281" s="961"/>
      <c r="I281" s="53">
        <f t="shared" si="39"/>
        <v>1</v>
      </c>
      <c r="J281" s="961"/>
      <c r="K281" s="53">
        <f t="shared" si="40"/>
        <v>1</v>
      </c>
      <c r="L281" s="961"/>
      <c r="M281" s="53">
        <f t="shared" si="41"/>
        <v>1</v>
      </c>
      <c r="N281" s="961"/>
      <c r="O281" s="53">
        <f t="shared" si="42"/>
        <v>1</v>
      </c>
      <c r="P281" s="961"/>
      <c r="Q281" s="53">
        <f t="shared" si="43"/>
        <v>1</v>
      </c>
      <c r="R281" s="489">
        <f t="shared" si="44"/>
        <v>0</v>
      </c>
      <c r="S281" s="798">
        <f t="shared" si="45"/>
        <v>0</v>
      </c>
    </row>
    <row r="282" spans="1:19">
      <c r="A282" s="963"/>
      <c r="B282" s="137"/>
      <c r="C282" s="53">
        <f t="shared" ref="C282:C345" si="46">IF(B282="",1,(LOOKUP(B282,$3:$3,$4:$4)-LOOKUP($B$24,$3:$3,$4:$4)+100)/100)</f>
        <v>1</v>
      </c>
      <c r="D282" s="961"/>
      <c r="E282" s="53">
        <f t="shared" ref="E282:E345" si="47">(SUMIF($5:$5,D282,$6:$6)-SUMIF($5:$5,$D$24,$6:$6)+100)/100</f>
        <v>0</v>
      </c>
      <c r="F282" s="961"/>
      <c r="G282" s="53">
        <f t="shared" ref="G282:G345" si="48">(SUMIF($7:$7,F282,$8:$8)-SUMIF($7:$7,$F$24,$8:$8)+100)/100</f>
        <v>1</v>
      </c>
      <c r="H282" s="961"/>
      <c r="I282" s="53">
        <f t="shared" ref="I282:I345" si="49">(SUMIF($9:$9,H282,$10:$10)-SUMIF($9:$9,$H$24,$10:$10)+100)/100</f>
        <v>1</v>
      </c>
      <c r="J282" s="961"/>
      <c r="K282" s="53">
        <f t="shared" ref="K282:K345" si="50">(SUMIF($11:$11,J282,$12:$12)-SUMIF($11:$11,$J$24,$12:$12)+100)/100</f>
        <v>1</v>
      </c>
      <c r="L282" s="961"/>
      <c r="M282" s="53">
        <f t="shared" ref="M282:M345" si="51">(SUMIF($13:$13,L282,$14:$14)-SUMIF($13:$13,$L$24,$14:$14)+100)/100</f>
        <v>1</v>
      </c>
      <c r="N282" s="961"/>
      <c r="O282" s="53">
        <f t="shared" ref="O282:O345" si="52">(SUMIF($15:$15,N282,$16:$16)-SUMIF($15:$15,$N$24,$16:$16)+100)/100</f>
        <v>1</v>
      </c>
      <c r="P282" s="961"/>
      <c r="Q282" s="53">
        <f t="shared" ref="Q282:Q345" si="53">(SUMIF($17:$17,P282,$18:$18)-SUMIF($17:$17,$P$24,$18:$18)+100)/100</f>
        <v>1</v>
      </c>
      <c r="R282" s="489">
        <f t="shared" ref="R282:R345" si="54">IF(B282="",0,ROUND($R$24*C282*E282*G282*I282*K282*M282*O282*Q282,0))</f>
        <v>0</v>
      </c>
      <c r="S282" s="798">
        <f t="shared" si="45"/>
        <v>0</v>
      </c>
    </row>
    <row r="283" spans="1:19">
      <c r="A283" s="963"/>
      <c r="B283" s="137"/>
      <c r="C283" s="53">
        <f t="shared" si="46"/>
        <v>1</v>
      </c>
      <c r="D283" s="961"/>
      <c r="E283" s="53">
        <f t="shared" si="47"/>
        <v>0</v>
      </c>
      <c r="F283" s="961"/>
      <c r="G283" s="53">
        <f t="shared" si="48"/>
        <v>1</v>
      </c>
      <c r="H283" s="961"/>
      <c r="I283" s="53">
        <f t="shared" si="49"/>
        <v>1</v>
      </c>
      <c r="J283" s="961"/>
      <c r="K283" s="53">
        <f t="shared" si="50"/>
        <v>1</v>
      </c>
      <c r="L283" s="961"/>
      <c r="M283" s="53">
        <f t="shared" si="51"/>
        <v>1</v>
      </c>
      <c r="N283" s="961"/>
      <c r="O283" s="53">
        <f t="shared" si="52"/>
        <v>1</v>
      </c>
      <c r="P283" s="961"/>
      <c r="Q283" s="53">
        <f t="shared" si="53"/>
        <v>1</v>
      </c>
      <c r="R283" s="489">
        <f t="shared" si="54"/>
        <v>0</v>
      </c>
      <c r="S283" s="798">
        <f t="shared" si="45"/>
        <v>0</v>
      </c>
    </row>
    <row r="284" spans="1:19">
      <c r="A284" s="963"/>
      <c r="B284" s="137"/>
      <c r="C284" s="53">
        <f t="shared" si="46"/>
        <v>1</v>
      </c>
      <c r="D284" s="961"/>
      <c r="E284" s="53">
        <f t="shared" si="47"/>
        <v>0</v>
      </c>
      <c r="F284" s="961"/>
      <c r="G284" s="53">
        <f t="shared" si="48"/>
        <v>1</v>
      </c>
      <c r="H284" s="961"/>
      <c r="I284" s="53">
        <f t="shared" si="49"/>
        <v>1</v>
      </c>
      <c r="J284" s="961"/>
      <c r="K284" s="53">
        <f t="shared" si="50"/>
        <v>1</v>
      </c>
      <c r="L284" s="961"/>
      <c r="M284" s="53">
        <f t="shared" si="51"/>
        <v>1</v>
      </c>
      <c r="N284" s="961"/>
      <c r="O284" s="53">
        <f t="shared" si="52"/>
        <v>1</v>
      </c>
      <c r="P284" s="961"/>
      <c r="Q284" s="53">
        <f t="shared" si="53"/>
        <v>1</v>
      </c>
      <c r="R284" s="489">
        <f t="shared" si="54"/>
        <v>0</v>
      </c>
      <c r="S284" s="798">
        <f t="shared" si="45"/>
        <v>0</v>
      </c>
    </row>
    <row r="285" spans="1:19">
      <c r="A285" s="963"/>
      <c r="B285" s="137"/>
      <c r="C285" s="53">
        <f t="shared" si="46"/>
        <v>1</v>
      </c>
      <c r="D285" s="961"/>
      <c r="E285" s="53">
        <f t="shared" si="47"/>
        <v>0</v>
      </c>
      <c r="F285" s="961"/>
      <c r="G285" s="53">
        <f t="shared" si="48"/>
        <v>1</v>
      </c>
      <c r="H285" s="961"/>
      <c r="I285" s="53">
        <f t="shared" si="49"/>
        <v>1</v>
      </c>
      <c r="J285" s="961"/>
      <c r="K285" s="53">
        <f t="shared" si="50"/>
        <v>1</v>
      </c>
      <c r="L285" s="961"/>
      <c r="M285" s="53">
        <f t="shared" si="51"/>
        <v>1</v>
      </c>
      <c r="N285" s="961"/>
      <c r="O285" s="53">
        <f t="shared" si="52"/>
        <v>1</v>
      </c>
      <c r="P285" s="961"/>
      <c r="Q285" s="53">
        <f t="shared" si="53"/>
        <v>1</v>
      </c>
      <c r="R285" s="489">
        <f t="shared" si="54"/>
        <v>0</v>
      </c>
      <c r="S285" s="798">
        <f t="shared" si="45"/>
        <v>0</v>
      </c>
    </row>
    <row r="286" spans="1:19">
      <c r="A286" s="963"/>
      <c r="B286" s="137"/>
      <c r="C286" s="53">
        <f t="shared" si="46"/>
        <v>1</v>
      </c>
      <c r="D286" s="961"/>
      <c r="E286" s="53">
        <f t="shared" si="47"/>
        <v>0</v>
      </c>
      <c r="F286" s="961"/>
      <c r="G286" s="53">
        <f t="shared" si="48"/>
        <v>1</v>
      </c>
      <c r="H286" s="961"/>
      <c r="I286" s="53">
        <f t="shared" si="49"/>
        <v>1</v>
      </c>
      <c r="J286" s="961"/>
      <c r="K286" s="53">
        <f t="shared" si="50"/>
        <v>1</v>
      </c>
      <c r="L286" s="961"/>
      <c r="M286" s="53">
        <f t="shared" si="51"/>
        <v>1</v>
      </c>
      <c r="N286" s="961"/>
      <c r="O286" s="53">
        <f t="shared" si="52"/>
        <v>1</v>
      </c>
      <c r="P286" s="961"/>
      <c r="Q286" s="53">
        <f t="shared" si="53"/>
        <v>1</v>
      </c>
      <c r="R286" s="489">
        <f t="shared" si="54"/>
        <v>0</v>
      </c>
      <c r="S286" s="798">
        <f t="shared" si="45"/>
        <v>0</v>
      </c>
    </row>
    <row r="287" spans="1:19">
      <c r="A287" s="963"/>
      <c r="B287" s="137"/>
      <c r="C287" s="53">
        <f t="shared" si="46"/>
        <v>1</v>
      </c>
      <c r="D287" s="961"/>
      <c r="E287" s="53">
        <f t="shared" si="47"/>
        <v>0</v>
      </c>
      <c r="F287" s="961"/>
      <c r="G287" s="53">
        <f t="shared" si="48"/>
        <v>1</v>
      </c>
      <c r="H287" s="961"/>
      <c r="I287" s="53">
        <f t="shared" si="49"/>
        <v>1</v>
      </c>
      <c r="J287" s="961"/>
      <c r="K287" s="53">
        <f t="shared" si="50"/>
        <v>1</v>
      </c>
      <c r="L287" s="961"/>
      <c r="M287" s="53">
        <f t="shared" si="51"/>
        <v>1</v>
      </c>
      <c r="N287" s="961"/>
      <c r="O287" s="53">
        <f t="shared" si="52"/>
        <v>1</v>
      </c>
      <c r="P287" s="961"/>
      <c r="Q287" s="53">
        <f t="shared" si="53"/>
        <v>1</v>
      </c>
      <c r="R287" s="489">
        <f t="shared" si="54"/>
        <v>0</v>
      </c>
      <c r="S287" s="798">
        <f t="shared" si="45"/>
        <v>0</v>
      </c>
    </row>
    <row r="288" spans="1:19">
      <c r="A288" s="963"/>
      <c r="B288" s="137"/>
      <c r="C288" s="53">
        <f t="shared" si="46"/>
        <v>1</v>
      </c>
      <c r="D288" s="961"/>
      <c r="E288" s="53">
        <f t="shared" si="47"/>
        <v>0</v>
      </c>
      <c r="F288" s="961"/>
      <c r="G288" s="53">
        <f t="shared" si="48"/>
        <v>1</v>
      </c>
      <c r="H288" s="961"/>
      <c r="I288" s="53">
        <f t="shared" si="49"/>
        <v>1</v>
      </c>
      <c r="J288" s="961"/>
      <c r="K288" s="53">
        <f t="shared" si="50"/>
        <v>1</v>
      </c>
      <c r="L288" s="961"/>
      <c r="M288" s="53">
        <f t="shared" si="51"/>
        <v>1</v>
      </c>
      <c r="N288" s="961"/>
      <c r="O288" s="53">
        <f t="shared" si="52"/>
        <v>1</v>
      </c>
      <c r="P288" s="961"/>
      <c r="Q288" s="53">
        <f t="shared" si="53"/>
        <v>1</v>
      </c>
      <c r="R288" s="489">
        <f t="shared" si="54"/>
        <v>0</v>
      </c>
      <c r="S288" s="798">
        <f t="shared" si="45"/>
        <v>0</v>
      </c>
    </row>
    <row r="289" spans="1:19">
      <c r="A289" s="963"/>
      <c r="B289" s="137"/>
      <c r="C289" s="53">
        <f t="shared" si="46"/>
        <v>1</v>
      </c>
      <c r="D289" s="961"/>
      <c r="E289" s="53">
        <f t="shared" si="47"/>
        <v>0</v>
      </c>
      <c r="F289" s="961"/>
      <c r="G289" s="53">
        <f t="shared" si="48"/>
        <v>1</v>
      </c>
      <c r="H289" s="961"/>
      <c r="I289" s="53">
        <f t="shared" si="49"/>
        <v>1</v>
      </c>
      <c r="J289" s="961"/>
      <c r="K289" s="53">
        <f t="shared" si="50"/>
        <v>1</v>
      </c>
      <c r="L289" s="961"/>
      <c r="M289" s="53">
        <f t="shared" si="51"/>
        <v>1</v>
      </c>
      <c r="N289" s="961"/>
      <c r="O289" s="53">
        <f t="shared" si="52"/>
        <v>1</v>
      </c>
      <c r="P289" s="961"/>
      <c r="Q289" s="53">
        <f t="shared" si="53"/>
        <v>1</v>
      </c>
      <c r="R289" s="489">
        <f t="shared" si="54"/>
        <v>0</v>
      </c>
      <c r="S289" s="798">
        <f t="shared" si="45"/>
        <v>0</v>
      </c>
    </row>
    <row r="290" spans="1:19">
      <c r="A290" s="963"/>
      <c r="B290" s="137"/>
      <c r="C290" s="53">
        <f t="shared" si="46"/>
        <v>1</v>
      </c>
      <c r="D290" s="961"/>
      <c r="E290" s="53">
        <f t="shared" si="47"/>
        <v>0</v>
      </c>
      <c r="F290" s="961"/>
      <c r="G290" s="53">
        <f t="shared" si="48"/>
        <v>1</v>
      </c>
      <c r="H290" s="961"/>
      <c r="I290" s="53">
        <f t="shared" si="49"/>
        <v>1</v>
      </c>
      <c r="J290" s="961"/>
      <c r="K290" s="53">
        <f t="shared" si="50"/>
        <v>1</v>
      </c>
      <c r="L290" s="961"/>
      <c r="M290" s="53">
        <f t="shared" si="51"/>
        <v>1</v>
      </c>
      <c r="N290" s="961"/>
      <c r="O290" s="53">
        <f t="shared" si="52"/>
        <v>1</v>
      </c>
      <c r="P290" s="961"/>
      <c r="Q290" s="53">
        <f t="shared" si="53"/>
        <v>1</v>
      </c>
      <c r="R290" s="489">
        <f t="shared" si="54"/>
        <v>0</v>
      </c>
      <c r="S290" s="798">
        <f t="shared" si="45"/>
        <v>0</v>
      </c>
    </row>
    <row r="291" spans="1:19">
      <c r="A291" s="963"/>
      <c r="B291" s="137"/>
      <c r="C291" s="53">
        <f t="shared" si="46"/>
        <v>1</v>
      </c>
      <c r="D291" s="961"/>
      <c r="E291" s="53">
        <f t="shared" si="47"/>
        <v>0</v>
      </c>
      <c r="F291" s="961"/>
      <c r="G291" s="53">
        <f t="shared" si="48"/>
        <v>1</v>
      </c>
      <c r="H291" s="961"/>
      <c r="I291" s="53">
        <f t="shared" si="49"/>
        <v>1</v>
      </c>
      <c r="J291" s="961"/>
      <c r="K291" s="53">
        <f t="shared" si="50"/>
        <v>1</v>
      </c>
      <c r="L291" s="961"/>
      <c r="M291" s="53">
        <f t="shared" si="51"/>
        <v>1</v>
      </c>
      <c r="N291" s="961"/>
      <c r="O291" s="53">
        <f t="shared" si="52"/>
        <v>1</v>
      </c>
      <c r="P291" s="961"/>
      <c r="Q291" s="53">
        <f t="shared" si="53"/>
        <v>1</v>
      </c>
      <c r="R291" s="489">
        <f t="shared" si="54"/>
        <v>0</v>
      </c>
      <c r="S291" s="798">
        <f t="shared" si="45"/>
        <v>0</v>
      </c>
    </row>
    <row r="292" spans="1:19">
      <c r="A292" s="963"/>
      <c r="B292" s="137"/>
      <c r="C292" s="53">
        <f t="shared" si="46"/>
        <v>1</v>
      </c>
      <c r="D292" s="961"/>
      <c r="E292" s="53">
        <f t="shared" si="47"/>
        <v>0</v>
      </c>
      <c r="F292" s="961"/>
      <c r="G292" s="53">
        <f t="shared" si="48"/>
        <v>1</v>
      </c>
      <c r="H292" s="961"/>
      <c r="I292" s="53">
        <f t="shared" si="49"/>
        <v>1</v>
      </c>
      <c r="J292" s="961"/>
      <c r="K292" s="53">
        <f t="shared" si="50"/>
        <v>1</v>
      </c>
      <c r="L292" s="961"/>
      <c r="M292" s="53">
        <f t="shared" si="51"/>
        <v>1</v>
      </c>
      <c r="N292" s="961"/>
      <c r="O292" s="53">
        <f t="shared" si="52"/>
        <v>1</v>
      </c>
      <c r="P292" s="961"/>
      <c r="Q292" s="53">
        <f t="shared" si="53"/>
        <v>1</v>
      </c>
      <c r="R292" s="489">
        <f t="shared" si="54"/>
        <v>0</v>
      </c>
      <c r="S292" s="798">
        <f t="shared" si="45"/>
        <v>0</v>
      </c>
    </row>
    <row r="293" spans="1:19">
      <c r="A293" s="963"/>
      <c r="B293" s="137"/>
      <c r="C293" s="53">
        <f t="shared" si="46"/>
        <v>1</v>
      </c>
      <c r="D293" s="961"/>
      <c r="E293" s="53">
        <f t="shared" si="47"/>
        <v>0</v>
      </c>
      <c r="F293" s="961"/>
      <c r="G293" s="53">
        <f t="shared" si="48"/>
        <v>1</v>
      </c>
      <c r="H293" s="961"/>
      <c r="I293" s="53">
        <f t="shared" si="49"/>
        <v>1</v>
      </c>
      <c r="J293" s="961"/>
      <c r="K293" s="53">
        <f t="shared" si="50"/>
        <v>1</v>
      </c>
      <c r="L293" s="961"/>
      <c r="M293" s="53">
        <f t="shared" si="51"/>
        <v>1</v>
      </c>
      <c r="N293" s="961"/>
      <c r="O293" s="53">
        <f t="shared" si="52"/>
        <v>1</v>
      </c>
      <c r="P293" s="961"/>
      <c r="Q293" s="53">
        <f t="shared" si="53"/>
        <v>1</v>
      </c>
      <c r="R293" s="489">
        <f t="shared" si="54"/>
        <v>0</v>
      </c>
      <c r="S293" s="798">
        <f t="shared" si="45"/>
        <v>0</v>
      </c>
    </row>
    <row r="294" spans="1:19">
      <c r="A294" s="963"/>
      <c r="B294" s="137"/>
      <c r="C294" s="53">
        <f t="shared" si="46"/>
        <v>1</v>
      </c>
      <c r="D294" s="961"/>
      <c r="E294" s="53">
        <f t="shared" si="47"/>
        <v>0</v>
      </c>
      <c r="F294" s="961"/>
      <c r="G294" s="53">
        <f t="shared" si="48"/>
        <v>1</v>
      </c>
      <c r="H294" s="961"/>
      <c r="I294" s="53">
        <f t="shared" si="49"/>
        <v>1</v>
      </c>
      <c r="J294" s="961"/>
      <c r="K294" s="53">
        <f t="shared" si="50"/>
        <v>1</v>
      </c>
      <c r="L294" s="961"/>
      <c r="M294" s="53">
        <f t="shared" si="51"/>
        <v>1</v>
      </c>
      <c r="N294" s="961"/>
      <c r="O294" s="53">
        <f t="shared" si="52"/>
        <v>1</v>
      </c>
      <c r="P294" s="961"/>
      <c r="Q294" s="53">
        <f t="shared" si="53"/>
        <v>1</v>
      </c>
      <c r="R294" s="489">
        <f t="shared" si="54"/>
        <v>0</v>
      </c>
      <c r="S294" s="798">
        <f t="shared" si="45"/>
        <v>0</v>
      </c>
    </row>
    <row r="295" spans="1:19">
      <c r="A295" s="963"/>
      <c r="B295" s="137"/>
      <c r="C295" s="53">
        <f t="shared" si="46"/>
        <v>1</v>
      </c>
      <c r="D295" s="961"/>
      <c r="E295" s="53">
        <f t="shared" si="47"/>
        <v>0</v>
      </c>
      <c r="F295" s="961"/>
      <c r="G295" s="53">
        <f t="shared" si="48"/>
        <v>1</v>
      </c>
      <c r="H295" s="961"/>
      <c r="I295" s="53">
        <f t="shared" si="49"/>
        <v>1</v>
      </c>
      <c r="J295" s="961"/>
      <c r="K295" s="53">
        <f t="shared" si="50"/>
        <v>1</v>
      </c>
      <c r="L295" s="961"/>
      <c r="M295" s="53">
        <f t="shared" si="51"/>
        <v>1</v>
      </c>
      <c r="N295" s="961"/>
      <c r="O295" s="53">
        <f t="shared" si="52"/>
        <v>1</v>
      </c>
      <c r="P295" s="961"/>
      <c r="Q295" s="53">
        <f t="shared" si="53"/>
        <v>1</v>
      </c>
      <c r="R295" s="489">
        <f t="shared" si="54"/>
        <v>0</v>
      </c>
      <c r="S295" s="798">
        <f t="shared" si="45"/>
        <v>0</v>
      </c>
    </row>
    <row r="296" spans="1:19">
      <c r="A296" s="963"/>
      <c r="B296" s="137"/>
      <c r="C296" s="53">
        <f t="shared" si="46"/>
        <v>1</v>
      </c>
      <c r="D296" s="961"/>
      <c r="E296" s="53">
        <f t="shared" si="47"/>
        <v>0</v>
      </c>
      <c r="F296" s="961"/>
      <c r="G296" s="53">
        <f t="shared" si="48"/>
        <v>1</v>
      </c>
      <c r="H296" s="961"/>
      <c r="I296" s="53">
        <f t="shared" si="49"/>
        <v>1</v>
      </c>
      <c r="J296" s="961"/>
      <c r="K296" s="53">
        <f t="shared" si="50"/>
        <v>1</v>
      </c>
      <c r="L296" s="961"/>
      <c r="M296" s="53">
        <f t="shared" si="51"/>
        <v>1</v>
      </c>
      <c r="N296" s="961"/>
      <c r="O296" s="53">
        <f t="shared" si="52"/>
        <v>1</v>
      </c>
      <c r="P296" s="961"/>
      <c r="Q296" s="53">
        <f t="shared" si="53"/>
        <v>1</v>
      </c>
      <c r="R296" s="489">
        <f t="shared" si="54"/>
        <v>0</v>
      </c>
      <c r="S296" s="798">
        <f t="shared" si="45"/>
        <v>0</v>
      </c>
    </row>
    <row r="297" spans="1:19">
      <c r="A297" s="963"/>
      <c r="B297" s="137"/>
      <c r="C297" s="53">
        <f t="shared" si="46"/>
        <v>1</v>
      </c>
      <c r="D297" s="961"/>
      <c r="E297" s="53">
        <f t="shared" si="47"/>
        <v>0</v>
      </c>
      <c r="F297" s="961"/>
      <c r="G297" s="53">
        <f t="shared" si="48"/>
        <v>1</v>
      </c>
      <c r="H297" s="961"/>
      <c r="I297" s="53">
        <f t="shared" si="49"/>
        <v>1</v>
      </c>
      <c r="J297" s="961"/>
      <c r="K297" s="53">
        <f t="shared" si="50"/>
        <v>1</v>
      </c>
      <c r="L297" s="961"/>
      <c r="M297" s="53">
        <f t="shared" si="51"/>
        <v>1</v>
      </c>
      <c r="N297" s="961"/>
      <c r="O297" s="53">
        <f t="shared" si="52"/>
        <v>1</v>
      </c>
      <c r="P297" s="961"/>
      <c r="Q297" s="53">
        <f t="shared" si="53"/>
        <v>1</v>
      </c>
      <c r="R297" s="489">
        <f t="shared" si="54"/>
        <v>0</v>
      </c>
      <c r="S297" s="798">
        <f t="shared" si="45"/>
        <v>0</v>
      </c>
    </row>
    <row r="298" spans="1:19">
      <c r="A298" s="963"/>
      <c r="B298" s="137"/>
      <c r="C298" s="53">
        <f t="shared" si="46"/>
        <v>1</v>
      </c>
      <c r="D298" s="961"/>
      <c r="E298" s="53">
        <f t="shared" si="47"/>
        <v>0</v>
      </c>
      <c r="F298" s="961"/>
      <c r="G298" s="53">
        <f t="shared" si="48"/>
        <v>1</v>
      </c>
      <c r="H298" s="961"/>
      <c r="I298" s="53">
        <f t="shared" si="49"/>
        <v>1</v>
      </c>
      <c r="J298" s="961"/>
      <c r="K298" s="53">
        <f t="shared" si="50"/>
        <v>1</v>
      </c>
      <c r="L298" s="961"/>
      <c r="M298" s="53">
        <f t="shared" si="51"/>
        <v>1</v>
      </c>
      <c r="N298" s="961"/>
      <c r="O298" s="53">
        <f t="shared" si="52"/>
        <v>1</v>
      </c>
      <c r="P298" s="961"/>
      <c r="Q298" s="53">
        <f t="shared" si="53"/>
        <v>1</v>
      </c>
      <c r="R298" s="489">
        <f t="shared" si="54"/>
        <v>0</v>
      </c>
      <c r="S298" s="798">
        <f t="shared" si="45"/>
        <v>0</v>
      </c>
    </row>
    <row r="299" spans="1:19">
      <c r="A299" s="963"/>
      <c r="B299" s="137"/>
      <c r="C299" s="53">
        <f t="shared" si="46"/>
        <v>1</v>
      </c>
      <c r="D299" s="961"/>
      <c r="E299" s="53">
        <f t="shared" si="47"/>
        <v>0</v>
      </c>
      <c r="F299" s="961"/>
      <c r="G299" s="53">
        <f t="shared" si="48"/>
        <v>1</v>
      </c>
      <c r="H299" s="961"/>
      <c r="I299" s="53">
        <f t="shared" si="49"/>
        <v>1</v>
      </c>
      <c r="J299" s="961"/>
      <c r="K299" s="53">
        <f t="shared" si="50"/>
        <v>1</v>
      </c>
      <c r="L299" s="961"/>
      <c r="M299" s="53">
        <f t="shared" si="51"/>
        <v>1</v>
      </c>
      <c r="N299" s="961"/>
      <c r="O299" s="53">
        <f t="shared" si="52"/>
        <v>1</v>
      </c>
      <c r="P299" s="961"/>
      <c r="Q299" s="53">
        <f t="shared" si="53"/>
        <v>1</v>
      </c>
      <c r="R299" s="489">
        <f t="shared" si="54"/>
        <v>0</v>
      </c>
      <c r="S299" s="798">
        <f t="shared" si="45"/>
        <v>0</v>
      </c>
    </row>
    <row r="300" spans="1:19">
      <c r="A300" s="963"/>
      <c r="B300" s="137"/>
      <c r="C300" s="53">
        <f t="shared" si="46"/>
        <v>1</v>
      </c>
      <c r="D300" s="961"/>
      <c r="E300" s="53">
        <f t="shared" si="47"/>
        <v>0</v>
      </c>
      <c r="F300" s="961"/>
      <c r="G300" s="53">
        <f t="shared" si="48"/>
        <v>1</v>
      </c>
      <c r="H300" s="961"/>
      <c r="I300" s="53">
        <f t="shared" si="49"/>
        <v>1</v>
      </c>
      <c r="J300" s="961"/>
      <c r="K300" s="53">
        <f t="shared" si="50"/>
        <v>1</v>
      </c>
      <c r="L300" s="961"/>
      <c r="M300" s="53">
        <f t="shared" si="51"/>
        <v>1</v>
      </c>
      <c r="N300" s="961"/>
      <c r="O300" s="53">
        <f t="shared" si="52"/>
        <v>1</v>
      </c>
      <c r="P300" s="961"/>
      <c r="Q300" s="53">
        <f t="shared" si="53"/>
        <v>1</v>
      </c>
      <c r="R300" s="489">
        <f t="shared" si="54"/>
        <v>0</v>
      </c>
      <c r="S300" s="798">
        <f t="shared" si="45"/>
        <v>0</v>
      </c>
    </row>
    <row r="301" spans="1:19">
      <c r="A301" s="963"/>
      <c r="B301" s="137"/>
      <c r="C301" s="53">
        <f t="shared" si="46"/>
        <v>1</v>
      </c>
      <c r="D301" s="961"/>
      <c r="E301" s="53">
        <f t="shared" si="47"/>
        <v>0</v>
      </c>
      <c r="F301" s="961"/>
      <c r="G301" s="53">
        <f t="shared" si="48"/>
        <v>1</v>
      </c>
      <c r="H301" s="961"/>
      <c r="I301" s="53">
        <f t="shared" si="49"/>
        <v>1</v>
      </c>
      <c r="J301" s="961"/>
      <c r="K301" s="53">
        <f t="shared" si="50"/>
        <v>1</v>
      </c>
      <c r="L301" s="961"/>
      <c r="M301" s="53">
        <f t="shared" si="51"/>
        <v>1</v>
      </c>
      <c r="N301" s="961"/>
      <c r="O301" s="53">
        <f t="shared" si="52"/>
        <v>1</v>
      </c>
      <c r="P301" s="961"/>
      <c r="Q301" s="53">
        <f t="shared" si="53"/>
        <v>1</v>
      </c>
      <c r="R301" s="489">
        <f t="shared" si="54"/>
        <v>0</v>
      </c>
      <c r="S301" s="798">
        <f t="shared" si="45"/>
        <v>0</v>
      </c>
    </row>
    <row r="302" spans="1:19">
      <c r="A302" s="963"/>
      <c r="B302" s="137"/>
      <c r="C302" s="53">
        <f t="shared" si="46"/>
        <v>1</v>
      </c>
      <c r="D302" s="961"/>
      <c r="E302" s="53">
        <f t="shared" si="47"/>
        <v>0</v>
      </c>
      <c r="F302" s="961"/>
      <c r="G302" s="53">
        <f t="shared" si="48"/>
        <v>1</v>
      </c>
      <c r="H302" s="961"/>
      <c r="I302" s="53">
        <f t="shared" si="49"/>
        <v>1</v>
      </c>
      <c r="J302" s="961"/>
      <c r="K302" s="53">
        <f t="shared" si="50"/>
        <v>1</v>
      </c>
      <c r="L302" s="961"/>
      <c r="M302" s="53">
        <f t="shared" si="51"/>
        <v>1</v>
      </c>
      <c r="N302" s="961"/>
      <c r="O302" s="53">
        <f t="shared" si="52"/>
        <v>1</v>
      </c>
      <c r="P302" s="961"/>
      <c r="Q302" s="53">
        <f t="shared" si="53"/>
        <v>1</v>
      </c>
      <c r="R302" s="489">
        <f t="shared" si="54"/>
        <v>0</v>
      </c>
      <c r="S302" s="798">
        <f t="shared" si="45"/>
        <v>0</v>
      </c>
    </row>
    <row r="303" spans="1:19">
      <c r="A303" s="963"/>
      <c r="B303" s="137"/>
      <c r="C303" s="53">
        <f t="shared" si="46"/>
        <v>1</v>
      </c>
      <c r="D303" s="961"/>
      <c r="E303" s="53">
        <f t="shared" si="47"/>
        <v>0</v>
      </c>
      <c r="F303" s="961"/>
      <c r="G303" s="53">
        <f t="shared" si="48"/>
        <v>1</v>
      </c>
      <c r="H303" s="961"/>
      <c r="I303" s="53">
        <f t="shared" si="49"/>
        <v>1</v>
      </c>
      <c r="J303" s="961"/>
      <c r="K303" s="53">
        <f t="shared" si="50"/>
        <v>1</v>
      </c>
      <c r="L303" s="961"/>
      <c r="M303" s="53">
        <f t="shared" si="51"/>
        <v>1</v>
      </c>
      <c r="N303" s="961"/>
      <c r="O303" s="53">
        <f t="shared" si="52"/>
        <v>1</v>
      </c>
      <c r="P303" s="961"/>
      <c r="Q303" s="53">
        <f t="shared" si="53"/>
        <v>1</v>
      </c>
      <c r="R303" s="489">
        <f t="shared" si="54"/>
        <v>0</v>
      </c>
      <c r="S303" s="798">
        <f t="shared" si="45"/>
        <v>0</v>
      </c>
    </row>
    <row r="304" spans="1:19">
      <c r="A304" s="963"/>
      <c r="B304" s="137"/>
      <c r="C304" s="53">
        <f t="shared" si="46"/>
        <v>1</v>
      </c>
      <c r="D304" s="961"/>
      <c r="E304" s="53">
        <f t="shared" si="47"/>
        <v>0</v>
      </c>
      <c r="F304" s="961"/>
      <c r="G304" s="53">
        <f t="shared" si="48"/>
        <v>1</v>
      </c>
      <c r="H304" s="961"/>
      <c r="I304" s="53">
        <f t="shared" si="49"/>
        <v>1</v>
      </c>
      <c r="J304" s="961"/>
      <c r="K304" s="53">
        <f t="shared" si="50"/>
        <v>1</v>
      </c>
      <c r="L304" s="961"/>
      <c r="M304" s="53">
        <f t="shared" si="51"/>
        <v>1</v>
      </c>
      <c r="N304" s="961"/>
      <c r="O304" s="53">
        <f t="shared" si="52"/>
        <v>1</v>
      </c>
      <c r="P304" s="961"/>
      <c r="Q304" s="53">
        <f t="shared" si="53"/>
        <v>1</v>
      </c>
      <c r="R304" s="489">
        <f t="shared" si="54"/>
        <v>0</v>
      </c>
      <c r="S304" s="798">
        <f t="shared" si="45"/>
        <v>0</v>
      </c>
    </row>
    <row r="305" spans="1:19">
      <c r="A305" s="963"/>
      <c r="B305" s="137"/>
      <c r="C305" s="53">
        <f t="shared" si="46"/>
        <v>1</v>
      </c>
      <c r="D305" s="961"/>
      <c r="E305" s="53">
        <f t="shared" si="47"/>
        <v>0</v>
      </c>
      <c r="F305" s="961"/>
      <c r="G305" s="53">
        <f t="shared" si="48"/>
        <v>1</v>
      </c>
      <c r="H305" s="961"/>
      <c r="I305" s="53">
        <f t="shared" si="49"/>
        <v>1</v>
      </c>
      <c r="J305" s="961"/>
      <c r="K305" s="53">
        <f t="shared" si="50"/>
        <v>1</v>
      </c>
      <c r="L305" s="961"/>
      <c r="M305" s="53">
        <f t="shared" si="51"/>
        <v>1</v>
      </c>
      <c r="N305" s="961"/>
      <c r="O305" s="53">
        <f t="shared" si="52"/>
        <v>1</v>
      </c>
      <c r="P305" s="961"/>
      <c r="Q305" s="53">
        <f t="shared" si="53"/>
        <v>1</v>
      </c>
      <c r="R305" s="489">
        <f t="shared" si="54"/>
        <v>0</v>
      </c>
      <c r="S305" s="798">
        <f t="shared" si="45"/>
        <v>0</v>
      </c>
    </row>
    <row r="306" spans="1:19">
      <c r="A306" s="963"/>
      <c r="B306" s="137"/>
      <c r="C306" s="53">
        <f t="shared" si="46"/>
        <v>1</v>
      </c>
      <c r="D306" s="961"/>
      <c r="E306" s="53">
        <f t="shared" si="47"/>
        <v>0</v>
      </c>
      <c r="F306" s="961"/>
      <c r="G306" s="53">
        <f t="shared" si="48"/>
        <v>1</v>
      </c>
      <c r="H306" s="961"/>
      <c r="I306" s="53">
        <f t="shared" si="49"/>
        <v>1</v>
      </c>
      <c r="J306" s="961"/>
      <c r="K306" s="53">
        <f t="shared" si="50"/>
        <v>1</v>
      </c>
      <c r="L306" s="961"/>
      <c r="M306" s="53">
        <f t="shared" si="51"/>
        <v>1</v>
      </c>
      <c r="N306" s="961"/>
      <c r="O306" s="53">
        <f t="shared" si="52"/>
        <v>1</v>
      </c>
      <c r="P306" s="961"/>
      <c r="Q306" s="53">
        <f t="shared" si="53"/>
        <v>1</v>
      </c>
      <c r="R306" s="489">
        <f t="shared" si="54"/>
        <v>0</v>
      </c>
      <c r="S306" s="798">
        <f t="shared" si="45"/>
        <v>0</v>
      </c>
    </row>
    <row r="307" spans="1:19">
      <c r="A307" s="963"/>
      <c r="B307" s="137"/>
      <c r="C307" s="53">
        <f t="shared" si="46"/>
        <v>1</v>
      </c>
      <c r="D307" s="961"/>
      <c r="E307" s="53">
        <f t="shared" si="47"/>
        <v>0</v>
      </c>
      <c r="F307" s="961"/>
      <c r="G307" s="53">
        <f t="shared" si="48"/>
        <v>1</v>
      </c>
      <c r="H307" s="961"/>
      <c r="I307" s="53">
        <f t="shared" si="49"/>
        <v>1</v>
      </c>
      <c r="J307" s="961"/>
      <c r="K307" s="53">
        <f t="shared" si="50"/>
        <v>1</v>
      </c>
      <c r="L307" s="961"/>
      <c r="M307" s="53">
        <f t="shared" si="51"/>
        <v>1</v>
      </c>
      <c r="N307" s="961"/>
      <c r="O307" s="53">
        <f t="shared" si="52"/>
        <v>1</v>
      </c>
      <c r="P307" s="961"/>
      <c r="Q307" s="53">
        <f t="shared" si="53"/>
        <v>1</v>
      </c>
      <c r="R307" s="489">
        <f t="shared" si="54"/>
        <v>0</v>
      </c>
      <c r="S307" s="798">
        <f t="shared" si="45"/>
        <v>0</v>
      </c>
    </row>
    <row r="308" spans="1:19">
      <c r="A308" s="963"/>
      <c r="B308" s="137"/>
      <c r="C308" s="53">
        <f t="shared" si="46"/>
        <v>1</v>
      </c>
      <c r="D308" s="961"/>
      <c r="E308" s="53">
        <f t="shared" si="47"/>
        <v>0</v>
      </c>
      <c r="F308" s="961"/>
      <c r="G308" s="53">
        <f t="shared" si="48"/>
        <v>1</v>
      </c>
      <c r="H308" s="961"/>
      <c r="I308" s="53">
        <f t="shared" si="49"/>
        <v>1</v>
      </c>
      <c r="J308" s="961"/>
      <c r="K308" s="53">
        <f t="shared" si="50"/>
        <v>1</v>
      </c>
      <c r="L308" s="961"/>
      <c r="M308" s="53">
        <f t="shared" si="51"/>
        <v>1</v>
      </c>
      <c r="N308" s="961"/>
      <c r="O308" s="53">
        <f t="shared" si="52"/>
        <v>1</v>
      </c>
      <c r="P308" s="961"/>
      <c r="Q308" s="53">
        <f t="shared" si="53"/>
        <v>1</v>
      </c>
      <c r="R308" s="489">
        <f t="shared" si="54"/>
        <v>0</v>
      </c>
      <c r="S308" s="798">
        <f t="shared" si="45"/>
        <v>0</v>
      </c>
    </row>
    <row r="309" spans="1:19">
      <c r="A309" s="963"/>
      <c r="B309" s="137"/>
      <c r="C309" s="53">
        <f t="shared" si="46"/>
        <v>1</v>
      </c>
      <c r="D309" s="961"/>
      <c r="E309" s="53">
        <f t="shared" si="47"/>
        <v>0</v>
      </c>
      <c r="F309" s="961"/>
      <c r="G309" s="53">
        <f t="shared" si="48"/>
        <v>1</v>
      </c>
      <c r="H309" s="961"/>
      <c r="I309" s="53">
        <f t="shared" si="49"/>
        <v>1</v>
      </c>
      <c r="J309" s="961"/>
      <c r="K309" s="53">
        <f t="shared" si="50"/>
        <v>1</v>
      </c>
      <c r="L309" s="961"/>
      <c r="M309" s="53">
        <f t="shared" si="51"/>
        <v>1</v>
      </c>
      <c r="N309" s="961"/>
      <c r="O309" s="53">
        <f t="shared" si="52"/>
        <v>1</v>
      </c>
      <c r="P309" s="961"/>
      <c r="Q309" s="53">
        <f t="shared" si="53"/>
        <v>1</v>
      </c>
      <c r="R309" s="489">
        <f t="shared" si="54"/>
        <v>0</v>
      </c>
      <c r="S309" s="798">
        <f t="shared" si="45"/>
        <v>0</v>
      </c>
    </row>
    <row r="310" spans="1:19">
      <c r="A310" s="963"/>
      <c r="B310" s="137"/>
      <c r="C310" s="53">
        <f t="shared" si="46"/>
        <v>1</v>
      </c>
      <c r="D310" s="961"/>
      <c r="E310" s="53">
        <f t="shared" si="47"/>
        <v>0</v>
      </c>
      <c r="F310" s="961"/>
      <c r="G310" s="53">
        <f t="shared" si="48"/>
        <v>1</v>
      </c>
      <c r="H310" s="961"/>
      <c r="I310" s="53">
        <f t="shared" si="49"/>
        <v>1</v>
      </c>
      <c r="J310" s="961"/>
      <c r="K310" s="53">
        <f t="shared" si="50"/>
        <v>1</v>
      </c>
      <c r="L310" s="961"/>
      <c r="M310" s="53">
        <f t="shared" si="51"/>
        <v>1</v>
      </c>
      <c r="N310" s="961"/>
      <c r="O310" s="53">
        <f t="shared" si="52"/>
        <v>1</v>
      </c>
      <c r="P310" s="961"/>
      <c r="Q310" s="53">
        <f t="shared" si="53"/>
        <v>1</v>
      </c>
      <c r="R310" s="489">
        <f t="shared" si="54"/>
        <v>0</v>
      </c>
      <c r="S310" s="798">
        <f t="shared" si="45"/>
        <v>0</v>
      </c>
    </row>
    <row r="311" spans="1:19">
      <c r="A311" s="963"/>
      <c r="B311" s="137"/>
      <c r="C311" s="53">
        <f t="shared" si="46"/>
        <v>1</v>
      </c>
      <c r="D311" s="961"/>
      <c r="E311" s="53">
        <f t="shared" si="47"/>
        <v>0</v>
      </c>
      <c r="F311" s="961"/>
      <c r="G311" s="53">
        <f t="shared" si="48"/>
        <v>1</v>
      </c>
      <c r="H311" s="961"/>
      <c r="I311" s="53">
        <f t="shared" si="49"/>
        <v>1</v>
      </c>
      <c r="J311" s="961"/>
      <c r="K311" s="53">
        <f t="shared" si="50"/>
        <v>1</v>
      </c>
      <c r="L311" s="961"/>
      <c r="M311" s="53">
        <f t="shared" si="51"/>
        <v>1</v>
      </c>
      <c r="N311" s="961"/>
      <c r="O311" s="53">
        <f t="shared" si="52"/>
        <v>1</v>
      </c>
      <c r="P311" s="961"/>
      <c r="Q311" s="53">
        <f t="shared" si="53"/>
        <v>1</v>
      </c>
      <c r="R311" s="489">
        <f t="shared" si="54"/>
        <v>0</v>
      </c>
      <c r="S311" s="798">
        <f t="shared" si="45"/>
        <v>0</v>
      </c>
    </row>
    <row r="312" spans="1:19">
      <c r="A312" s="963"/>
      <c r="B312" s="137"/>
      <c r="C312" s="53">
        <f t="shared" si="46"/>
        <v>1</v>
      </c>
      <c r="D312" s="961"/>
      <c r="E312" s="53">
        <f t="shared" si="47"/>
        <v>0</v>
      </c>
      <c r="F312" s="961"/>
      <c r="G312" s="53">
        <f t="shared" si="48"/>
        <v>1</v>
      </c>
      <c r="H312" s="961"/>
      <c r="I312" s="53">
        <f t="shared" si="49"/>
        <v>1</v>
      </c>
      <c r="J312" s="961"/>
      <c r="K312" s="53">
        <f t="shared" si="50"/>
        <v>1</v>
      </c>
      <c r="L312" s="961"/>
      <c r="M312" s="53">
        <f t="shared" si="51"/>
        <v>1</v>
      </c>
      <c r="N312" s="961"/>
      <c r="O312" s="53">
        <f t="shared" si="52"/>
        <v>1</v>
      </c>
      <c r="P312" s="961"/>
      <c r="Q312" s="53">
        <f t="shared" si="53"/>
        <v>1</v>
      </c>
      <c r="R312" s="489">
        <f t="shared" si="54"/>
        <v>0</v>
      </c>
      <c r="S312" s="798">
        <f t="shared" si="45"/>
        <v>0</v>
      </c>
    </row>
    <row r="313" spans="1:19">
      <c r="A313" s="963"/>
      <c r="B313" s="137"/>
      <c r="C313" s="53">
        <f t="shared" si="46"/>
        <v>1</v>
      </c>
      <c r="D313" s="961"/>
      <c r="E313" s="53">
        <f t="shared" si="47"/>
        <v>0</v>
      </c>
      <c r="F313" s="961"/>
      <c r="G313" s="53">
        <f t="shared" si="48"/>
        <v>1</v>
      </c>
      <c r="H313" s="961"/>
      <c r="I313" s="53">
        <f t="shared" si="49"/>
        <v>1</v>
      </c>
      <c r="J313" s="961"/>
      <c r="K313" s="53">
        <f t="shared" si="50"/>
        <v>1</v>
      </c>
      <c r="L313" s="961"/>
      <c r="M313" s="53">
        <f t="shared" si="51"/>
        <v>1</v>
      </c>
      <c r="N313" s="961"/>
      <c r="O313" s="53">
        <f t="shared" si="52"/>
        <v>1</v>
      </c>
      <c r="P313" s="961"/>
      <c r="Q313" s="53">
        <f t="shared" si="53"/>
        <v>1</v>
      </c>
      <c r="R313" s="489">
        <f t="shared" si="54"/>
        <v>0</v>
      </c>
      <c r="S313" s="798">
        <f t="shared" si="45"/>
        <v>0</v>
      </c>
    </row>
    <row r="314" spans="1:19">
      <c r="A314" s="963"/>
      <c r="B314" s="137"/>
      <c r="C314" s="53">
        <f t="shared" si="46"/>
        <v>1</v>
      </c>
      <c r="D314" s="961"/>
      <c r="E314" s="53">
        <f t="shared" si="47"/>
        <v>0</v>
      </c>
      <c r="F314" s="961"/>
      <c r="G314" s="53">
        <f t="shared" si="48"/>
        <v>1</v>
      </c>
      <c r="H314" s="961"/>
      <c r="I314" s="53">
        <f t="shared" si="49"/>
        <v>1</v>
      </c>
      <c r="J314" s="961"/>
      <c r="K314" s="53">
        <f t="shared" si="50"/>
        <v>1</v>
      </c>
      <c r="L314" s="961"/>
      <c r="M314" s="53">
        <f t="shared" si="51"/>
        <v>1</v>
      </c>
      <c r="N314" s="961"/>
      <c r="O314" s="53">
        <f t="shared" si="52"/>
        <v>1</v>
      </c>
      <c r="P314" s="961"/>
      <c r="Q314" s="53">
        <f t="shared" si="53"/>
        <v>1</v>
      </c>
      <c r="R314" s="489">
        <f t="shared" si="54"/>
        <v>0</v>
      </c>
      <c r="S314" s="798">
        <f t="shared" si="45"/>
        <v>0</v>
      </c>
    </row>
    <row r="315" spans="1:19">
      <c r="A315" s="963"/>
      <c r="B315" s="137"/>
      <c r="C315" s="53">
        <f t="shared" si="46"/>
        <v>1</v>
      </c>
      <c r="D315" s="961"/>
      <c r="E315" s="53">
        <f t="shared" si="47"/>
        <v>0</v>
      </c>
      <c r="F315" s="961"/>
      <c r="G315" s="53">
        <f t="shared" si="48"/>
        <v>1</v>
      </c>
      <c r="H315" s="961"/>
      <c r="I315" s="53">
        <f t="shared" si="49"/>
        <v>1</v>
      </c>
      <c r="J315" s="961"/>
      <c r="K315" s="53">
        <f t="shared" si="50"/>
        <v>1</v>
      </c>
      <c r="L315" s="961"/>
      <c r="M315" s="53">
        <f t="shared" si="51"/>
        <v>1</v>
      </c>
      <c r="N315" s="961"/>
      <c r="O315" s="53">
        <f t="shared" si="52"/>
        <v>1</v>
      </c>
      <c r="P315" s="961"/>
      <c r="Q315" s="53">
        <f t="shared" si="53"/>
        <v>1</v>
      </c>
      <c r="R315" s="489">
        <f t="shared" si="54"/>
        <v>0</v>
      </c>
      <c r="S315" s="798">
        <f t="shared" si="45"/>
        <v>0</v>
      </c>
    </row>
    <row r="316" spans="1:19">
      <c r="A316" s="963"/>
      <c r="B316" s="137"/>
      <c r="C316" s="53">
        <f t="shared" si="46"/>
        <v>1</v>
      </c>
      <c r="D316" s="961"/>
      <c r="E316" s="53">
        <f t="shared" si="47"/>
        <v>0</v>
      </c>
      <c r="F316" s="961"/>
      <c r="G316" s="53">
        <f t="shared" si="48"/>
        <v>1</v>
      </c>
      <c r="H316" s="961"/>
      <c r="I316" s="53">
        <f t="shared" si="49"/>
        <v>1</v>
      </c>
      <c r="J316" s="961"/>
      <c r="K316" s="53">
        <f t="shared" si="50"/>
        <v>1</v>
      </c>
      <c r="L316" s="961"/>
      <c r="M316" s="53">
        <f t="shared" si="51"/>
        <v>1</v>
      </c>
      <c r="N316" s="961"/>
      <c r="O316" s="53">
        <f t="shared" si="52"/>
        <v>1</v>
      </c>
      <c r="P316" s="961"/>
      <c r="Q316" s="53">
        <f t="shared" si="53"/>
        <v>1</v>
      </c>
      <c r="R316" s="489">
        <f t="shared" si="54"/>
        <v>0</v>
      </c>
      <c r="S316" s="798">
        <f t="shared" si="45"/>
        <v>0</v>
      </c>
    </row>
    <row r="317" spans="1:19">
      <c r="A317" s="963"/>
      <c r="B317" s="137"/>
      <c r="C317" s="53">
        <f t="shared" si="46"/>
        <v>1</v>
      </c>
      <c r="D317" s="961"/>
      <c r="E317" s="53">
        <f t="shared" si="47"/>
        <v>0</v>
      </c>
      <c r="F317" s="961"/>
      <c r="G317" s="53">
        <f t="shared" si="48"/>
        <v>1</v>
      </c>
      <c r="H317" s="961"/>
      <c r="I317" s="53">
        <f t="shared" si="49"/>
        <v>1</v>
      </c>
      <c r="J317" s="961"/>
      <c r="K317" s="53">
        <f t="shared" si="50"/>
        <v>1</v>
      </c>
      <c r="L317" s="961"/>
      <c r="M317" s="53">
        <f t="shared" si="51"/>
        <v>1</v>
      </c>
      <c r="N317" s="961"/>
      <c r="O317" s="53">
        <f t="shared" si="52"/>
        <v>1</v>
      </c>
      <c r="P317" s="961"/>
      <c r="Q317" s="53">
        <f t="shared" si="53"/>
        <v>1</v>
      </c>
      <c r="R317" s="489">
        <f t="shared" si="54"/>
        <v>0</v>
      </c>
      <c r="S317" s="798">
        <f t="shared" si="45"/>
        <v>0</v>
      </c>
    </row>
    <row r="318" spans="1:19">
      <c r="A318" s="963"/>
      <c r="B318" s="137"/>
      <c r="C318" s="53">
        <f t="shared" si="46"/>
        <v>1</v>
      </c>
      <c r="D318" s="961"/>
      <c r="E318" s="53">
        <f t="shared" si="47"/>
        <v>0</v>
      </c>
      <c r="F318" s="961"/>
      <c r="G318" s="53">
        <f t="shared" si="48"/>
        <v>1</v>
      </c>
      <c r="H318" s="961"/>
      <c r="I318" s="53">
        <f t="shared" si="49"/>
        <v>1</v>
      </c>
      <c r="J318" s="961"/>
      <c r="K318" s="53">
        <f t="shared" si="50"/>
        <v>1</v>
      </c>
      <c r="L318" s="961"/>
      <c r="M318" s="53">
        <f t="shared" si="51"/>
        <v>1</v>
      </c>
      <c r="N318" s="961"/>
      <c r="O318" s="53">
        <f t="shared" si="52"/>
        <v>1</v>
      </c>
      <c r="P318" s="961"/>
      <c r="Q318" s="53">
        <f t="shared" si="53"/>
        <v>1</v>
      </c>
      <c r="R318" s="489">
        <f t="shared" si="54"/>
        <v>0</v>
      </c>
      <c r="S318" s="798">
        <f t="shared" si="45"/>
        <v>0</v>
      </c>
    </row>
    <row r="319" spans="1:19">
      <c r="A319" s="963"/>
      <c r="B319" s="137"/>
      <c r="C319" s="53">
        <f t="shared" si="46"/>
        <v>1</v>
      </c>
      <c r="D319" s="961"/>
      <c r="E319" s="53">
        <f t="shared" si="47"/>
        <v>0</v>
      </c>
      <c r="F319" s="961"/>
      <c r="G319" s="53">
        <f t="shared" si="48"/>
        <v>1</v>
      </c>
      <c r="H319" s="961"/>
      <c r="I319" s="53">
        <f t="shared" si="49"/>
        <v>1</v>
      </c>
      <c r="J319" s="961"/>
      <c r="K319" s="53">
        <f t="shared" si="50"/>
        <v>1</v>
      </c>
      <c r="L319" s="961"/>
      <c r="M319" s="53">
        <f t="shared" si="51"/>
        <v>1</v>
      </c>
      <c r="N319" s="961"/>
      <c r="O319" s="53">
        <f t="shared" si="52"/>
        <v>1</v>
      </c>
      <c r="P319" s="961"/>
      <c r="Q319" s="53">
        <f t="shared" si="53"/>
        <v>1</v>
      </c>
      <c r="R319" s="489">
        <f t="shared" si="54"/>
        <v>0</v>
      </c>
      <c r="S319" s="798">
        <f t="shared" si="45"/>
        <v>0</v>
      </c>
    </row>
    <row r="320" spans="1:19">
      <c r="A320" s="963"/>
      <c r="B320" s="137"/>
      <c r="C320" s="53">
        <f t="shared" si="46"/>
        <v>1</v>
      </c>
      <c r="D320" s="961"/>
      <c r="E320" s="53">
        <f t="shared" si="47"/>
        <v>0</v>
      </c>
      <c r="F320" s="961"/>
      <c r="G320" s="53">
        <f t="shared" si="48"/>
        <v>1</v>
      </c>
      <c r="H320" s="961"/>
      <c r="I320" s="53">
        <f t="shared" si="49"/>
        <v>1</v>
      </c>
      <c r="J320" s="961"/>
      <c r="K320" s="53">
        <f t="shared" si="50"/>
        <v>1</v>
      </c>
      <c r="L320" s="961"/>
      <c r="M320" s="53">
        <f t="shared" si="51"/>
        <v>1</v>
      </c>
      <c r="N320" s="961"/>
      <c r="O320" s="53">
        <f t="shared" si="52"/>
        <v>1</v>
      </c>
      <c r="P320" s="961"/>
      <c r="Q320" s="53">
        <f t="shared" si="53"/>
        <v>1</v>
      </c>
      <c r="R320" s="489">
        <f t="shared" si="54"/>
        <v>0</v>
      </c>
      <c r="S320" s="798">
        <f t="shared" si="45"/>
        <v>0</v>
      </c>
    </row>
    <row r="321" spans="1:19">
      <c r="A321" s="963"/>
      <c r="B321" s="137"/>
      <c r="C321" s="53">
        <f t="shared" si="46"/>
        <v>1</v>
      </c>
      <c r="D321" s="961"/>
      <c r="E321" s="53">
        <f t="shared" si="47"/>
        <v>0</v>
      </c>
      <c r="F321" s="961"/>
      <c r="G321" s="53">
        <f t="shared" si="48"/>
        <v>1</v>
      </c>
      <c r="H321" s="961"/>
      <c r="I321" s="53">
        <f t="shared" si="49"/>
        <v>1</v>
      </c>
      <c r="J321" s="961"/>
      <c r="K321" s="53">
        <f t="shared" si="50"/>
        <v>1</v>
      </c>
      <c r="L321" s="961"/>
      <c r="M321" s="53">
        <f t="shared" si="51"/>
        <v>1</v>
      </c>
      <c r="N321" s="961"/>
      <c r="O321" s="53">
        <f t="shared" si="52"/>
        <v>1</v>
      </c>
      <c r="P321" s="961"/>
      <c r="Q321" s="53">
        <f t="shared" si="53"/>
        <v>1</v>
      </c>
      <c r="R321" s="489">
        <f t="shared" si="54"/>
        <v>0</v>
      </c>
      <c r="S321" s="798">
        <f t="shared" si="45"/>
        <v>0</v>
      </c>
    </row>
    <row r="322" spans="1:19">
      <c r="A322" s="963"/>
      <c r="B322" s="137"/>
      <c r="C322" s="53">
        <f t="shared" si="46"/>
        <v>1</v>
      </c>
      <c r="D322" s="961"/>
      <c r="E322" s="53">
        <f t="shared" si="47"/>
        <v>0</v>
      </c>
      <c r="F322" s="961"/>
      <c r="G322" s="53">
        <f t="shared" si="48"/>
        <v>1</v>
      </c>
      <c r="H322" s="961"/>
      <c r="I322" s="53">
        <f t="shared" si="49"/>
        <v>1</v>
      </c>
      <c r="J322" s="961"/>
      <c r="K322" s="53">
        <f t="shared" si="50"/>
        <v>1</v>
      </c>
      <c r="L322" s="961"/>
      <c r="M322" s="53">
        <f t="shared" si="51"/>
        <v>1</v>
      </c>
      <c r="N322" s="961"/>
      <c r="O322" s="53">
        <f t="shared" si="52"/>
        <v>1</v>
      </c>
      <c r="P322" s="961"/>
      <c r="Q322" s="53">
        <f t="shared" si="53"/>
        <v>1</v>
      </c>
      <c r="R322" s="489">
        <f t="shared" si="54"/>
        <v>0</v>
      </c>
      <c r="S322" s="798">
        <f t="shared" si="45"/>
        <v>0</v>
      </c>
    </row>
    <row r="323" spans="1:19">
      <c r="A323" s="963"/>
      <c r="B323" s="137"/>
      <c r="C323" s="53">
        <f t="shared" si="46"/>
        <v>1</v>
      </c>
      <c r="D323" s="961"/>
      <c r="E323" s="53">
        <f t="shared" si="47"/>
        <v>0</v>
      </c>
      <c r="F323" s="961"/>
      <c r="G323" s="53">
        <f t="shared" si="48"/>
        <v>1</v>
      </c>
      <c r="H323" s="961"/>
      <c r="I323" s="53">
        <f t="shared" si="49"/>
        <v>1</v>
      </c>
      <c r="J323" s="961"/>
      <c r="K323" s="53">
        <f t="shared" si="50"/>
        <v>1</v>
      </c>
      <c r="L323" s="961"/>
      <c r="M323" s="53">
        <f t="shared" si="51"/>
        <v>1</v>
      </c>
      <c r="N323" s="961"/>
      <c r="O323" s="53">
        <f t="shared" si="52"/>
        <v>1</v>
      </c>
      <c r="P323" s="961"/>
      <c r="Q323" s="53">
        <f t="shared" si="53"/>
        <v>1</v>
      </c>
      <c r="R323" s="489">
        <f t="shared" si="54"/>
        <v>0</v>
      </c>
      <c r="S323" s="798">
        <f t="shared" si="45"/>
        <v>0</v>
      </c>
    </row>
    <row r="324" spans="1:19">
      <c r="A324" s="963"/>
      <c r="B324" s="137"/>
      <c r="C324" s="53">
        <f t="shared" si="46"/>
        <v>1</v>
      </c>
      <c r="D324" s="961"/>
      <c r="E324" s="53">
        <f t="shared" si="47"/>
        <v>0</v>
      </c>
      <c r="F324" s="961"/>
      <c r="G324" s="53">
        <f t="shared" si="48"/>
        <v>1</v>
      </c>
      <c r="H324" s="961"/>
      <c r="I324" s="53">
        <f t="shared" si="49"/>
        <v>1</v>
      </c>
      <c r="J324" s="961"/>
      <c r="K324" s="53">
        <f t="shared" si="50"/>
        <v>1</v>
      </c>
      <c r="L324" s="961"/>
      <c r="M324" s="53">
        <f t="shared" si="51"/>
        <v>1</v>
      </c>
      <c r="N324" s="961"/>
      <c r="O324" s="53">
        <f t="shared" si="52"/>
        <v>1</v>
      </c>
      <c r="P324" s="961"/>
      <c r="Q324" s="53">
        <f t="shared" si="53"/>
        <v>1</v>
      </c>
      <c r="R324" s="489">
        <f t="shared" si="54"/>
        <v>0</v>
      </c>
      <c r="S324" s="798">
        <f t="shared" si="45"/>
        <v>0</v>
      </c>
    </row>
    <row r="325" spans="1:19">
      <c r="A325" s="963"/>
      <c r="B325" s="137"/>
      <c r="C325" s="53">
        <f t="shared" si="46"/>
        <v>1</v>
      </c>
      <c r="D325" s="961"/>
      <c r="E325" s="53">
        <f t="shared" si="47"/>
        <v>0</v>
      </c>
      <c r="F325" s="961"/>
      <c r="G325" s="53">
        <f t="shared" si="48"/>
        <v>1</v>
      </c>
      <c r="H325" s="961"/>
      <c r="I325" s="53">
        <f t="shared" si="49"/>
        <v>1</v>
      </c>
      <c r="J325" s="961"/>
      <c r="K325" s="53">
        <f t="shared" si="50"/>
        <v>1</v>
      </c>
      <c r="L325" s="961"/>
      <c r="M325" s="53">
        <f t="shared" si="51"/>
        <v>1</v>
      </c>
      <c r="N325" s="961"/>
      <c r="O325" s="53">
        <f t="shared" si="52"/>
        <v>1</v>
      </c>
      <c r="P325" s="961"/>
      <c r="Q325" s="53">
        <f t="shared" si="53"/>
        <v>1</v>
      </c>
      <c r="R325" s="489">
        <f t="shared" si="54"/>
        <v>0</v>
      </c>
      <c r="S325" s="798">
        <f t="shared" si="45"/>
        <v>0</v>
      </c>
    </row>
    <row r="326" spans="1:19">
      <c r="A326" s="963"/>
      <c r="B326" s="137"/>
      <c r="C326" s="53">
        <f t="shared" si="46"/>
        <v>1</v>
      </c>
      <c r="D326" s="961"/>
      <c r="E326" s="53">
        <f t="shared" si="47"/>
        <v>0</v>
      </c>
      <c r="F326" s="961"/>
      <c r="G326" s="53">
        <f t="shared" si="48"/>
        <v>1</v>
      </c>
      <c r="H326" s="961"/>
      <c r="I326" s="53">
        <f t="shared" si="49"/>
        <v>1</v>
      </c>
      <c r="J326" s="961"/>
      <c r="K326" s="53">
        <f t="shared" si="50"/>
        <v>1</v>
      </c>
      <c r="L326" s="961"/>
      <c r="M326" s="53">
        <f t="shared" si="51"/>
        <v>1</v>
      </c>
      <c r="N326" s="961"/>
      <c r="O326" s="53">
        <f t="shared" si="52"/>
        <v>1</v>
      </c>
      <c r="P326" s="961"/>
      <c r="Q326" s="53">
        <f t="shared" si="53"/>
        <v>1</v>
      </c>
      <c r="R326" s="489">
        <f t="shared" si="54"/>
        <v>0</v>
      </c>
      <c r="S326" s="798">
        <f t="shared" si="45"/>
        <v>0</v>
      </c>
    </row>
    <row r="327" spans="1:19">
      <c r="A327" s="963"/>
      <c r="B327" s="137"/>
      <c r="C327" s="53">
        <f t="shared" si="46"/>
        <v>1</v>
      </c>
      <c r="D327" s="961"/>
      <c r="E327" s="53">
        <f t="shared" si="47"/>
        <v>0</v>
      </c>
      <c r="F327" s="961"/>
      <c r="G327" s="53">
        <f t="shared" si="48"/>
        <v>1</v>
      </c>
      <c r="H327" s="961"/>
      <c r="I327" s="53">
        <f t="shared" si="49"/>
        <v>1</v>
      </c>
      <c r="J327" s="961"/>
      <c r="K327" s="53">
        <f t="shared" si="50"/>
        <v>1</v>
      </c>
      <c r="L327" s="961"/>
      <c r="M327" s="53">
        <f t="shared" si="51"/>
        <v>1</v>
      </c>
      <c r="N327" s="961"/>
      <c r="O327" s="53">
        <f t="shared" si="52"/>
        <v>1</v>
      </c>
      <c r="P327" s="961"/>
      <c r="Q327" s="53">
        <f t="shared" si="53"/>
        <v>1</v>
      </c>
      <c r="R327" s="489">
        <f t="shared" si="54"/>
        <v>0</v>
      </c>
      <c r="S327" s="798">
        <f t="shared" si="45"/>
        <v>0</v>
      </c>
    </row>
    <row r="328" spans="1:19">
      <c r="A328" s="963"/>
      <c r="B328" s="137"/>
      <c r="C328" s="53">
        <f t="shared" si="46"/>
        <v>1</v>
      </c>
      <c r="D328" s="961"/>
      <c r="E328" s="53">
        <f t="shared" si="47"/>
        <v>0</v>
      </c>
      <c r="F328" s="961"/>
      <c r="G328" s="53">
        <f t="shared" si="48"/>
        <v>1</v>
      </c>
      <c r="H328" s="961"/>
      <c r="I328" s="53">
        <f t="shared" si="49"/>
        <v>1</v>
      </c>
      <c r="J328" s="961"/>
      <c r="K328" s="53">
        <f t="shared" si="50"/>
        <v>1</v>
      </c>
      <c r="L328" s="961"/>
      <c r="M328" s="53">
        <f t="shared" si="51"/>
        <v>1</v>
      </c>
      <c r="N328" s="961"/>
      <c r="O328" s="53">
        <f t="shared" si="52"/>
        <v>1</v>
      </c>
      <c r="P328" s="961"/>
      <c r="Q328" s="53">
        <f t="shared" si="53"/>
        <v>1</v>
      </c>
      <c r="R328" s="489">
        <f t="shared" si="54"/>
        <v>0</v>
      </c>
      <c r="S328" s="798">
        <f t="shared" si="45"/>
        <v>0</v>
      </c>
    </row>
    <row r="329" spans="1:19">
      <c r="A329" s="963"/>
      <c r="B329" s="137"/>
      <c r="C329" s="53">
        <f t="shared" si="46"/>
        <v>1</v>
      </c>
      <c r="D329" s="961"/>
      <c r="E329" s="53">
        <f t="shared" si="47"/>
        <v>0</v>
      </c>
      <c r="F329" s="961"/>
      <c r="G329" s="53">
        <f t="shared" si="48"/>
        <v>1</v>
      </c>
      <c r="H329" s="961"/>
      <c r="I329" s="53">
        <f t="shared" si="49"/>
        <v>1</v>
      </c>
      <c r="J329" s="961"/>
      <c r="K329" s="53">
        <f t="shared" si="50"/>
        <v>1</v>
      </c>
      <c r="L329" s="961"/>
      <c r="M329" s="53">
        <f t="shared" si="51"/>
        <v>1</v>
      </c>
      <c r="N329" s="961"/>
      <c r="O329" s="53">
        <f t="shared" si="52"/>
        <v>1</v>
      </c>
      <c r="P329" s="961"/>
      <c r="Q329" s="53">
        <f t="shared" si="53"/>
        <v>1</v>
      </c>
      <c r="R329" s="489">
        <f t="shared" si="54"/>
        <v>0</v>
      </c>
      <c r="S329" s="798">
        <f t="shared" si="45"/>
        <v>0</v>
      </c>
    </row>
    <row r="330" spans="1:19">
      <c r="A330" s="963"/>
      <c r="B330" s="137"/>
      <c r="C330" s="53">
        <f t="shared" si="46"/>
        <v>1</v>
      </c>
      <c r="D330" s="961"/>
      <c r="E330" s="53">
        <f t="shared" si="47"/>
        <v>0</v>
      </c>
      <c r="F330" s="961"/>
      <c r="G330" s="53">
        <f t="shared" si="48"/>
        <v>1</v>
      </c>
      <c r="H330" s="961"/>
      <c r="I330" s="53">
        <f t="shared" si="49"/>
        <v>1</v>
      </c>
      <c r="J330" s="961"/>
      <c r="K330" s="53">
        <f t="shared" si="50"/>
        <v>1</v>
      </c>
      <c r="L330" s="961"/>
      <c r="M330" s="53">
        <f t="shared" si="51"/>
        <v>1</v>
      </c>
      <c r="N330" s="961"/>
      <c r="O330" s="53">
        <f t="shared" si="52"/>
        <v>1</v>
      </c>
      <c r="P330" s="961"/>
      <c r="Q330" s="53">
        <f t="shared" si="53"/>
        <v>1</v>
      </c>
      <c r="R330" s="489">
        <f t="shared" si="54"/>
        <v>0</v>
      </c>
      <c r="S330" s="798">
        <f t="shared" si="45"/>
        <v>0</v>
      </c>
    </row>
    <row r="331" spans="1:19">
      <c r="A331" s="963"/>
      <c r="B331" s="137"/>
      <c r="C331" s="53">
        <f t="shared" si="46"/>
        <v>1</v>
      </c>
      <c r="D331" s="961"/>
      <c r="E331" s="53">
        <f t="shared" si="47"/>
        <v>0</v>
      </c>
      <c r="F331" s="961"/>
      <c r="G331" s="53">
        <f t="shared" si="48"/>
        <v>1</v>
      </c>
      <c r="H331" s="961"/>
      <c r="I331" s="53">
        <f t="shared" si="49"/>
        <v>1</v>
      </c>
      <c r="J331" s="961"/>
      <c r="K331" s="53">
        <f t="shared" si="50"/>
        <v>1</v>
      </c>
      <c r="L331" s="961"/>
      <c r="M331" s="53">
        <f t="shared" si="51"/>
        <v>1</v>
      </c>
      <c r="N331" s="961"/>
      <c r="O331" s="53">
        <f t="shared" si="52"/>
        <v>1</v>
      </c>
      <c r="P331" s="961"/>
      <c r="Q331" s="53">
        <f t="shared" si="53"/>
        <v>1</v>
      </c>
      <c r="R331" s="489">
        <f t="shared" si="54"/>
        <v>0</v>
      </c>
      <c r="S331" s="798">
        <f t="shared" si="45"/>
        <v>0</v>
      </c>
    </row>
    <row r="332" spans="1:19">
      <c r="A332" s="963"/>
      <c r="B332" s="137"/>
      <c r="C332" s="53">
        <f t="shared" si="46"/>
        <v>1</v>
      </c>
      <c r="D332" s="961"/>
      <c r="E332" s="53">
        <f t="shared" si="47"/>
        <v>0</v>
      </c>
      <c r="F332" s="961"/>
      <c r="G332" s="53">
        <f t="shared" si="48"/>
        <v>1</v>
      </c>
      <c r="H332" s="961"/>
      <c r="I332" s="53">
        <f t="shared" si="49"/>
        <v>1</v>
      </c>
      <c r="J332" s="961"/>
      <c r="K332" s="53">
        <f t="shared" si="50"/>
        <v>1</v>
      </c>
      <c r="L332" s="961"/>
      <c r="M332" s="53">
        <f t="shared" si="51"/>
        <v>1</v>
      </c>
      <c r="N332" s="961"/>
      <c r="O332" s="53">
        <f t="shared" si="52"/>
        <v>1</v>
      </c>
      <c r="P332" s="961"/>
      <c r="Q332" s="53">
        <f t="shared" si="53"/>
        <v>1</v>
      </c>
      <c r="R332" s="489">
        <f t="shared" si="54"/>
        <v>0</v>
      </c>
      <c r="S332" s="798">
        <f t="shared" si="45"/>
        <v>0</v>
      </c>
    </row>
    <row r="333" spans="1:19">
      <c r="A333" s="963"/>
      <c r="B333" s="137"/>
      <c r="C333" s="53">
        <f t="shared" si="46"/>
        <v>1</v>
      </c>
      <c r="D333" s="961"/>
      <c r="E333" s="53">
        <f t="shared" si="47"/>
        <v>0</v>
      </c>
      <c r="F333" s="961"/>
      <c r="G333" s="53">
        <f t="shared" si="48"/>
        <v>1</v>
      </c>
      <c r="H333" s="961"/>
      <c r="I333" s="53">
        <f t="shared" si="49"/>
        <v>1</v>
      </c>
      <c r="J333" s="961"/>
      <c r="K333" s="53">
        <f t="shared" si="50"/>
        <v>1</v>
      </c>
      <c r="L333" s="961"/>
      <c r="M333" s="53">
        <f t="shared" si="51"/>
        <v>1</v>
      </c>
      <c r="N333" s="961"/>
      <c r="O333" s="53">
        <f t="shared" si="52"/>
        <v>1</v>
      </c>
      <c r="P333" s="961"/>
      <c r="Q333" s="53">
        <f t="shared" si="53"/>
        <v>1</v>
      </c>
      <c r="R333" s="489">
        <f t="shared" si="54"/>
        <v>0</v>
      </c>
      <c r="S333" s="798">
        <f t="shared" si="45"/>
        <v>0</v>
      </c>
    </row>
    <row r="334" spans="1:19">
      <c r="A334" s="963"/>
      <c r="B334" s="137"/>
      <c r="C334" s="53">
        <f t="shared" si="46"/>
        <v>1</v>
      </c>
      <c r="D334" s="961"/>
      <c r="E334" s="53">
        <f t="shared" si="47"/>
        <v>0</v>
      </c>
      <c r="F334" s="961"/>
      <c r="G334" s="53">
        <f t="shared" si="48"/>
        <v>1</v>
      </c>
      <c r="H334" s="961"/>
      <c r="I334" s="53">
        <f t="shared" si="49"/>
        <v>1</v>
      </c>
      <c r="J334" s="961"/>
      <c r="K334" s="53">
        <f t="shared" si="50"/>
        <v>1</v>
      </c>
      <c r="L334" s="961"/>
      <c r="M334" s="53">
        <f t="shared" si="51"/>
        <v>1</v>
      </c>
      <c r="N334" s="961"/>
      <c r="O334" s="53">
        <f t="shared" si="52"/>
        <v>1</v>
      </c>
      <c r="P334" s="961"/>
      <c r="Q334" s="53">
        <f t="shared" si="53"/>
        <v>1</v>
      </c>
      <c r="R334" s="489">
        <f t="shared" si="54"/>
        <v>0</v>
      </c>
      <c r="S334" s="798">
        <f t="shared" si="45"/>
        <v>0</v>
      </c>
    </row>
    <row r="335" spans="1:19">
      <c r="A335" s="963"/>
      <c r="B335" s="137"/>
      <c r="C335" s="53">
        <f t="shared" si="46"/>
        <v>1</v>
      </c>
      <c r="D335" s="961"/>
      <c r="E335" s="53">
        <f t="shared" si="47"/>
        <v>0</v>
      </c>
      <c r="F335" s="961"/>
      <c r="G335" s="53">
        <f t="shared" si="48"/>
        <v>1</v>
      </c>
      <c r="H335" s="961"/>
      <c r="I335" s="53">
        <f t="shared" si="49"/>
        <v>1</v>
      </c>
      <c r="J335" s="961"/>
      <c r="K335" s="53">
        <f t="shared" si="50"/>
        <v>1</v>
      </c>
      <c r="L335" s="961"/>
      <c r="M335" s="53">
        <f t="shared" si="51"/>
        <v>1</v>
      </c>
      <c r="N335" s="961"/>
      <c r="O335" s="53">
        <f t="shared" si="52"/>
        <v>1</v>
      </c>
      <c r="P335" s="961"/>
      <c r="Q335" s="53">
        <f t="shared" si="53"/>
        <v>1</v>
      </c>
      <c r="R335" s="489">
        <f t="shared" si="54"/>
        <v>0</v>
      </c>
      <c r="S335" s="798">
        <f t="shared" si="45"/>
        <v>0</v>
      </c>
    </row>
    <row r="336" spans="1:19">
      <c r="A336" s="963"/>
      <c r="B336" s="137"/>
      <c r="C336" s="53">
        <f t="shared" si="46"/>
        <v>1</v>
      </c>
      <c r="D336" s="961"/>
      <c r="E336" s="53">
        <f t="shared" si="47"/>
        <v>0</v>
      </c>
      <c r="F336" s="961"/>
      <c r="G336" s="53">
        <f t="shared" si="48"/>
        <v>1</v>
      </c>
      <c r="H336" s="961"/>
      <c r="I336" s="53">
        <f t="shared" si="49"/>
        <v>1</v>
      </c>
      <c r="J336" s="961"/>
      <c r="K336" s="53">
        <f t="shared" si="50"/>
        <v>1</v>
      </c>
      <c r="L336" s="961"/>
      <c r="M336" s="53">
        <f t="shared" si="51"/>
        <v>1</v>
      </c>
      <c r="N336" s="961"/>
      <c r="O336" s="53">
        <f t="shared" si="52"/>
        <v>1</v>
      </c>
      <c r="P336" s="961"/>
      <c r="Q336" s="53">
        <f t="shared" si="53"/>
        <v>1</v>
      </c>
      <c r="R336" s="489">
        <f t="shared" si="54"/>
        <v>0</v>
      </c>
      <c r="S336" s="798">
        <f t="shared" si="45"/>
        <v>0</v>
      </c>
    </row>
    <row r="337" spans="1:19">
      <c r="A337" s="963"/>
      <c r="B337" s="137"/>
      <c r="C337" s="53">
        <f t="shared" si="46"/>
        <v>1</v>
      </c>
      <c r="D337" s="961"/>
      <c r="E337" s="53">
        <f t="shared" si="47"/>
        <v>0</v>
      </c>
      <c r="F337" s="961"/>
      <c r="G337" s="53">
        <f t="shared" si="48"/>
        <v>1</v>
      </c>
      <c r="H337" s="961"/>
      <c r="I337" s="53">
        <f t="shared" si="49"/>
        <v>1</v>
      </c>
      <c r="J337" s="961"/>
      <c r="K337" s="53">
        <f t="shared" si="50"/>
        <v>1</v>
      </c>
      <c r="L337" s="961"/>
      <c r="M337" s="53">
        <f t="shared" si="51"/>
        <v>1</v>
      </c>
      <c r="N337" s="961"/>
      <c r="O337" s="53">
        <f t="shared" si="52"/>
        <v>1</v>
      </c>
      <c r="P337" s="961"/>
      <c r="Q337" s="53">
        <f t="shared" si="53"/>
        <v>1</v>
      </c>
      <c r="R337" s="489">
        <f t="shared" si="54"/>
        <v>0</v>
      </c>
      <c r="S337" s="798">
        <f t="shared" si="45"/>
        <v>0</v>
      </c>
    </row>
    <row r="338" spans="1:19">
      <c r="A338" s="963"/>
      <c r="B338" s="137"/>
      <c r="C338" s="53">
        <f t="shared" si="46"/>
        <v>1</v>
      </c>
      <c r="D338" s="961"/>
      <c r="E338" s="53">
        <f t="shared" si="47"/>
        <v>0</v>
      </c>
      <c r="F338" s="961"/>
      <c r="G338" s="53">
        <f t="shared" si="48"/>
        <v>1</v>
      </c>
      <c r="H338" s="961"/>
      <c r="I338" s="53">
        <f t="shared" si="49"/>
        <v>1</v>
      </c>
      <c r="J338" s="961"/>
      <c r="K338" s="53">
        <f t="shared" si="50"/>
        <v>1</v>
      </c>
      <c r="L338" s="961"/>
      <c r="M338" s="53">
        <f t="shared" si="51"/>
        <v>1</v>
      </c>
      <c r="N338" s="961"/>
      <c r="O338" s="53">
        <f t="shared" si="52"/>
        <v>1</v>
      </c>
      <c r="P338" s="961"/>
      <c r="Q338" s="53">
        <f t="shared" si="53"/>
        <v>1</v>
      </c>
      <c r="R338" s="489">
        <f t="shared" si="54"/>
        <v>0</v>
      </c>
      <c r="S338" s="798">
        <f t="shared" si="45"/>
        <v>0</v>
      </c>
    </row>
    <row r="339" spans="1:19">
      <c r="A339" s="963"/>
      <c r="B339" s="137"/>
      <c r="C339" s="53">
        <f t="shared" si="46"/>
        <v>1</v>
      </c>
      <c r="D339" s="961"/>
      <c r="E339" s="53">
        <f t="shared" si="47"/>
        <v>0</v>
      </c>
      <c r="F339" s="961"/>
      <c r="G339" s="53">
        <f t="shared" si="48"/>
        <v>1</v>
      </c>
      <c r="H339" s="961"/>
      <c r="I339" s="53">
        <f t="shared" si="49"/>
        <v>1</v>
      </c>
      <c r="J339" s="961"/>
      <c r="K339" s="53">
        <f t="shared" si="50"/>
        <v>1</v>
      </c>
      <c r="L339" s="961"/>
      <c r="M339" s="53">
        <f t="shared" si="51"/>
        <v>1</v>
      </c>
      <c r="N339" s="961"/>
      <c r="O339" s="53">
        <f t="shared" si="52"/>
        <v>1</v>
      </c>
      <c r="P339" s="961"/>
      <c r="Q339" s="53">
        <f t="shared" si="53"/>
        <v>1</v>
      </c>
      <c r="R339" s="489">
        <f t="shared" si="54"/>
        <v>0</v>
      </c>
      <c r="S339" s="798">
        <f t="shared" si="45"/>
        <v>0</v>
      </c>
    </row>
    <row r="340" spans="1:19">
      <c r="A340" s="963"/>
      <c r="B340" s="137"/>
      <c r="C340" s="53">
        <f t="shared" si="46"/>
        <v>1</v>
      </c>
      <c r="D340" s="961"/>
      <c r="E340" s="53">
        <f t="shared" si="47"/>
        <v>0</v>
      </c>
      <c r="F340" s="961"/>
      <c r="G340" s="53">
        <f t="shared" si="48"/>
        <v>1</v>
      </c>
      <c r="H340" s="961"/>
      <c r="I340" s="53">
        <f t="shared" si="49"/>
        <v>1</v>
      </c>
      <c r="J340" s="961"/>
      <c r="K340" s="53">
        <f t="shared" si="50"/>
        <v>1</v>
      </c>
      <c r="L340" s="961"/>
      <c r="M340" s="53">
        <f t="shared" si="51"/>
        <v>1</v>
      </c>
      <c r="N340" s="961"/>
      <c r="O340" s="53">
        <f t="shared" si="52"/>
        <v>1</v>
      </c>
      <c r="P340" s="961"/>
      <c r="Q340" s="53">
        <f t="shared" si="53"/>
        <v>1</v>
      </c>
      <c r="R340" s="489">
        <f t="shared" si="54"/>
        <v>0</v>
      </c>
      <c r="S340" s="798">
        <f t="shared" si="45"/>
        <v>0</v>
      </c>
    </row>
    <row r="341" spans="1:19">
      <c r="A341" s="963"/>
      <c r="B341" s="137"/>
      <c r="C341" s="53">
        <f t="shared" si="46"/>
        <v>1</v>
      </c>
      <c r="D341" s="961"/>
      <c r="E341" s="53">
        <f t="shared" si="47"/>
        <v>0</v>
      </c>
      <c r="F341" s="961"/>
      <c r="G341" s="53">
        <f t="shared" si="48"/>
        <v>1</v>
      </c>
      <c r="H341" s="961"/>
      <c r="I341" s="53">
        <f t="shared" si="49"/>
        <v>1</v>
      </c>
      <c r="J341" s="961"/>
      <c r="K341" s="53">
        <f t="shared" si="50"/>
        <v>1</v>
      </c>
      <c r="L341" s="961"/>
      <c r="M341" s="53">
        <f t="shared" si="51"/>
        <v>1</v>
      </c>
      <c r="N341" s="961"/>
      <c r="O341" s="53">
        <f t="shared" si="52"/>
        <v>1</v>
      </c>
      <c r="P341" s="961"/>
      <c r="Q341" s="53">
        <f t="shared" si="53"/>
        <v>1</v>
      </c>
      <c r="R341" s="489">
        <f t="shared" si="54"/>
        <v>0</v>
      </c>
      <c r="S341" s="798">
        <f t="shared" si="45"/>
        <v>0</v>
      </c>
    </row>
    <row r="342" spans="1:19">
      <c r="A342" s="963"/>
      <c r="B342" s="137"/>
      <c r="C342" s="53">
        <f t="shared" si="46"/>
        <v>1</v>
      </c>
      <c r="D342" s="961"/>
      <c r="E342" s="53">
        <f t="shared" si="47"/>
        <v>0</v>
      </c>
      <c r="F342" s="961"/>
      <c r="G342" s="53">
        <f t="shared" si="48"/>
        <v>1</v>
      </c>
      <c r="H342" s="961"/>
      <c r="I342" s="53">
        <f t="shared" si="49"/>
        <v>1</v>
      </c>
      <c r="J342" s="961"/>
      <c r="K342" s="53">
        <f t="shared" si="50"/>
        <v>1</v>
      </c>
      <c r="L342" s="961"/>
      <c r="M342" s="53">
        <f t="shared" si="51"/>
        <v>1</v>
      </c>
      <c r="N342" s="961"/>
      <c r="O342" s="53">
        <f t="shared" si="52"/>
        <v>1</v>
      </c>
      <c r="P342" s="961"/>
      <c r="Q342" s="53">
        <f t="shared" si="53"/>
        <v>1</v>
      </c>
      <c r="R342" s="489">
        <f t="shared" si="54"/>
        <v>0</v>
      </c>
      <c r="S342" s="798">
        <f t="shared" si="45"/>
        <v>0</v>
      </c>
    </row>
    <row r="343" spans="1:19">
      <c r="A343" s="963"/>
      <c r="B343" s="137"/>
      <c r="C343" s="53">
        <f t="shared" si="46"/>
        <v>1</v>
      </c>
      <c r="D343" s="961"/>
      <c r="E343" s="53">
        <f t="shared" si="47"/>
        <v>0</v>
      </c>
      <c r="F343" s="961"/>
      <c r="G343" s="53">
        <f t="shared" si="48"/>
        <v>1</v>
      </c>
      <c r="H343" s="961"/>
      <c r="I343" s="53">
        <f t="shared" si="49"/>
        <v>1</v>
      </c>
      <c r="J343" s="961"/>
      <c r="K343" s="53">
        <f t="shared" si="50"/>
        <v>1</v>
      </c>
      <c r="L343" s="961"/>
      <c r="M343" s="53">
        <f t="shared" si="51"/>
        <v>1</v>
      </c>
      <c r="N343" s="961"/>
      <c r="O343" s="53">
        <f t="shared" si="52"/>
        <v>1</v>
      </c>
      <c r="P343" s="961"/>
      <c r="Q343" s="53">
        <f t="shared" si="53"/>
        <v>1</v>
      </c>
      <c r="R343" s="489">
        <f t="shared" si="54"/>
        <v>0</v>
      </c>
      <c r="S343" s="798">
        <f t="shared" si="45"/>
        <v>0</v>
      </c>
    </row>
    <row r="344" spans="1:19">
      <c r="A344" s="963"/>
      <c r="B344" s="137"/>
      <c r="C344" s="53">
        <f t="shared" si="46"/>
        <v>1</v>
      </c>
      <c r="D344" s="961"/>
      <c r="E344" s="53">
        <f t="shared" si="47"/>
        <v>0</v>
      </c>
      <c r="F344" s="961"/>
      <c r="G344" s="53">
        <f t="shared" si="48"/>
        <v>1</v>
      </c>
      <c r="H344" s="961"/>
      <c r="I344" s="53">
        <f t="shared" si="49"/>
        <v>1</v>
      </c>
      <c r="J344" s="961"/>
      <c r="K344" s="53">
        <f t="shared" si="50"/>
        <v>1</v>
      </c>
      <c r="L344" s="961"/>
      <c r="M344" s="53">
        <f t="shared" si="51"/>
        <v>1</v>
      </c>
      <c r="N344" s="961"/>
      <c r="O344" s="53">
        <f t="shared" si="52"/>
        <v>1</v>
      </c>
      <c r="P344" s="961"/>
      <c r="Q344" s="53">
        <f t="shared" si="53"/>
        <v>1</v>
      </c>
      <c r="R344" s="489">
        <f t="shared" si="54"/>
        <v>0</v>
      </c>
      <c r="S344" s="798">
        <f t="shared" ref="S344:S407" si="55">ROUND(R344*B344/10000,0)</f>
        <v>0</v>
      </c>
    </row>
    <row r="345" spans="1:19">
      <c r="A345" s="963"/>
      <c r="B345" s="137"/>
      <c r="C345" s="53">
        <f t="shared" si="46"/>
        <v>1</v>
      </c>
      <c r="D345" s="961"/>
      <c r="E345" s="53">
        <f t="shared" si="47"/>
        <v>0</v>
      </c>
      <c r="F345" s="961"/>
      <c r="G345" s="53">
        <f t="shared" si="48"/>
        <v>1</v>
      </c>
      <c r="H345" s="961"/>
      <c r="I345" s="53">
        <f t="shared" si="49"/>
        <v>1</v>
      </c>
      <c r="J345" s="961"/>
      <c r="K345" s="53">
        <f t="shared" si="50"/>
        <v>1</v>
      </c>
      <c r="L345" s="961"/>
      <c r="M345" s="53">
        <f t="shared" si="51"/>
        <v>1</v>
      </c>
      <c r="N345" s="961"/>
      <c r="O345" s="53">
        <f t="shared" si="52"/>
        <v>1</v>
      </c>
      <c r="P345" s="961"/>
      <c r="Q345" s="53">
        <f t="shared" si="53"/>
        <v>1</v>
      </c>
      <c r="R345" s="489">
        <f t="shared" si="54"/>
        <v>0</v>
      </c>
      <c r="S345" s="798">
        <f t="shared" si="55"/>
        <v>0</v>
      </c>
    </row>
    <row r="346" spans="1:19">
      <c r="A346" s="963"/>
      <c r="B346" s="137"/>
      <c r="C346" s="53">
        <f t="shared" ref="C346:C409" si="56">IF(B346="",1,(LOOKUP(B346,$3:$3,$4:$4)-LOOKUP($B$24,$3:$3,$4:$4)+100)/100)</f>
        <v>1</v>
      </c>
      <c r="D346" s="961"/>
      <c r="E346" s="53">
        <f t="shared" ref="E346:E409" si="57">(SUMIF($5:$5,D346,$6:$6)-SUMIF($5:$5,$D$24,$6:$6)+100)/100</f>
        <v>0</v>
      </c>
      <c r="F346" s="961"/>
      <c r="G346" s="53">
        <f t="shared" ref="G346:G409" si="58">(SUMIF($7:$7,F346,$8:$8)-SUMIF($7:$7,$F$24,$8:$8)+100)/100</f>
        <v>1</v>
      </c>
      <c r="H346" s="961"/>
      <c r="I346" s="53">
        <f t="shared" ref="I346:I409" si="59">(SUMIF($9:$9,H346,$10:$10)-SUMIF($9:$9,$H$24,$10:$10)+100)/100</f>
        <v>1</v>
      </c>
      <c r="J346" s="961"/>
      <c r="K346" s="53">
        <f t="shared" ref="K346:K409" si="60">(SUMIF($11:$11,J346,$12:$12)-SUMIF($11:$11,$J$24,$12:$12)+100)/100</f>
        <v>1</v>
      </c>
      <c r="L346" s="961"/>
      <c r="M346" s="53">
        <f t="shared" ref="M346:M409" si="61">(SUMIF($13:$13,L346,$14:$14)-SUMIF($13:$13,$L$24,$14:$14)+100)/100</f>
        <v>1</v>
      </c>
      <c r="N346" s="961"/>
      <c r="O346" s="53">
        <f t="shared" ref="O346:O409" si="62">(SUMIF($15:$15,N346,$16:$16)-SUMIF($15:$15,$N$24,$16:$16)+100)/100</f>
        <v>1</v>
      </c>
      <c r="P346" s="961"/>
      <c r="Q346" s="53">
        <f t="shared" ref="Q346:Q409" si="63">(SUMIF($17:$17,P346,$18:$18)-SUMIF($17:$17,$P$24,$18:$18)+100)/100</f>
        <v>1</v>
      </c>
      <c r="R346" s="489">
        <f t="shared" ref="R346:R409" si="64">IF(B346="",0,ROUND($R$24*C346*E346*G346*I346*K346*M346*O346*Q346,0))</f>
        <v>0</v>
      </c>
      <c r="S346" s="798">
        <f t="shared" si="55"/>
        <v>0</v>
      </c>
    </row>
    <row r="347" spans="1:19">
      <c r="A347" s="963"/>
      <c r="B347" s="137"/>
      <c r="C347" s="53">
        <f t="shared" si="56"/>
        <v>1</v>
      </c>
      <c r="D347" s="961"/>
      <c r="E347" s="53">
        <f t="shared" si="57"/>
        <v>0</v>
      </c>
      <c r="F347" s="961"/>
      <c r="G347" s="53">
        <f t="shared" si="58"/>
        <v>1</v>
      </c>
      <c r="H347" s="961"/>
      <c r="I347" s="53">
        <f t="shared" si="59"/>
        <v>1</v>
      </c>
      <c r="J347" s="961"/>
      <c r="K347" s="53">
        <f t="shared" si="60"/>
        <v>1</v>
      </c>
      <c r="L347" s="961"/>
      <c r="M347" s="53">
        <f t="shared" si="61"/>
        <v>1</v>
      </c>
      <c r="N347" s="961"/>
      <c r="O347" s="53">
        <f t="shared" si="62"/>
        <v>1</v>
      </c>
      <c r="P347" s="961"/>
      <c r="Q347" s="53">
        <f t="shared" si="63"/>
        <v>1</v>
      </c>
      <c r="R347" s="489">
        <f t="shared" si="64"/>
        <v>0</v>
      </c>
      <c r="S347" s="798">
        <f t="shared" si="55"/>
        <v>0</v>
      </c>
    </row>
    <row r="348" spans="1:19">
      <c r="A348" s="963"/>
      <c r="B348" s="137"/>
      <c r="C348" s="53">
        <f t="shared" si="56"/>
        <v>1</v>
      </c>
      <c r="D348" s="961"/>
      <c r="E348" s="53">
        <f t="shared" si="57"/>
        <v>0</v>
      </c>
      <c r="F348" s="961"/>
      <c r="G348" s="53">
        <f t="shared" si="58"/>
        <v>1</v>
      </c>
      <c r="H348" s="961"/>
      <c r="I348" s="53">
        <f t="shared" si="59"/>
        <v>1</v>
      </c>
      <c r="J348" s="961"/>
      <c r="K348" s="53">
        <f t="shared" si="60"/>
        <v>1</v>
      </c>
      <c r="L348" s="961"/>
      <c r="M348" s="53">
        <f t="shared" si="61"/>
        <v>1</v>
      </c>
      <c r="N348" s="961"/>
      <c r="O348" s="53">
        <f t="shared" si="62"/>
        <v>1</v>
      </c>
      <c r="P348" s="961"/>
      <c r="Q348" s="53">
        <f t="shared" si="63"/>
        <v>1</v>
      </c>
      <c r="R348" s="489">
        <f t="shared" si="64"/>
        <v>0</v>
      </c>
      <c r="S348" s="798">
        <f t="shared" si="55"/>
        <v>0</v>
      </c>
    </row>
    <row r="349" spans="1:19">
      <c r="A349" s="963"/>
      <c r="B349" s="137"/>
      <c r="C349" s="53">
        <f t="shared" si="56"/>
        <v>1</v>
      </c>
      <c r="D349" s="961"/>
      <c r="E349" s="53">
        <f t="shared" si="57"/>
        <v>0</v>
      </c>
      <c r="F349" s="961"/>
      <c r="G349" s="53">
        <f t="shared" si="58"/>
        <v>1</v>
      </c>
      <c r="H349" s="961"/>
      <c r="I349" s="53">
        <f t="shared" si="59"/>
        <v>1</v>
      </c>
      <c r="J349" s="961"/>
      <c r="K349" s="53">
        <f t="shared" si="60"/>
        <v>1</v>
      </c>
      <c r="L349" s="961"/>
      <c r="M349" s="53">
        <f t="shared" si="61"/>
        <v>1</v>
      </c>
      <c r="N349" s="961"/>
      <c r="O349" s="53">
        <f t="shared" si="62"/>
        <v>1</v>
      </c>
      <c r="P349" s="961"/>
      <c r="Q349" s="53">
        <f t="shared" si="63"/>
        <v>1</v>
      </c>
      <c r="R349" s="489">
        <f t="shared" si="64"/>
        <v>0</v>
      </c>
      <c r="S349" s="798">
        <f t="shared" si="55"/>
        <v>0</v>
      </c>
    </row>
    <row r="350" spans="1:19">
      <c r="A350" s="963"/>
      <c r="B350" s="137"/>
      <c r="C350" s="53">
        <f t="shared" si="56"/>
        <v>1</v>
      </c>
      <c r="D350" s="961"/>
      <c r="E350" s="53">
        <f t="shared" si="57"/>
        <v>0</v>
      </c>
      <c r="F350" s="961"/>
      <c r="G350" s="53">
        <f t="shared" si="58"/>
        <v>1</v>
      </c>
      <c r="H350" s="961"/>
      <c r="I350" s="53">
        <f t="shared" si="59"/>
        <v>1</v>
      </c>
      <c r="J350" s="961"/>
      <c r="K350" s="53">
        <f t="shared" si="60"/>
        <v>1</v>
      </c>
      <c r="L350" s="961"/>
      <c r="M350" s="53">
        <f t="shared" si="61"/>
        <v>1</v>
      </c>
      <c r="N350" s="961"/>
      <c r="O350" s="53">
        <f t="shared" si="62"/>
        <v>1</v>
      </c>
      <c r="P350" s="961"/>
      <c r="Q350" s="53">
        <f t="shared" si="63"/>
        <v>1</v>
      </c>
      <c r="R350" s="489">
        <f t="shared" si="64"/>
        <v>0</v>
      </c>
      <c r="S350" s="798">
        <f t="shared" si="55"/>
        <v>0</v>
      </c>
    </row>
    <row r="351" spans="1:19">
      <c r="A351" s="963"/>
      <c r="B351" s="137"/>
      <c r="C351" s="53">
        <f t="shared" si="56"/>
        <v>1</v>
      </c>
      <c r="D351" s="961"/>
      <c r="E351" s="53">
        <f t="shared" si="57"/>
        <v>0</v>
      </c>
      <c r="F351" s="961"/>
      <c r="G351" s="53">
        <f t="shared" si="58"/>
        <v>1</v>
      </c>
      <c r="H351" s="961"/>
      <c r="I351" s="53">
        <f t="shared" si="59"/>
        <v>1</v>
      </c>
      <c r="J351" s="961"/>
      <c r="K351" s="53">
        <f t="shared" si="60"/>
        <v>1</v>
      </c>
      <c r="L351" s="961"/>
      <c r="M351" s="53">
        <f t="shared" si="61"/>
        <v>1</v>
      </c>
      <c r="N351" s="961"/>
      <c r="O351" s="53">
        <f t="shared" si="62"/>
        <v>1</v>
      </c>
      <c r="P351" s="961"/>
      <c r="Q351" s="53">
        <f t="shared" si="63"/>
        <v>1</v>
      </c>
      <c r="R351" s="489">
        <f t="shared" si="64"/>
        <v>0</v>
      </c>
      <c r="S351" s="798">
        <f t="shared" si="55"/>
        <v>0</v>
      </c>
    </row>
    <row r="352" spans="1:19">
      <c r="A352" s="963"/>
      <c r="B352" s="137"/>
      <c r="C352" s="53">
        <f t="shared" si="56"/>
        <v>1</v>
      </c>
      <c r="D352" s="961"/>
      <c r="E352" s="53">
        <f t="shared" si="57"/>
        <v>0</v>
      </c>
      <c r="F352" s="961"/>
      <c r="G352" s="53">
        <f t="shared" si="58"/>
        <v>1</v>
      </c>
      <c r="H352" s="961"/>
      <c r="I352" s="53">
        <f t="shared" si="59"/>
        <v>1</v>
      </c>
      <c r="J352" s="961"/>
      <c r="K352" s="53">
        <f t="shared" si="60"/>
        <v>1</v>
      </c>
      <c r="L352" s="961"/>
      <c r="M352" s="53">
        <f t="shared" si="61"/>
        <v>1</v>
      </c>
      <c r="N352" s="961"/>
      <c r="O352" s="53">
        <f t="shared" si="62"/>
        <v>1</v>
      </c>
      <c r="P352" s="961"/>
      <c r="Q352" s="53">
        <f t="shared" si="63"/>
        <v>1</v>
      </c>
      <c r="R352" s="489">
        <f t="shared" si="64"/>
        <v>0</v>
      </c>
      <c r="S352" s="798">
        <f t="shared" si="55"/>
        <v>0</v>
      </c>
    </row>
    <row r="353" spans="1:19">
      <c r="A353" s="963"/>
      <c r="B353" s="137"/>
      <c r="C353" s="53">
        <f t="shared" si="56"/>
        <v>1</v>
      </c>
      <c r="D353" s="961"/>
      <c r="E353" s="53">
        <f t="shared" si="57"/>
        <v>0</v>
      </c>
      <c r="F353" s="961"/>
      <c r="G353" s="53">
        <f t="shared" si="58"/>
        <v>1</v>
      </c>
      <c r="H353" s="961"/>
      <c r="I353" s="53">
        <f t="shared" si="59"/>
        <v>1</v>
      </c>
      <c r="J353" s="961"/>
      <c r="K353" s="53">
        <f t="shared" si="60"/>
        <v>1</v>
      </c>
      <c r="L353" s="961"/>
      <c r="M353" s="53">
        <f t="shared" si="61"/>
        <v>1</v>
      </c>
      <c r="N353" s="961"/>
      <c r="O353" s="53">
        <f t="shared" si="62"/>
        <v>1</v>
      </c>
      <c r="P353" s="961"/>
      <c r="Q353" s="53">
        <f t="shared" si="63"/>
        <v>1</v>
      </c>
      <c r="R353" s="489">
        <f t="shared" si="64"/>
        <v>0</v>
      </c>
      <c r="S353" s="798">
        <f t="shared" si="55"/>
        <v>0</v>
      </c>
    </row>
    <row r="354" spans="1:19">
      <c r="A354" s="963"/>
      <c r="B354" s="137"/>
      <c r="C354" s="53">
        <f t="shared" si="56"/>
        <v>1</v>
      </c>
      <c r="D354" s="961"/>
      <c r="E354" s="53">
        <f t="shared" si="57"/>
        <v>0</v>
      </c>
      <c r="F354" s="961"/>
      <c r="G354" s="53">
        <f t="shared" si="58"/>
        <v>1</v>
      </c>
      <c r="H354" s="961"/>
      <c r="I354" s="53">
        <f t="shared" si="59"/>
        <v>1</v>
      </c>
      <c r="J354" s="961"/>
      <c r="K354" s="53">
        <f t="shared" si="60"/>
        <v>1</v>
      </c>
      <c r="L354" s="961"/>
      <c r="M354" s="53">
        <f t="shared" si="61"/>
        <v>1</v>
      </c>
      <c r="N354" s="961"/>
      <c r="O354" s="53">
        <f t="shared" si="62"/>
        <v>1</v>
      </c>
      <c r="P354" s="961"/>
      <c r="Q354" s="53">
        <f t="shared" si="63"/>
        <v>1</v>
      </c>
      <c r="R354" s="489">
        <f t="shared" si="64"/>
        <v>0</v>
      </c>
      <c r="S354" s="798">
        <f t="shared" si="55"/>
        <v>0</v>
      </c>
    </row>
    <row r="355" spans="1:19">
      <c r="A355" s="963"/>
      <c r="B355" s="137"/>
      <c r="C355" s="53">
        <f t="shared" si="56"/>
        <v>1</v>
      </c>
      <c r="D355" s="961"/>
      <c r="E355" s="53">
        <f t="shared" si="57"/>
        <v>0</v>
      </c>
      <c r="F355" s="961"/>
      <c r="G355" s="53">
        <f t="shared" si="58"/>
        <v>1</v>
      </c>
      <c r="H355" s="961"/>
      <c r="I355" s="53">
        <f t="shared" si="59"/>
        <v>1</v>
      </c>
      <c r="J355" s="961"/>
      <c r="K355" s="53">
        <f t="shared" si="60"/>
        <v>1</v>
      </c>
      <c r="L355" s="961"/>
      <c r="M355" s="53">
        <f t="shared" si="61"/>
        <v>1</v>
      </c>
      <c r="N355" s="961"/>
      <c r="O355" s="53">
        <f t="shared" si="62"/>
        <v>1</v>
      </c>
      <c r="P355" s="961"/>
      <c r="Q355" s="53">
        <f t="shared" si="63"/>
        <v>1</v>
      </c>
      <c r="R355" s="489">
        <f t="shared" si="64"/>
        <v>0</v>
      </c>
      <c r="S355" s="798">
        <f t="shared" si="55"/>
        <v>0</v>
      </c>
    </row>
    <row r="356" spans="1:19">
      <c r="A356" s="963"/>
      <c r="B356" s="137"/>
      <c r="C356" s="53">
        <f t="shared" si="56"/>
        <v>1</v>
      </c>
      <c r="D356" s="961"/>
      <c r="E356" s="53">
        <f t="shared" si="57"/>
        <v>0</v>
      </c>
      <c r="F356" s="961"/>
      <c r="G356" s="53">
        <f t="shared" si="58"/>
        <v>1</v>
      </c>
      <c r="H356" s="961"/>
      <c r="I356" s="53">
        <f t="shared" si="59"/>
        <v>1</v>
      </c>
      <c r="J356" s="961"/>
      <c r="K356" s="53">
        <f t="shared" si="60"/>
        <v>1</v>
      </c>
      <c r="L356" s="961"/>
      <c r="M356" s="53">
        <f t="shared" si="61"/>
        <v>1</v>
      </c>
      <c r="N356" s="961"/>
      <c r="O356" s="53">
        <f t="shared" si="62"/>
        <v>1</v>
      </c>
      <c r="P356" s="961"/>
      <c r="Q356" s="53">
        <f t="shared" si="63"/>
        <v>1</v>
      </c>
      <c r="R356" s="489">
        <f t="shared" si="64"/>
        <v>0</v>
      </c>
      <c r="S356" s="798">
        <f t="shared" si="55"/>
        <v>0</v>
      </c>
    </row>
    <row r="357" spans="1:19">
      <c r="A357" s="963"/>
      <c r="B357" s="137"/>
      <c r="C357" s="53">
        <f t="shared" si="56"/>
        <v>1</v>
      </c>
      <c r="D357" s="961"/>
      <c r="E357" s="53">
        <f t="shared" si="57"/>
        <v>0</v>
      </c>
      <c r="F357" s="961"/>
      <c r="G357" s="53">
        <f t="shared" si="58"/>
        <v>1</v>
      </c>
      <c r="H357" s="961"/>
      <c r="I357" s="53">
        <f t="shared" si="59"/>
        <v>1</v>
      </c>
      <c r="J357" s="961"/>
      <c r="K357" s="53">
        <f t="shared" si="60"/>
        <v>1</v>
      </c>
      <c r="L357" s="961"/>
      <c r="M357" s="53">
        <f t="shared" si="61"/>
        <v>1</v>
      </c>
      <c r="N357" s="961"/>
      <c r="O357" s="53">
        <f t="shared" si="62"/>
        <v>1</v>
      </c>
      <c r="P357" s="961"/>
      <c r="Q357" s="53">
        <f t="shared" si="63"/>
        <v>1</v>
      </c>
      <c r="R357" s="489">
        <f t="shared" si="64"/>
        <v>0</v>
      </c>
      <c r="S357" s="798">
        <f t="shared" si="55"/>
        <v>0</v>
      </c>
    </row>
    <row r="358" spans="1:19">
      <c r="A358" s="963"/>
      <c r="B358" s="137"/>
      <c r="C358" s="53">
        <f t="shared" si="56"/>
        <v>1</v>
      </c>
      <c r="D358" s="961"/>
      <c r="E358" s="53">
        <f t="shared" si="57"/>
        <v>0</v>
      </c>
      <c r="F358" s="961"/>
      <c r="G358" s="53">
        <f t="shared" si="58"/>
        <v>1</v>
      </c>
      <c r="H358" s="961"/>
      <c r="I358" s="53">
        <f t="shared" si="59"/>
        <v>1</v>
      </c>
      <c r="J358" s="961"/>
      <c r="K358" s="53">
        <f t="shared" si="60"/>
        <v>1</v>
      </c>
      <c r="L358" s="961"/>
      <c r="M358" s="53">
        <f t="shared" si="61"/>
        <v>1</v>
      </c>
      <c r="N358" s="961"/>
      <c r="O358" s="53">
        <f t="shared" si="62"/>
        <v>1</v>
      </c>
      <c r="P358" s="961"/>
      <c r="Q358" s="53">
        <f t="shared" si="63"/>
        <v>1</v>
      </c>
      <c r="R358" s="489">
        <f t="shared" si="64"/>
        <v>0</v>
      </c>
      <c r="S358" s="798">
        <f t="shared" si="55"/>
        <v>0</v>
      </c>
    </row>
    <row r="359" spans="1:19">
      <c r="A359" s="963"/>
      <c r="B359" s="137"/>
      <c r="C359" s="53">
        <f t="shared" si="56"/>
        <v>1</v>
      </c>
      <c r="D359" s="961"/>
      <c r="E359" s="53">
        <f t="shared" si="57"/>
        <v>0</v>
      </c>
      <c r="F359" s="961"/>
      <c r="G359" s="53">
        <f t="shared" si="58"/>
        <v>1</v>
      </c>
      <c r="H359" s="961"/>
      <c r="I359" s="53">
        <f t="shared" si="59"/>
        <v>1</v>
      </c>
      <c r="J359" s="961"/>
      <c r="K359" s="53">
        <f t="shared" si="60"/>
        <v>1</v>
      </c>
      <c r="L359" s="961"/>
      <c r="M359" s="53">
        <f t="shared" si="61"/>
        <v>1</v>
      </c>
      <c r="N359" s="961"/>
      <c r="O359" s="53">
        <f t="shared" si="62"/>
        <v>1</v>
      </c>
      <c r="P359" s="961"/>
      <c r="Q359" s="53">
        <f t="shared" si="63"/>
        <v>1</v>
      </c>
      <c r="R359" s="489">
        <f t="shared" si="64"/>
        <v>0</v>
      </c>
      <c r="S359" s="798">
        <f t="shared" si="55"/>
        <v>0</v>
      </c>
    </row>
    <row r="360" spans="1:19">
      <c r="A360" s="963"/>
      <c r="B360" s="137"/>
      <c r="C360" s="53">
        <f t="shared" si="56"/>
        <v>1</v>
      </c>
      <c r="D360" s="961"/>
      <c r="E360" s="53">
        <f t="shared" si="57"/>
        <v>0</v>
      </c>
      <c r="F360" s="961"/>
      <c r="G360" s="53">
        <f t="shared" si="58"/>
        <v>1</v>
      </c>
      <c r="H360" s="961"/>
      <c r="I360" s="53">
        <f t="shared" si="59"/>
        <v>1</v>
      </c>
      <c r="J360" s="961"/>
      <c r="K360" s="53">
        <f t="shared" si="60"/>
        <v>1</v>
      </c>
      <c r="L360" s="961"/>
      <c r="M360" s="53">
        <f t="shared" si="61"/>
        <v>1</v>
      </c>
      <c r="N360" s="961"/>
      <c r="O360" s="53">
        <f t="shared" si="62"/>
        <v>1</v>
      </c>
      <c r="P360" s="961"/>
      <c r="Q360" s="53">
        <f t="shared" si="63"/>
        <v>1</v>
      </c>
      <c r="R360" s="489">
        <f t="shared" si="64"/>
        <v>0</v>
      </c>
      <c r="S360" s="798">
        <f t="shared" si="55"/>
        <v>0</v>
      </c>
    </row>
    <row r="361" spans="1:19">
      <c r="A361" s="963"/>
      <c r="B361" s="137"/>
      <c r="C361" s="53">
        <f t="shared" si="56"/>
        <v>1</v>
      </c>
      <c r="D361" s="961"/>
      <c r="E361" s="53">
        <f t="shared" si="57"/>
        <v>0</v>
      </c>
      <c r="F361" s="961"/>
      <c r="G361" s="53">
        <f t="shared" si="58"/>
        <v>1</v>
      </c>
      <c r="H361" s="961"/>
      <c r="I361" s="53">
        <f t="shared" si="59"/>
        <v>1</v>
      </c>
      <c r="J361" s="961"/>
      <c r="K361" s="53">
        <f t="shared" si="60"/>
        <v>1</v>
      </c>
      <c r="L361" s="961"/>
      <c r="M361" s="53">
        <f t="shared" si="61"/>
        <v>1</v>
      </c>
      <c r="N361" s="961"/>
      <c r="O361" s="53">
        <f t="shared" si="62"/>
        <v>1</v>
      </c>
      <c r="P361" s="961"/>
      <c r="Q361" s="53">
        <f t="shared" si="63"/>
        <v>1</v>
      </c>
      <c r="R361" s="489">
        <f t="shared" si="64"/>
        <v>0</v>
      </c>
      <c r="S361" s="798">
        <f t="shared" si="55"/>
        <v>0</v>
      </c>
    </row>
    <row r="362" spans="1:19">
      <c r="A362" s="963"/>
      <c r="B362" s="137"/>
      <c r="C362" s="53">
        <f t="shared" si="56"/>
        <v>1</v>
      </c>
      <c r="D362" s="961"/>
      <c r="E362" s="53">
        <f t="shared" si="57"/>
        <v>0</v>
      </c>
      <c r="F362" s="961"/>
      <c r="G362" s="53">
        <f t="shared" si="58"/>
        <v>1</v>
      </c>
      <c r="H362" s="961"/>
      <c r="I362" s="53">
        <f t="shared" si="59"/>
        <v>1</v>
      </c>
      <c r="J362" s="961"/>
      <c r="K362" s="53">
        <f t="shared" si="60"/>
        <v>1</v>
      </c>
      <c r="L362" s="961"/>
      <c r="M362" s="53">
        <f t="shared" si="61"/>
        <v>1</v>
      </c>
      <c r="N362" s="961"/>
      <c r="O362" s="53">
        <f t="shared" si="62"/>
        <v>1</v>
      </c>
      <c r="P362" s="961"/>
      <c r="Q362" s="53">
        <f t="shared" si="63"/>
        <v>1</v>
      </c>
      <c r="R362" s="489">
        <f t="shared" si="64"/>
        <v>0</v>
      </c>
      <c r="S362" s="798">
        <f t="shared" si="55"/>
        <v>0</v>
      </c>
    </row>
    <row r="363" spans="1:19">
      <c r="A363" s="963"/>
      <c r="B363" s="137"/>
      <c r="C363" s="53">
        <f t="shared" si="56"/>
        <v>1</v>
      </c>
      <c r="D363" s="961"/>
      <c r="E363" s="53">
        <f t="shared" si="57"/>
        <v>0</v>
      </c>
      <c r="F363" s="961"/>
      <c r="G363" s="53">
        <f t="shared" si="58"/>
        <v>1</v>
      </c>
      <c r="H363" s="961"/>
      <c r="I363" s="53">
        <f t="shared" si="59"/>
        <v>1</v>
      </c>
      <c r="J363" s="961"/>
      <c r="K363" s="53">
        <f t="shared" si="60"/>
        <v>1</v>
      </c>
      <c r="L363" s="961"/>
      <c r="M363" s="53">
        <f t="shared" si="61"/>
        <v>1</v>
      </c>
      <c r="N363" s="961"/>
      <c r="O363" s="53">
        <f t="shared" si="62"/>
        <v>1</v>
      </c>
      <c r="P363" s="961"/>
      <c r="Q363" s="53">
        <f t="shared" si="63"/>
        <v>1</v>
      </c>
      <c r="R363" s="489">
        <f t="shared" si="64"/>
        <v>0</v>
      </c>
      <c r="S363" s="798">
        <f t="shared" si="55"/>
        <v>0</v>
      </c>
    </row>
    <row r="364" spans="1:19">
      <c r="A364" s="963"/>
      <c r="B364" s="137"/>
      <c r="C364" s="53">
        <f t="shared" si="56"/>
        <v>1</v>
      </c>
      <c r="D364" s="961"/>
      <c r="E364" s="53">
        <f t="shared" si="57"/>
        <v>0</v>
      </c>
      <c r="F364" s="961"/>
      <c r="G364" s="53">
        <f t="shared" si="58"/>
        <v>1</v>
      </c>
      <c r="H364" s="961"/>
      <c r="I364" s="53">
        <f t="shared" si="59"/>
        <v>1</v>
      </c>
      <c r="J364" s="961"/>
      <c r="K364" s="53">
        <f t="shared" si="60"/>
        <v>1</v>
      </c>
      <c r="L364" s="961"/>
      <c r="M364" s="53">
        <f t="shared" si="61"/>
        <v>1</v>
      </c>
      <c r="N364" s="961"/>
      <c r="O364" s="53">
        <f t="shared" si="62"/>
        <v>1</v>
      </c>
      <c r="P364" s="961"/>
      <c r="Q364" s="53">
        <f t="shared" si="63"/>
        <v>1</v>
      </c>
      <c r="R364" s="489">
        <f t="shared" si="64"/>
        <v>0</v>
      </c>
      <c r="S364" s="798">
        <f t="shared" si="55"/>
        <v>0</v>
      </c>
    </row>
    <row r="365" spans="1:19">
      <c r="A365" s="963"/>
      <c r="B365" s="137"/>
      <c r="C365" s="53">
        <f t="shared" si="56"/>
        <v>1</v>
      </c>
      <c r="D365" s="961"/>
      <c r="E365" s="53">
        <f t="shared" si="57"/>
        <v>0</v>
      </c>
      <c r="F365" s="961"/>
      <c r="G365" s="53">
        <f t="shared" si="58"/>
        <v>1</v>
      </c>
      <c r="H365" s="961"/>
      <c r="I365" s="53">
        <f t="shared" si="59"/>
        <v>1</v>
      </c>
      <c r="J365" s="961"/>
      <c r="K365" s="53">
        <f t="shared" si="60"/>
        <v>1</v>
      </c>
      <c r="L365" s="961"/>
      <c r="M365" s="53">
        <f t="shared" si="61"/>
        <v>1</v>
      </c>
      <c r="N365" s="961"/>
      <c r="O365" s="53">
        <f t="shared" si="62"/>
        <v>1</v>
      </c>
      <c r="P365" s="961"/>
      <c r="Q365" s="53">
        <f t="shared" si="63"/>
        <v>1</v>
      </c>
      <c r="R365" s="489">
        <f t="shared" si="64"/>
        <v>0</v>
      </c>
      <c r="S365" s="798">
        <f t="shared" si="55"/>
        <v>0</v>
      </c>
    </row>
    <row r="366" spans="1:19">
      <c r="A366" s="963"/>
      <c r="B366" s="137"/>
      <c r="C366" s="53">
        <f t="shared" si="56"/>
        <v>1</v>
      </c>
      <c r="D366" s="961"/>
      <c r="E366" s="53">
        <f t="shared" si="57"/>
        <v>0</v>
      </c>
      <c r="F366" s="961"/>
      <c r="G366" s="53">
        <f t="shared" si="58"/>
        <v>1</v>
      </c>
      <c r="H366" s="961"/>
      <c r="I366" s="53">
        <f t="shared" si="59"/>
        <v>1</v>
      </c>
      <c r="J366" s="961"/>
      <c r="K366" s="53">
        <f t="shared" si="60"/>
        <v>1</v>
      </c>
      <c r="L366" s="961"/>
      <c r="M366" s="53">
        <f t="shared" si="61"/>
        <v>1</v>
      </c>
      <c r="N366" s="961"/>
      <c r="O366" s="53">
        <f t="shared" si="62"/>
        <v>1</v>
      </c>
      <c r="P366" s="961"/>
      <c r="Q366" s="53">
        <f t="shared" si="63"/>
        <v>1</v>
      </c>
      <c r="R366" s="489">
        <f t="shared" si="64"/>
        <v>0</v>
      </c>
      <c r="S366" s="798">
        <f t="shared" si="55"/>
        <v>0</v>
      </c>
    </row>
    <row r="367" spans="1:19">
      <c r="A367" s="963"/>
      <c r="B367" s="137"/>
      <c r="C367" s="53">
        <f t="shared" si="56"/>
        <v>1</v>
      </c>
      <c r="D367" s="961"/>
      <c r="E367" s="53">
        <f t="shared" si="57"/>
        <v>0</v>
      </c>
      <c r="F367" s="961"/>
      <c r="G367" s="53">
        <f t="shared" si="58"/>
        <v>1</v>
      </c>
      <c r="H367" s="961"/>
      <c r="I367" s="53">
        <f t="shared" si="59"/>
        <v>1</v>
      </c>
      <c r="J367" s="961"/>
      <c r="K367" s="53">
        <f t="shared" si="60"/>
        <v>1</v>
      </c>
      <c r="L367" s="961"/>
      <c r="M367" s="53">
        <f t="shared" si="61"/>
        <v>1</v>
      </c>
      <c r="N367" s="961"/>
      <c r="O367" s="53">
        <f t="shared" si="62"/>
        <v>1</v>
      </c>
      <c r="P367" s="961"/>
      <c r="Q367" s="53">
        <f t="shared" si="63"/>
        <v>1</v>
      </c>
      <c r="R367" s="489">
        <f t="shared" si="64"/>
        <v>0</v>
      </c>
      <c r="S367" s="798">
        <f t="shared" si="55"/>
        <v>0</v>
      </c>
    </row>
    <row r="368" spans="1:19">
      <c r="A368" s="963"/>
      <c r="B368" s="137"/>
      <c r="C368" s="53">
        <f t="shared" si="56"/>
        <v>1</v>
      </c>
      <c r="D368" s="961"/>
      <c r="E368" s="53">
        <f t="shared" si="57"/>
        <v>0</v>
      </c>
      <c r="F368" s="961"/>
      <c r="G368" s="53">
        <f t="shared" si="58"/>
        <v>1</v>
      </c>
      <c r="H368" s="961"/>
      <c r="I368" s="53">
        <f t="shared" si="59"/>
        <v>1</v>
      </c>
      <c r="J368" s="961"/>
      <c r="K368" s="53">
        <f t="shared" si="60"/>
        <v>1</v>
      </c>
      <c r="L368" s="961"/>
      <c r="M368" s="53">
        <f t="shared" si="61"/>
        <v>1</v>
      </c>
      <c r="N368" s="961"/>
      <c r="O368" s="53">
        <f t="shared" si="62"/>
        <v>1</v>
      </c>
      <c r="P368" s="961"/>
      <c r="Q368" s="53">
        <f t="shared" si="63"/>
        <v>1</v>
      </c>
      <c r="R368" s="489">
        <f t="shared" si="64"/>
        <v>0</v>
      </c>
      <c r="S368" s="798">
        <f t="shared" si="55"/>
        <v>0</v>
      </c>
    </row>
    <row r="369" spans="1:19">
      <c r="A369" s="963"/>
      <c r="B369" s="137"/>
      <c r="C369" s="53">
        <f t="shared" si="56"/>
        <v>1</v>
      </c>
      <c r="D369" s="961"/>
      <c r="E369" s="53">
        <f t="shared" si="57"/>
        <v>0</v>
      </c>
      <c r="F369" s="961"/>
      <c r="G369" s="53">
        <f t="shared" si="58"/>
        <v>1</v>
      </c>
      <c r="H369" s="961"/>
      <c r="I369" s="53">
        <f t="shared" si="59"/>
        <v>1</v>
      </c>
      <c r="J369" s="961"/>
      <c r="K369" s="53">
        <f t="shared" si="60"/>
        <v>1</v>
      </c>
      <c r="L369" s="961"/>
      <c r="M369" s="53">
        <f t="shared" si="61"/>
        <v>1</v>
      </c>
      <c r="N369" s="961"/>
      <c r="O369" s="53">
        <f t="shared" si="62"/>
        <v>1</v>
      </c>
      <c r="P369" s="961"/>
      <c r="Q369" s="53">
        <f t="shared" si="63"/>
        <v>1</v>
      </c>
      <c r="R369" s="489">
        <f t="shared" si="64"/>
        <v>0</v>
      </c>
      <c r="S369" s="798">
        <f t="shared" si="55"/>
        <v>0</v>
      </c>
    </row>
    <row r="370" spans="1:19">
      <c r="A370" s="963"/>
      <c r="B370" s="137"/>
      <c r="C370" s="53">
        <f t="shared" si="56"/>
        <v>1</v>
      </c>
      <c r="D370" s="961"/>
      <c r="E370" s="53">
        <f t="shared" si="57"/>
        <v>0</v>
      </c>
      <c r="F370" s="961"/>
      <c r="G370" s="53">
        <f t="shared" si="58"/>
        <v>1</v>
      </c>
      <c r="H370" s="961"/>
      <c r="I370" s="53">
        <f t="shared" si="59"/>
        <v>1</v>
      </c>
      <c r="J370" s="961"/>
      <c r="K370" s="53">
        <f t="shared" si="60"/>
        <v>1</v>
      </c>
      <c r="L370" s="961"/>
      <c r="M370" s="53">
        <f t="shared" si="61"/>
        <v>1</v>
      </c>
      <c r="N370" s="961"/>
      <c r="O370" s="53">
        <f t="shared" si="62"/>
        <v>1</v>
      </c>
      <c r="P370" s="961"/>
      <c r="Q370" s="53">
        <f t="shared" si="63"/>
        <v>1</v>
      </c>
      <c r="R370" s="489">
        <f t="shared" si="64"/>
        <v>0</v>
      </c>
      <c r="S370" s="798">
        <f t="shared" si="55"/>
        <v>0</v>
      </c>
    </row>
    <row r="371" spans="1:19">
      <c r="A371" s="963"/>
      <c r="B371" s="137"/>
      <c r="C371" s="53">
        <f t="shared" si="56"/>
        <v>1</v>
      </c>
      <c r="D371" s="961"/>
      <c r="E371" s="53">
        <f t="shared" si="57"/>
        <v>0</v>
      </c>
      <c r="F371" s="961"/>
      <c r="G371" s="53">
        <f t="shared" si="58"/>
        <v>1</v>
      </c>
      <c r="H371" s="961"/>
      <c r="I371" s="53">
        <f t="shared" si="59"/>
        <v>1</v>
      </c>
      <c r="J371" s="961"/>
      <c r="K371" s="53">
        <f t="shared" si="60"/>
        <v>1</v>
      </c>
      <c r="L371" s="961"/>
      <c r="M371" s="53">
        <f t="shared" si="61"/>
        <v>1</v>
      </c>
      <c r="N371" s="961"/>
      <c r="O371" s="53">
        <f t="shared" si="62"/>
        <v>1</v>
      </c>
      <c r="P371" s="961"/>
      <c r="Q371" s="53">
        <f t="shared" si="63"/>
        <v>1</v>
      </c>
      <c r="R371" s="489">
        <f t="shared" si="64"/>
        <v>0</v>
      </c>
      <c r="S371" s="798">
        <f t="shared" si="55"/>
        <v>0</v>
      </c>
    </row>
    <row r="372" spans="1:19">
      <c r="A372" s="963"/>
      <c r="B372" s="137"/>
      <c r="C372" s="53">
        <f t="shared" si="56"/>
        <v>1</v>
      </c>
      <c r="D372" s="961"/>
      <c r="E372" s="53">
        <f t="shared" si="57"/>
        <v>0</v>
      </c>
      <c r="F372" s="961"/>
      <c r="G372" s="53">
        <f t="shared" si="58"/>
        <v>1</v>
      </c>
      <c r="H372" s="961"/>
      <c r="I372" s="53">
        <f t="shared" si="59"/>
        <v>1</v>
      </c>
      <c r="J372" s="961"/>
      <c r="K372" s="53">
        <f t="shared" si="60"/>
        <v>1</v>
      </c>
      <c r="L372" s="961"/>
      <c r="M372" s="53">
        <f t="shared" si="61"/>
        <v>1</v>
      </c>
      <c r="N372" s="961"/>
      <c r="O372" s="53">
        <f t="shared" si="62"/>
        <v>1</v>
      </c>
      <c r="P372" s="961"/>
      <c r="Q372" s="53">
        <f t="shared" si="63"/>
        <v>1</v>
      </c>
      <c r="R372" s="489">
        <f t="shared" si="64"/>
        <v>0</v>
      </c>
      <c r="S372" s="798">
        <f t="shared" si="55"/>
        <v>0</v>
      </c>
    </row>
    <row r="373" spans="1:19">
      <c r="A373" s="963"/>
      <c r="B373" s="137"/>
      <c r="C373" s="53">
        <f t="shared" si="56"/>
        <v>1</v>
      </c>
      <c r="D373" s="961"/>
      <c r="E373" s="53">
        <f t="shared" si="57"/>
        <v>0</v>
      </c>
      <c r="F373" s="961"/>
      <c r="G373" s="53">
        <f t="shared" si="58"/>
        <v>1</v>
      </c>
      <c r="H373" s="961"/>
      <c r="I373" s="53">
        <f t="shared" si="59"/>
        <v>1</v>
      </c>
      <c r="J373" s="961"/>
      <c r="K373" s="53">
        <f t="shared" si="60"/>
        <v>1</v>
      </c>
      <c r="L373" s="961"/>
      <c r="M373" s="53">
        <f t="shared" si="61"/>
        <v>1</v>
      </c>
      <c r="N373" s="961"/>
      <c r="O373" s="53">
        <f t="shared" si="62"/>
        <v>1</v>
      </c>
      <c r="P373" s="961"/>
      <c r="Q373" s="53">
        <f t="shared" si="63"/>
        <v>1</v>
      </c>
      <c r="R373" s="489">
        <f t="shared" si="64"/>
        <v>0</v>
      </c>
      <c r="S373" s="798">
        <f t="shared" si="55"/>
        <v>0</v>
      </c>
    </row>
    <row r="374" spans="1:19">
      <c r="A374" s="963"/>
      <c r="B374" s="137"/>
      <c r="C374" s="53">
        <f t="shared" si="56"/>
        <v>1</v>
      </c>
      <c r="D374" s="961"/>
      <c r="E374" s="53">
        <f t="shared" si="57"/>
        <v>0</v>
      </c>
      <c r="F374" s="961"/>
      <c r="G374" s="53">
        <f t="shared" si="58"/>
        <v>1</v>
      </c>
      <c r="H374" s="961"/>
      <c r="I374" s="53">
        <f t="shared" si="59"/>
        <v>1</v>
      </c>
      <c r="J374" s="961"/>
      <c r="K374" s="53">
        <f t="shared" si="60"/>
        <v>1</v>
      </c>
      <c r="L374" s="961"/>
      <c r="M374" s="53">
        <f t="shared" si="61"/>
        <v>1</v>
      </c>
      <c r="N374" s="961"/>
      <c r="O374" s="53">
        <f t="shared" si="62"/>
        <v>1</v>
      </c>
      <c r="P374" s="961"/>
      <c r="Q374" s="53">
        <f t="shared" si="63"/>
        <v>1</v>
      </c>
      <c r="R374" s="489">
        <f t="shared" si="64"/>
        <v>0</v>
      </c>
      <c r="S374" s="798">
        <f t="shared" si="55"/>
        <v>0</v>
      </c>
    </row>
    <row r="375" spans="1:19">
      <c r="A375" s="963"/>
      <c r="B375" s="137"/>
      <c r="C375" s="53">
        <f t="shared" si="56"/>
        <v>1</v>
      </c>
      <c r="D375" s="961"/>
      <c r="E375" s="53">
        <f t="shared" si="57"/>
        <v>0</v>
      </c>
      <c r="F375" s="961"/>
      <c r="G375" s="53">
        <f t="shared" si="58"/>
        <v>1</v>
      </c>
      <c r="H375" s="961"/>
      <c r="I375" s="53">
        <f t="shared" si="59"/>
        <v>1</v>
      </c>
      <c r="J375" s="961"/>
      <c r="K375" s="53">
        <f t="shared" si="60"/>
        <v>1</v>
      </c>
      <c r="L375" s="961"/>
      <c r="M375" s="53">
        <f t="shared" si="61"/>
        <v>1</v>
      </c>
      <c r="N375" s="961"/>
      <c r="O375" s="53">
        <f t="shared" si="62"/>
        <v>1</v>
      </c>
      <c r="P375" s="961"/>
      <c r="Q375" s="53">
        <f t="shared" si="63"/>
        <v>1</v>
      </c>
      <c r="R375" s="489">
        <f t="shared" si="64"/>
        <v>0</v>
      </c>
      <c r="S375" s="798">
        <f t="shared" si="55"/>
        <v>0</v>
      </c>
    </row>
    <row r="376" spans="1:19">
      <c r="A376" s="963"/>
      <c r="B376" s="137"/>
      <c r="C376" s="53">
        <f t="shared" si="56"/>
        <v>1</v>
      </c>
      <c r="D376" s="961"/>
      <c r="E376" s="53">
        <f t="shared" si="57"/>
        <v>0</v>
      </c>
      <c r="F376" s="961"/>
      <c r="G376" s="53">
        <f t="shared" si="58"/>
        <v>1</v>
      </c>
      <c r="H376" s="961"/>
      <c r="I376" s="53">
        <f t="shared" si="59"/>
        <v>1</v>
      </c>
      <c r="J376" s="961"/>
      <c r="K376" s="53">
        <f t="shared" si="60"/>
        <v>1</v>
      </c>
      <c r="L376" s="961"/>
      <c r="M376" s="53">
        <f t="shared" si="61"/>
        <v>1</v>
      </c>
      <c r="N376" s="961"/>
      <c r="O376" s="53">
        <f t="shared" si="62"/>
        <v>1</v>
      </c>
      <c r="P376" s="961"/>
      <c r="Q376" s="53">
        <f t="shared" si="63"/>
        <v>1</v>
      </c>
      <c r="R376" s="489">
        <f t="shared" si="64"/>
        <v>0</v>
      </c>
      <c r="S376" s="798">
        <f t="shared" si="55"/>
        <v>0</v>
      </c>
    </row>
    <row r="377" spans="1:19">
      <c r="A377" s="963"/>
      <c r="B377" s="137"/>
      <c r="C377" s="53">
        <f t="shared" si="56"/>
        <v>1</v>
      </c>
      <c r="D377" s="961"/>
      <c r="E377" s="53">
        <f t="shared" si="57"/>
        <v>0</v>
      </c>
      <c r="F377" s="961"/>
      <c r="G377" s="53">
        <f t="shared" si="58"/>
        <v>1</v>
      </c>
      <c r="H377" s="961"/>
      <c r="I377" s="53">
        <f t="shared" si="59"/>
        <v>1</v>
      </c>
      <c r="J377" s="961"/>
      <c r="K377" s="53">
        <f t="shared" si="60"/>
        <v>1</v>
      </c>
      <c r="L377" s="961"/>
      <c r="M377" s="53">
        <f t="shared" si="61"/>
        <v>1</v>
      </c>
      <c r="N377" s="961"/>
      <c r="O377" s="53">
        <f t="shared" si="62"/>
        <v>1</v>
      </c>
      <c r="P377" s="961"/>
      <c r="Q377" s="53">
        <f t="shared" si="63"/>
        <v>1</v>
      </c>
      <c r="R377" s="489">
        <f t="shared" si="64"/>
        <v>0</v>
      </c>
      <c r="S377" s="798">
        <f t="shared" si="55"/>
        <v>0</v>
      </c>
    </row>
    <row r="378" spans="1:19">
      <c r="A378" s="963"/>
      <c r="B378" s="137"/>
      <c r="C378" s="53">
        <f t="shared" si="56"/>
        <v>1</v>
      </c>
      <c r="D378" s="961"/>
      <c r="E378" s="53">
        <f t="shared" si="57"/>
        <v>0</v>
      </c>
      <c r="F378" s="961"/>
      <c r="G378" s="53">
        <f t="shared" si="58"/>
        <v>1</v>
      </c>
      <c r="H378" s="961"/>
      <c r="I378" s="53">
        <f t="shared" si="59"/>
        <v>1</v>
      </c>
      <c r="J378" s="961"/>
      <c r="K378" s="53">
        <f t="shared" si="60"/>
        <v>1</v>
      </c>
      <c r="L378" s="961"/>
      <c r="M378" s="53">
        <f t="shared" si="61"/>
        <v>1</v>
      </c>
      <c r="N378" s="961"/>
      <c r="O378" s="53">
        <f t="shared" si="62"/>
        <v>1</v>
      </c>
      <c r="P378" s="961"/>
      <c r="Q378" s="53">
        <f t="shared" si="63"/>
        <v>1</v>
      </c>
      <c r="R378" s="489">
        <f t="shared" si="64"/>
        <v>0</v>
      </c>
      <c r="S378" s="798">
        <f t="shared" si="55"/>
        <v>0</v>
      </c>
    </row>
    <row r="379" spans="1:19">
      <c r="A379" s="963"/>
      <c r="B379" s="137"/>
      <c r="C379" s="53">
        <f t="shared" si="56"/>
        <v>1</v>
      </c>
      <c r="D379" s="961"/>
      <c r="E379" s="53">
        <f t="shared" si="57"/>
        <v>0</v>
      </c>
      <c r="F379" s="961"/>
      <c r="G379" s="53">
        <f t="shared" si="58"/>
        <v>1</v>
      </c>
      <c r="H379" s="961"/>
      <c r="I379" s="53">
        <f t="shared" si="59"/>
        <v>1</v>
      </c>
      <c r="J379" s="961"/>
      <c r="K379" s="53">
        <f t="shared" si="60"/>
        <v>1</v>
      </c>
      <c r="L379" s="961"/>
      <c r="M379" s="53">
        <f t="shared" si="61"/>
        <v>1</v>
      </c>
      <c r="N379" s="961"/>
      <c r="O379" s="53">
        <f t="shared" si="62"/>
        <v>1</v>
      </c>
      <c r="P379" s="961"/>
      <c r="Q379" s="53">
        <f t="shared" si="63"/>
        <v>1</v>
      </c>
      <c r="R379" s="489">
        <f t="shared" si="64"/>
        <v>0</v>
      </c>
      <c r="S379" s="798">
        <f t="shared" si="55"/>
        <v>0</v>
      </c>
    </row>
    <row r="380" spans="1:19">
      <c r="A380" s="963"/>
      <c r="B380" s="137"/>
      <c r="C380" s="53">
        <f t="shared" si="56"/>
        <v>1</v>
      </c>
      <c r="D380" s="961"/>
      <c r="E380" s="53">
        <f t="shared" si="57"/>
        <v>0</v>
      </c>
      <c r="F380" s="961"/>
      <c r="G380" s="53">
        <f t="shared" si="58"/>
        <v>1</v>
      </c>
      <c r="H380" s="961"/>
      <c r="I380" s="53">
        <f t="shared" si="59"/>
        <v>1</v>
      </c>
      <c r="J380" s="961"/>
      <c r="K380" s="53">
        <f t="shared" si="60"/>
        <v>1</v>
      </c>
      <c r="L380" s="961"/>
      <c r="M380" s="53">
        <f t="shared" si="61"/>
        <v>1</v>
      </c>
      <c r="N380" s="961"/>
      <c r="O380" s="53">
        <f t="shared" si="62"/>
        <v>1</v>
      </c>
      <c r="P380" s="961"/>
      <c r="Q380" s="53">
        <f t="shared" si="63"/>
        <v>1</v>
      </c>
      <c r="R380" s="489">
        <f t="shared" si="64"/>
        <v>0</v>
      </c>
      <c r="S380" s="798">
        <f t="shared" si="55"/>
        <v>0</v>
      </c>
    </row>
    <row r="381" spans="1:19">
      <c r="A381" s="963"/>
      <c r="B381" s="137"/>
      <c r="C381" s="53">
        <f t="shared" si="56"/>
        <v>1</v>
      </c>
      <c r="D381" s="961"/>
      <c r="E381" s="53">
        <f t="shared" si="57"/>
        <v>0</v>
      </c>
      <c r="F381" s="961"/>
      <c r="G381" s="53">
        <f t="shared" si="58"/>
        <v>1</v>
      </c>
      <c r="H381" s="961"/>
      <c r="I381" s="53">
        <f t="shared" si="59"/>
        <v>1</v>
      </c>
      <c r="J381" s="961"/>
      <c r="K381" s="53">
        <f t="shared" si="60"/>
        <v>1</v>
      </c>
      <c r="L381" s="961"/>
      <c r="M381" s="53">
        <f t="shared" si="61"/>
        <v>1</v>
      </c>
      <c r="N381" s="961"/>
      <c r="O381" s="53">
        <f t="shared" si="62"/>
        <v>1</v>
      </c>
      <c r="P381" s="961"/>
      <c r="Q381" s="53">
        <f t="shared" si="63"/>
        <v>1</v>
      </c>
      <c r="R381" s="489">
        <f t="shared" si="64"/>
        <v>0</v>
      </c>
      <c r="S381" s="798">
        <f t="shared" si="55"/>
        <v>0</v>
      </c>
    </row>
    <row r="382" spans="1:19">
      <c r="A382" s="963"/>
      <c r="B382" s="137"/>
      <c r="C382" s="53">
        <f t="shared" si="56"/>
        <v>1</v>
      </c>
      <c r="D382" s="961"/>
      <c r="E382" s="53">
        <f t="shared" si="57"/>
        <v>0</v>
      </c>
      <c r="F382" s="961"/>
      <c r="G382" s="53">
        <f t="shared" si="58"/>
        <v>1</v>
      </c>
      <c r="H382" s="961"/>
      <c r="I382" s="53">
        <f t="shared" si="59"/>
        <v>1</v>
      </c>
      <c r="J382" s="961"/>
      <c r="K382" s="53">
        <f t="shared" si="60"/>
        <v>1</v>
      </c>
      <c r="L382" s="961"/>
      <c r="M382" s="53">
        <f t="shared" si="61"/>
        <v>1</v>
      </c>
      <c r="N382" s="961"/>
      <c r="O382" s="53">
        <f t="shared" si="62"/>
        <v>1</v>
      </c>
      <c r="P382" s="961"/>
      <c r="Q382" s="53">
        <f t="shared" si="63"/>
        <v>1</v>
      </c>
      <c r="R382" s="489">
        <f t="shared" si="64"/>
        <v>0</v>
      </c>
      <c r="S382" s="798">
        <f t="shared" si="55"/>
        <v>0</v>
      </c>
    </row>
    <row r="383" spans="1:19">
      <c r="A383" s="963"/>
      <c r="B383" s="137"/>
      <c r="C383" s="53">
        <f t="shared" si="56"/>
        <v>1</v>
      </c>
      <c r="D383" s="961"/>
      <c r="E383" s="53">
        <f t="shared" si="57"/>
        <v>0</v>
      </c>
      <c r="F383" s="961"/>
      <c r="G383" s="53">
        <f t="shared" si="58"/>
        <v>1</v>
      </c>
      <c r="H383" s="961"/>
      <c r="I383" s="53">
        <f t="shared" si="59"/>
        <v>1</v>
      </c>
      <c r="J383" s="961"/>
      <c r="K383" s="53">
        <f t="shared" si="60"/>
        <v>1</v>
      </c>
      <c r="L383" s="961"/>
      <c r="M383" s="53">
        <f t="shared" si="61"/>
        <v>1</v>
      </c>
      <c r="N383" s="961"/>
      <c r="O383" s="53">
        <f t="shared" si="62"/>
        <v>1</v>
      </c>
      <c r="P383" s="961"/>
      <c r="Q383" s="53">
        <f t="shared" si="63"/>
        <v>1</v>
      </c>
      <c r="R383" s="489">
        <f t="shared" si="64"/>
        <v>0</v>
      </c>
      <c r="S383" s="798">
        <f t="shared" si="55"/>
        <v>0</v>
      </c>
    </row>
    <row r="384" spans="1:19">
      <c r="A384" s="963"/>
      <c r="B384" s="137"/>
      <c r="C384" s="53">
        <f t="shared" si="56"/>
        <v>1</v>
      </c>
      <c r="D384" s="961"/>
      <c r="E384" s="53">
        <f t="shared" si="57"/>
        <v>0</v>
      </c>
      <c r="F384" s="961"/>
      <c r="G384" s="53">
        <f t="shared" si="58"/>
        <v>1</v>
      </c>
      <c r="H384" s="961"/>
      <c r="I384" s="53">
        <f t="shared" si="59"/>
        <v>1</v>
      </c>
      <c r="J384" s="961"/>
      <c r="K384" s="53">
        <f t="shared" si="60"/>
        <v>1</v>
      </c>
      <c r="L384" s="961"/>
      <c r="M384" s="53">
        <f t="shared" si="61"/>
        <v>1</v>
      </c>
      <c r="N384" s="961"/>
      <c r="O384" s="53">
        <f t="shared" si="62"/>
        <v>1</v>
      </c>
      <c r="P384" s="961"/>
      <c r="Q384" s="53">
        <f t="shared" si="63"/>
        <v>1</v>
      </c>
      <c r="R384" s="489">
        <f t="shared" si="64"/>
        <v>0</v>
      </c>
      <c r="S384" s="798">
        <f t="shared" si="55"/>
        <v>0</v>
      </c>
    </row>
    <row r="385" spans="1:19">
      <c r="A385" s="963"/>
      <c r="B385" s="137"/>
      <c r="C385" s="53">
        <f t="shared" si="56"/>
        <v>1</v>
      </c>
      <c r="D385" s="961"/>
      <c r="E385" s="53">
        <f t="shared" si="57"/>
        <v>0</v>
      </c>
      <c r="F385" s="961"/>
      <c r="G385" s="53">
        <f t="shared" si="58"/>
        <v>1</v>
      </c>
      <c r="H385" s="961"/>
      <c r="I385" s="53">
        <f t="shared" si="59"/>
        <v>1</v>
      </c>
      <c r="J385" s="961"/>
      <c r="K385" s="53">
        <f t="shared" si="60"/>
        <v>1</v>
      </c>
      <c r="L385" s="961"/>
      <c r="M385" s="53">
        <f t="shared" si="61"/>
        <v>1</v>
      </c>
      <c r="N385" s="961"/>
      <c r="O385" s="53">
        <f t="shared" si="62"/>
        <v>1</v>
      </c>
      <c r="P385" s="961"/>
      <c r="Q385" s="53">
        <f t="shared" si="63"/>
        <v>1</v>
      </c>
      <c r="R385" s="489">
        <f t="shared" si="64"/>
        <v>0</v>
      </c>
      <c r="S385" s="798">
        <f t="shared" si="55"/>
        <v>0</v>
      </c>
    </row>
    <row r="386" spans="1:19">
      <c r="A386" s="963"/>
      <c r="B386" s="137"/>
      <c r="C386" s="53">
        <f t="shared" si="56"/>
        <v>1</v>
      </c>
      <c r="D386" s="961"/>
      <c r="E386" s="53">
        <f t="shared" si="57"/>
        <v>0</v>
      </c>
      <c r="F386" s="961"/>
      <c r="G386" s="53">
        <f t="shared" si="58"/>
        <v>1</v>
      </c>
      <c r="H386" s="961"/>
      <c r="I386" s="53">
        <f t="shared" si="59"/>
        <v>1</v>
      </c>
      <c r="J386" s="961"/>
      <c r="K386" s="53">
        <f t="shared" si="60"/>
        <v>1</v>
      </c>
      <c r="L386" s="961"/>
      <c r="M386" s="53">
        <f t="shared" si="61"/>
        <v>1</v>
      </c>
      <c r="N386" s="961"/>
      <c r="O386" s="53">
        <f t="shared" si="62"/>
        <v>1</v>
      </c>
      <c r="P386" s="961"/>
      <c r="Q386" s="53">
        <f t="shared" si="63"/>
        <v>1</v>
      </c>
      <c r="R386" s="489">
        <f t="shared" si="64"/>
        <v>0</v>
      </c>
      <c r="S386" s="798">
        <f t="shared" si="55"/>
        <v>0</v>
      </c>
    </row>
    <row r="387" spans="1:19">
      <c r="A387" s="963"/>
      <c r="B387" s="137"/>
      <c r="C387" s="53">
        <f t="shared" si="56"/>
        <v>1</v>
      </c>
      <c r="D387" s="961"/>
      <c r="E387" s="53">
        <f t="shared" si="57"/>
        <v>0</v>
      </c>
      <c r="F387" s="961"/>
      <c r="G387" s="53">
        <f t="shared" si="58"/>
        <v>1</v>
      </c>
      <c r="H387" s="961"/>
      <c r="I387" s="53">
        <f t="shared" si="59"/>
        <v>1</v>
      </c>
      <c r="J387" s="961"/>
      <c r="K387" s="53">
        <f t="shared" si="60"/>
        <v>1</v>
      </c>
      <c r="L387" s="961"/>
      <c r="M387" s="53">
        <f t="shared" si="61"/>
        <v>1</v>
      </c>
      <c r="N387" s="961"/>
      <c r="O387" s="53">
        <f t="shared" si="62"/>
        <v>1</v>
      </c>
      <c r="P387" s="961"/>
      <c r="Q387" s="53">
        <f t="shared" si="63"/>
        <v>1</v>
      </c>
      <c r="R387" s="489">
        <f t="shared" si="64"/>
        <v>0</v>
      </c>
      <c r="S387" s="798">
        <f t="shared" si="55"/>
        <v>0</v>
      </c>
    </row>
    <row r="388" spans="1:19">
      <c r="A388" s="963"/>
      <c r="B388" s="137"/>
      <c r="C388" s="53">
        <f t="shared" si="56"/>
        <v>1</v>
      </c>
      <c r="D388" s="961"/>
      <c r="E388" s="53">
        <f t="shared" si="57"/>
        <v>0</v>
      </c>
      <c r="F388" s="961"/>
      <c r="G388" s="53">
        <f t="shared" si="58"/>
        <v>1</v>
      </c>
      <c r="H388" s="961"/>
      <c r="I388" s="53">
        <f t="shared" si="59"/>
        <v>1</v>
      </c>
      <c r="J388" s="961"/>
      <c r="K388" s="53">
        <f t="shared" si="60"/>
        <v>1</v>
      </c>
      <c r="L388" s="961"/>
      <c r="M388" s="53">
        <f t="shared" si="61"/>
        <v>1</v>
      </c>
      <c r="N388" s="961"/>
      <c r="O388" s="53">
        <f t="shared" si="62"/>
        <v>1</v>
      </c>
      <c r="P388" s="961"/>
      <c r="Q388" s="53">
        <f t="shared" si="63"/>
        <v>1</v>
      </c>
      <c r="R388" s="489">
        <f t="shared" si="64"/>
        <v>0</v>
      </c>
      <c r="S388" s="798">
        <f t="shared" si="55"/>
        <v>0</v>
      </c>
    </row>
    <row r="389" spans="1:19">
      <c r="A389" s="963"/>
      <c r="B389" s="137"/>
      <c r="C389" s="53">
        <f t="shared" si="56"/>
        <v>1</v>
      </c>
      <c r="D389" s="961"/>
      <c r="E389" s="53">
        <f t="shared" si="57"/>
        <v>0</v>
      </c>
      <c r="F389" s="961"/>
      <c r="G389" s="53">
        <f t="shared" si="58"/>
        <v>1</v>
      </c>
      <c r="H389" s="961"/>
      <c r="I389" s="53">
        <f t="shared" si="59"/>
        <v>1</v>
      </c>
      <c r="J389" s="961"/>
      <c r="K389" s="53">
        <f t="shared" si="60"/>
        <v>1</v>
      </c>
      <c r="L389" s="961"/>
      <c r="M389" s="53">
        <f t="shared" si="61"/>
        <v>1</v>
      </c>
      <c r="N389" s="961"/>
      <c r="O389" s="53">
        <f t="shared" si="62"/>
        <v>1</v>
      </c>
      <c r="P389" s="961"/>
      <c r="Q389" s="53">
        <f t="shared" si="63"/>
        <v>1</v>
      </c>
      <c r="R389" s="489">
        <f t="shared" si="64"/>
        <v>0</v>
      </c>
      <c r="S389" s="798">
        <f t="shared" si="55"/>
        <v>0</v>
      </c>
    </row>
    <row r="390" spans="1:19">
      <c r="A390" s="963"/>
      <c r="B390" s="137"/>
      <c r="C390" s="53">
        <f t="shared" si="56"/>
        <v>1</v>
      </c>
      <c r="D390" s="961"/>
      <c r="E390" s="53">
        <f t="shared" si="57"/>
        <v>0</v>
      </c>
      <c r="F390" s="961"/>
      <c r="G390" s="53">
        <f t="shared" si="58"/>
        <v>1</v>
      </c>
      <c r="H390" s="961"/>
      <c r="I390" s="53">
        <f t="shared" si="59"/>
        <v>1</v>
      </c>
      <c r="J390" s="961"/>
      <c r="K390" s="53">
        <f t="shared" si="60"/>
        <v>1</v>
      </c>
      <c r="L390" s="961"/>
      <c r="M390" s="53">
        <f t="shared" si="61"/>
        <v>1</v>
      </c>
      <c r="N390" s="961"/>
      <c r="O390" s="53">
        <f t="shared" si="62"/>
        <v>1</v>
      </c>
      <c r="P390" s="961"/>
      <c r="Q390" s="53">
        <f t="shared" si="63"/>
        <v>1</v>
      </c>
      <c r="R390" s="489">
        <f t="shared" si="64"/>
        <v>0</v>
      </c>
      <c r="S390" s="798">
        <f t="shared" si="55"/>
        <v>0</v>
      </c>
    </row>
    <row r="391" spans="1:19">
      <c r="A391" s="963"/>
      <c r="B391" s="137"/>
      <c r="C391" s="53">
        <f t="shared" si="56"/>
        <v>1</v>
      </c>
      <c r="D391" s="961"/>
      <c r="E391" s="53">
        <f t="shared" si="57"/>
        <v>0</v>
      </c>
      <c r="F391" s="961"/>
      <c r="G391" s="53">
        <f t="shared" si="58"/>
        <v>1</v>
      </c>
      <c r="H391" s="961"/>
      <c r="I391" s="53">
        <f t="shared" si="59"/>
        <v>1</v>
      </c>
      <c r="J391" s="961"/>
      <c r="K391" s="53">
        <f t="shared" si="60"/>
        <v>1</v>
      </c>
      <c r="L391" s="961"/>
      <c r="M391" s="53">
        <f t="shared" si="61"/>
        <v>1</v>
      </c>
      <c r="N391" s="961"/>
      <c r="O391" s="53">
        <f t="shared" si="62"/>
        <v>1</v>
      </c>
      <c r="P391" s="961"/>
      <c r="Q391" s="53">
        <f t="shared" si="63"/>
        <v>1</v>
      </c>
      <c r="R391" s="489">
        <f t="shared" si="64"/>
        <v>0</v>
      </c>
      <c r="S391" s="798">
        <f t="shared" si="55"/>
        <v>0</v>
      </c>
    </row>
    <row r="392" spans="1:19">
      <c r="A392" s="963"/>
      <c r="B392" s="137"/>
      <c r="C392" s="53">
        <f t="shared" si="56"/>
        <v>1</v>
      </c>
      <c r="D392" s="961"/>
      <c r="E392" s="53">
        <f t="shared" si="57"/>
        <v>0</v>
      </c>
      <c r="F392" s="961"/>
      <c r="G392" s="53">
        <f t="shared" si="58"/>
        <v>1</v>
      </c>
      <c r="H392" s="961"/>
      <c r="I392" s="53">
        <f t="shared" si="59"/>
        <v>1</v>
      </c>
      <c r="J392" s="961"/>
      <c r="K392" s="53">
        <f t="shared" si="60"/>
        <v>1</v>
      </c>
      <c r="L392" s="961"/>
      <c r="M392" s="53">
        <f t="shared" si="61"/>
        <v>1</v>
      </c>
      <c r="N392" s="961"/>
      <c r="O392" s="53">
        <f t="shared" si="62"/>
        <v>1</v>
      </c>
      <c r="P392" s="961"/>
      <c r="Q392" s="53">
        <f t="shared" si="63"/>
        <v>1</v>
      </c>
      <c r="R392" s="489">
        <f t="shared" si="64"/>
        <v>0</v>
      </c>
      <c r="S392" s="798">
        <f t="shared" si="55"/>
        <v>0</v>
      </c>
    </row>
    <row r="393" spans="1:19">
      <c r="A393" s="963"/>
      <c r="B393" s="137"/>
      <c r="C393" s="53">
        <f t="shared" si="56"/>
        <v>1</v>
      </c>
      <c r="D393" s="961"/>
      <c r="E393" s="53">
        <f t="shared" si="57"/>
        <v>0</v>
      </c>
      <c r="F393" s="961"/>
      <c r="G393" s="53">
        <f t="shared" si="58"/>
        <v>1</v>
      </c>
      <c r="H393" s="961"/>
      <c r="I393" s="53">
        <f t="shared" si="59"/>
        <v>1</v>
      </c>
      <c r="J393" s="961"/>
      <c r="K393" s="53">
        <f t="shared" si="60"/>
        <v>1</v>
      </c>
      <c r="L393" s="961"/>
      <c r="M393" s="53">
        <f t="shared" si="61"/>
        <v>1</v>
      </c>
      <c r="N393" s="961"/>
      <c r="O393" s="53">
        <f t="shared" si="62"/>
        <v>1</v>
      </c>
      <c r="P393" s="961"/>
      <c r="Q393" s="53">
        <f t="shared" si="63"/>
        <v>1</v>
      </c>
      <c r="R393" s="489">
        <f t="shared" si="64"/>
        <v>0</v>
      </c>
      <c r="S393" s="798">
        <f t="shared" si="55"/>
        <v>0</v>
      </c>
    </row>
    <row r="394" spans="1:19">
      <c r="A394" s="963"/>
      <c r="B394" s="137"/>
      <c r="C394" s="53">
        <f t="shared" si="56"/>
        <v>1</v>
      </c>
      <c r="D394" s="961"/>
      <c r="E394" s="53">
        <f t="shared" si="57"/>
        <v>0</v>
      </c>
      <c r="F394" s="961"/>
      <c r="G394" s="53">
        <f t="shared" si="58"/>
        <v>1</v>
      </c>
      <c r="H394" s="961"/>
      <c r="I394" s="53">
        <f t="shared" si="59"/>
        <v>1</v>
      </c>
      <c r="J394" s="961"/>
      <c r="K394" s="53">
        <f t="shared" si="60"/>
        <v>1</v>
      </c>
      <c r="L394" s="961"/>
      <c r="M394" s="53">
        <f t="shared" si="61"/>
        <v>1</v>
      </c>
      <c r="N394" s="961"/>
      <c r="O394" s="53">
        <f t="shared" si="62"/>
        <v>1</v>
      </c>
      <c r="P394" s="961"/>
      <c r="Q394" s="53">
        <f t="shared" si="63"/>
        <v>1</v>
      </c>
      <c r="R394" s="489">
        <f t="shared" si="64"/>
        <v>0</v>
      </c>
      <c r="S394" s="798">
        <f t="shared" si="55"/>
        <v>0</v>
      </c>
    </row>
    <row r="395" spans="1:19">
      <c r="A395" s="963"/>
      <c r="B395" s="137"/>
      <c r="C395" s="53">
        <f t="shared" si="56"/>
        <v>1</v>
      </c>
      <c r="D395" s="961"/>
      <c r="E395" s="53">
        <f t="shared" si="57"/>
        <v>0</v>
      </c>
      <c r="F395" s="961"/>
      <c r="G395" s="53">
        <f t="shared" si="58"/>
        <v>1</v>
      </c>
      <c r="H395" s="961"/>
      <c r="I395" s="53">
        <f t="shared" si="59"/>
        <v>1</v>
      </c>
      <c r="J395" s="961"/>
      <c r="K395" s="53">
        <f t="shared" si="60"/>
        <v>1</v>
      </c>
      <c r="L395" s="961"/>
      <c r="M395" s="53">
        <f t="shared" si="61"/>
        <v>1</v>
      </c>
      <c r="N395" s="961"/>
      <c r="O395" s="53">
        <f t="shared" si="62"/>
        <v>1</v>
      </c>
      <c r="P395" s="961"/>
      <c r="Q395" s="53">
        <f t="shared" si="63"/>
        <v>1</v>
      </c>
      <c r="R395" s="489">
        <f t="shared" si="64"/>
        <v>0</v>
      </c>
      <c r="S395" s="798">
        <f t="shared" si="55"/>
        <v>0</v>
      </c>
    </row>
    <row r="396" spans="1:19">
      <c r="A396" s="963"/>
      <c r="B396" s="137"/>
      <c r="C396" s="53">
        <f t="shared" si="56"/>
        <v>1</v>
      </c>
      <c r="D396" s="961"/>
      <c r="E396" s="53">
        <f t="shared" si="57"/>
        <v>0</v>
      </c>
      <c r="F396" s="961"/>
      <c r="G396" s="53">
        <f t="shared" si="58"/>
        <v>1</v>
      </c>
      <c r="H396" s="961"/>
      <c r="I396" s="53">
        <f t="shared" si="59"/>
        <v>1</v>
      </c>
      <c r="J396" s="961"/>
      <c r="K396" s="53">
        <f t="shared" si="60"/>
        <v>1</v>
      </c>
      <c r="L396" s="961"/>
      <c r="M396" s="53">
        <f t="shared" si="61"/>
        <v>1</v>
      </c>
      <c r="N396" s="961"/>
      <c r="O396" s="53">
        <f t="shared" si="62"/>
        <v>1</v>
      </c>
      <c r="P396" s="961"/>
      <c r="Q396" s="53">
        <f t="shared" si="63"/>
        <v>1</v>
      </c>
      <c r="R396" s="489">
        <f t="shared" si="64"/>
        <v>0</v>
      </c>
      <c r="S396" s="798">
        <f t="shared" si="55"/>
        <v>0</v>
      </c>
    </row>
    <row r="397" spans="1:19">
      <c r="A397" s="963"/>
      <c r="B397" s="137"/>
      <c r="C397" s="53">
        <f t="shared" si="56"/>
        <v>1</v>
      </c>
      <c r="D397" s="961"/>
      <c r="E397" s="53">
        <f t="shared" si="57"/>
        <v>0</v>
      </c>
      <c r="F397" s="961"/>
      <c r="G397" s="53">
        <f t="shared" si="58"/>
        <v>1</v>
      </c>
      <c r="H397" s="961"/>
      <c r="I397" s="53">
        <f t="shared" si="59"/>
        <v>1</v>
      </c>
      <c r="J397" s="961"/>
      <c r="K397" s="53">
        <f t="shared" si="60"/>
        <v>1</v>
      </c>
      <c r="L397" s="961"/>
      <c r="M397" s="53">
        <f t="shared" si="61"/>
        <v>1</v>
      </c>
      <c r="N397" s="961"/>
      <c r="O397" s="53">
        <f t="shared" si="62"/>
        <v>1</v>
      </c>
      <c r="P397" s="961"/>
      <c r="Q397" s="53">
        <f t="shared" si="63"/>
        <v>1</v>
      </c>
      <c r="R397" s="489">
        <f t="shared" si="64"/>
        <v>0</v>
      </c>
      <c r="S397" s="798">
        <f t="shared" si="55"/>
        <v>0</v>
      </c>
    </row>
    <row r="398" spans="1:19">
      <c r="A398" s="963"/>
      <c r="B398" s="137"/>
      <c r="C398" s="53">
        <f t="shared" si="56"/>
        <v>1</v>
      </c>
      <c r="D398" s="961"/>
      <c r="E398" s="53">
        <f t="shared" si="57"/>
        <v>0</v>
      </c>
      <c r="F398" s="961"/>
      <c r="G398" s="53">
        <f t="shared" si="58"/>
        <v>1</v>
      </c>
      <c r="H398" s="961"/>
      <c r="I398" s="53">
        <f t="shared" si="59"/>
        <v>1</v>
      </c>
      <c r="J398" s="961"/>
      <c r="K398" s="53">
        <f t="shared" si="60"/>
        <v>1</v>
      </c>
      <c r="L398" s="961"/>
      <c r="M398" s="53">
        <f t="shared" si="61"/>
        <v>1</v>
      </c>
      <c r="N398" s="961"/>
      <c r="O398" s="53">
        <f t="shared" si="62"/>
        <v>1</v>
      </c>
      <c r="P398" s="961"/>
      <c r="Q398" s="53">
        <f t="shared" si="63"/>
        <v>1</v>
      </c>
      <c r="R398" s="489">
        <f t="shared" si="64"/>
        <v>0</v>
      </c>
      <c r="S398" s="798">
        <f t="shared" si="55"/>
        <v>0</v>
      </c>
    </row>
    <row r="399" spans="1:19">
      <c r="A399" s="963"/>
      <c r="B399" s="137"/>
      <c r="C399" s="53">
        <f t="shared" si="56"/>
        <v>1</v>
      </c>
      <c r="D399" s="961"/>
      <c r="E399" s="53">
        <f t="shared" si="57"/>
        <v>0</v>
      </c>
      <c r="F399" s="961"/>
      <c r="G399" s="53">
        <f t="shared" si="58"/>
        <v>1</v>
      </c>
      <c r="H399" s="961"/>
      <c r="I399" s="53">
        <f t="shared" si="59"/>
        <v>1</v>
      </c>
      <c r="J399" s="961"/>
      <c r="K399" s="53">
        <f t="shared" si="60"/>
        <v>1</v>
      </c>
      <c r="L399" s="961"/>
      <c r="M399" s="53">
        <f t="shared" si="61"/>
        <v>1</v>
      </c>
      <c r="N399" s="961"/>
      <c r="O399" s="53">
        <f t="shared" si="62"/>
        <v>1</v>
      </c>
      <c r="P399" s="961"/>
      <c r="Q399" s="53">
        <f t="shared" si="63"/>
        <v>1</v>
      </c>
      <c r="R399" s="489">
        <f t="shared" si="64"/>
        <v>0</v>
      </c>
      <c r="S399" s="798">
        <f t="shared" si="55"/>
        <v>0</v>
      </c>
    </row>
    <row r="400" spans="1:19">
      <c r="A400" s="963"/>
      <c r="B400" s="137"/>
      <c r="C400" s="53">
        <f t="shared" si="56"/>
        <v>1</v>
      </c>
      <c r="D400" s="961"/>
      <c r="E400" s="53">
        <f t="shared" si="57"/>
        <v>0</v>
      </c>
      <c r="F400" s="961"/>
      <c r="G400" s="53">
        <f t="shared" si="58"/>
        <v>1</v>
      </c>
      <c r="H400" s="961"/>
      <c r="I400" s="53">
        <f t="shared" si="59"/>
        <v>1</v>
      </c>
      <c r="J400" s="961"/>
      <c r="K400" s="53">
        <f t="shared" si="60"/>
        <v>1</v>
      </c>
      <c r="L400" s="961"/>
      <c r="M400" s="53">
        <f t="shared" si="61"/>
        <v>1</v>
      </c>
      <c r="N400" s="961"/>
      <c r="O400" s="53">
        <f t="shared" si="62"/>
        <v>1</v>
      </c>
      <c r="P400" s="961"/>
      <c r="Q400" s="53">
        <f t="shared" si="63"/>
        <v>1</v>
      </c>
      <c r="R400" s="489">
        <f t="shared" si="64"/>
        <v>0</v>
      </c>
      <c r="S400" s="798">
        <f t="shared" si="55"/>
        <v>0</v>
      </c>
    </row>
    <row r="401" spans="1:19">
      <c r="A401" s="963"/>
      <c r="B401" s="137"/>
      <c r="C401" s="53">
        <f t="shared" si="56"/>
        <v>1</v>
      </c>
      <c r="D401" s="961"/>
      <c r="E401" s="53">
        <f t="shared" si="57"/>
        <v>0</v>
      </c>
      <c r="F401" s="961"/>
      <c r="G401" s="53">
        <f t="shared" si="58"/>
        <v>1</v>
      </c>
      <c r="H401" s="961"/>
      <c r="I401" s="53">
        <f t="shared" si="59"/>
        <v>1</v>
      </c>
      <c r="J401" s="961"/>
      <c r="K401" s="53">
        <f t="shared" si="60"/>
        <v>1</v>
      </c>
      <c r="L401" s="961"/>
      <c r="M401" s="53">
        <f t="shared" si="61"/>
        <v>1</v>
      </c>
      <c r="N401" s="961"/>
      <c r="O401" s="53">
        <f t="shared" si="62"/>
        <v>1</v>
      </c>
      <c r="P401" s="961"/>
      <c r="Q401" s="53">
        <f t="shared" si="63"/>
        <v>1</v>
      </c>
      <c r="R401" s="489">
        <f t="shared" si="64"/>
        <v>0</v>
      </c>
      <c r="S401" s="798">
        <f t="shared" si="55"/>
        <v>0</v>
      </c>
    </row>
    <row r="402" spans="1:19">
      <c r="A402" s="963"/>
      <c r="B402" s="137"/>
      <c r="C402" s="53">
        <f t="shared" si="56"/>
        <v>1</v>
      </c>
      <c r="D402" s="961"/>
      <c r="E402" s="53">
        <f t="shared" si="57"/>
        <v>0</v>
      </c>
      <c r="F402" s="961"/>
      <c r="G402" s="53">
        <f t="shared" si="58"/>
        <v>1</v>
      </c>
      <c r="H402" s="961"/>
      <c r="I402" s="53">
        <f t="shared" si="59"/>
        <v>1</v>
      </c>
      <c r="J402" s="961"/>
      <c r="K402" s="53">
        <f t="shared" si="60"/>
        <v>1</v>
      </c>
      <c r="L402" s="961"/>
      <c r="M402" s="53">
        <f t="shared" si="61"/>
        <v>1</v>
      </c>
      <c r="N402" s="961"/>
      <c r="O402" s="53">
        <f t="shared" si="62"/>
        <v>1</v>
      </c>
      <c r="P402" s="961"/>
      <c r="Q402" s="53">
        <f t="shared" si="63"/>
        <v>1</v>
      </c>
      <c r="R402" s="489">
        <f t="shared" si="64"/>
        <v>0</v>
      </c>
      <c r="S402" s="798">
        <f t="shared" si="55"/>
        <v>0</v>
      </c>
    </row>
    <row r="403" spans="1:19">
      <c r="A403" s="963"/>
      <c r="B403" s="137"/>
      <c r="C403" s="53">
        <f t="shared" si="56"/>
        <v>1</v>
      </c>
      <c r="D403" s="961"/>
      <c r="E403" s="53">
        <f t="shared" si="57"/>
        <v>0</v>
      </c>
      <c r="F403" s="961"/>
      <c r="G403" s="53">
        <f t="shared" si="58"/>
        <v>1</v>
      </c>
      <c r="H403" s="961"/>
      <c r="I403" s="53">
        <f t="shared" si="59"/>
        <v>1</v>
      </c>
      <c r="J403" s="961"/>
      <c r="K403" s="53">
        <f t="shared" si="60"/>
        <v>1</v>
      </c>
      <c r="L403" s="961"/>
      <c r="M403" s="53">
        <f t="shared" si="61"/>
        <v>1</v>
      </c>
      <c r="N403" s="961"/>
      <c r="O403" s="53">
        <f t="shared" si="62"/>
        <v>1</v>
      </c>
      <c r="P403" s="961"/>
      <c r="Q403" s="53">
        <f t="shared" si="63"/>
        <v>1</v>
      </c>
      <c r="R403" s="489">
        <f t="shared" si="64"/>
        <v>0</v>
      </c>
      <c r="S403" s="798">
        <f t="shared" si="55"/>
        <v>0</v>
      </c>
    </row>
    <row r="404" spans="1:19">
      <c r="A404" s="963"/>
      <c r="B404" s="137"/>
      <c r="C404" s="53">
        <f t="shared" si="56"/>
        <v>1</v>
      </c>
      <c r="D404" s="961"/>
      <c r="E404" s="53">
        <f t="shared" si="57"/>
        <v>0</v>
      </c>
      <c r="F404" s="961"/>
      <c r="G404" s="53">
        <f t="shared" si="58"/>
        <v>1</v>
      </c>
      <c r="H404" s="961"/>
      <c r="I404" s="53">
        <f t="shared" si="59"/>
        <v>1</v>
      </c>
      <c r="J404" s="961"/>
      <c r="K404" s="53">
        <f t="shared" si="60"/>
        <v>1</v>
      </c>
      <c r="L404" s="961"/>
      <c r="M404" s="53">
        <f t="shared" si="61"/>
        <v>1</v>
      </c>
      <c r="N404" s="961"/>
      <c r="O404" s="53">
        <f t="shared" si="62"/>
        <v>1</v>
      </c>
      <c r="P404" s="961"/>
      <c r="Q404" s="53">
        <f t="shared" si="63"/>
        <v>1</v>
      </c>
      <c r="R404" s="489">
        <f t="shared" si="64"/>
        <v>0</v>
      </c>
      <c r="S404" s="798">
        <f t="shared" si="55"/>
        <v>0</v>
      </c>
    </row>
    <row r="405" spans="1:19">
      <c r="A405" s="963"/>
      <c r="B405" s="137"/>
      <c r="C405" s="53">
        <f t="shared" si="56"/>
        <v>1</v>
      </c>
      <c r="D405" s="961"/>
      <c r="E405" s="53">
        <f t="shared" si="57"/>
        <v>0</v>
      </c>
      <c r="F405" s="961"/>
      <c r="G405" s="53">
        <f t="shared" si="58"/>
        <v>1</v>
      </c>
      <c r="H405" s="961"/>
      <c r="I405" s="53">
        <f t="shared" si="59"/>
        <v>1</v>
      </c>
      <c r="J405" s="961"/>
      <c r="K405" s="53">
        <f t="shared" si="60"/>
        <v>1</v>
      </c>
      <c r="L405" s="961"/>
      <c r="M405" s="53">
        <f t="shared" si="61"/>
        <v>1</v>
      </c>
      <c r="N405" s="961"/>
      <c r="O405" s="53">
        <f t="shared" si="62"/>
        <v>1</v>
      </c>
      <c r="P405" s="961"/>
      <c r="Q405" s="53">
        <f t="shared" si="63"/>
        <v>1</v>
      </c>
      <c r="R405" s="489">
        <f t="shared" si="64"/>
        <v>0</v>
      </c>
      <c r="S405" s="798">
        <f t="shared" si="55"/>
        <v>0</v>
      </c>
    </row>
    <row r="406" spans="1:19">
      <c r="A406" s="963"/>
      <c r="B406" s="137"/>
      <c r="C406" s="53">
        <f t="shared" si="56"/>
        <v>1</v>
      </c>
      <c r="D406" s="961"/>
      <c r="E406" s="53">
        <f t="shared" si="57"/>
        <v>0</v>
      </c>
      <c r="F406" s="961"/>
      <c r="G406" s="53">
        <f t="shared" si="58"/>
        <v>1</v>
      </c>
      <c r="H406" s="961"/>
      <c r="I406" s="53">
        <f t="shared" si="59"/>
        <v>1</v>
      </c>
      <c r="J406" s="961"/>
      <c r="K406" s="53">
        <f t="shared" si="60"/>
        <v>1</v>
      </c>
      <c r="L406" s="961"/>
      <c r="M406" s="53">
        <f t="shared" si="61"/>
        <v>1</v>
      </c>
      <c r="N406" s="961"/>
      <c r="O406" s="53">
        <f t="shared" si="62"/>
        <v>1</v>
      </c>
      <c r="P406" s="961"/>
      <c r="Q406" s="53">
        <f t="shared" si="63"/>
        <v>1</v>
      </c>
      <c r="R406" s="489">
        <f t="shared" si="64"/>
        <v>0</v>
      </c>
      <c r="S406" s="798">
        <f t="shared" si="55"/>
        <v>0</v>
      </c>
    </row>
    <row r="407" spans="1:19">
      <c r="A407" s="963"/>
      <c r="B407" s="137"/>
      <c r="C407" s="53">
        <f t="shared" si="56"/>
        <v>1</v>
      </c>
      <c r="D407" s="961"/>
      <c r="E407" s="53">
        <f t="shared" si="57"/>
        <v>0</v>
      </c>
      <c r="F407" s="961"/>
      <c r="G407" s="53">
        <f t="shared" si="58"/>
        <v>1</v>
      </c>
      <c r="H407" s="961"/>
      <c r="I407" s="53">
        <f t="shared" si="59"/>
        <v>1</v>
      </c>
      <c r="J407" s="961"/>
      <c r="K407" s="53">
        <f t="shared" si="60"/>
        <v>1</v>
      </c>
      <c r="L407" s="961"/>
      <c r="M407" s="53">
        <f t="shared" si="61"/>
        <v>1</v>
      </c>
      <c r="N407" s="961"/>
      <c r="O407" s="53">
        <f t="shared" si="62"/>
        <v>1</v>
      </c>
      <c r="P407" s="961"/>
      <c r="Q407" s="53">
        <f t="shared" si="63"/>
        <v>1</v>
      </c>
      <c r="R407" s="489">
        <f t="shared" si="64"/>
        <v>0</v>
      </c>
      <c r="S407" s="798">
        <f t="shared" si="55"/>
        <v>0</v>
      </c>
    </row>
    <row r="408" spans="1:19">
      <c r="A408" s="963"/>
      <c r="B408" s="137"/>
      <c r="C408" s="53">
        <f t="shared" si="56"/>
        <v>1</v>
      </c>
      <c r="D408" s="961"/>
      <c r="E408" s="53">
        <f t="shared" si="57"/>
        <v>0</v>
      </c>
      <c r="F408" s="961"/>
      <c r="G408" s="53">
        <f t="shared" si="58"/>
        <v>1</v>
      </c>
      <c r="H408" s="961"/>
      <c r="I408" s="53">
        <f t="shared" si="59"/>
        <v>1</v>
      </c>
      <c r="J408" s="961"/>
      <c r="K408" s="53">
        <f t="shared" si="60"/>
        <v>1</v>
      </c>
      <c r="L408" s="961"/>
      <c r="M408" s="53">
        <f t="shared" si="61"/>
        <v>1</v>
      </c>
      <c r="N408" s="961"/>
      <c r="O408" s="53">
        <f t="shared" si="62"/>
        <v>1</v>
      </c>
      <c r="P408" s="961"/>
      <c r="Q408" s="53">
        <f t="shared" si="63"/>
        <v>1</v>
      </c>
      <c r="R408" s="489">
        <f t="shared" si="64"/>
        <v>0</v>
      </c>
      <c r="S408" s="798">
        <f t="shared" ref="S408:S471" si="65">ROUND(R408*B408/10000,0)</f>
        <v>0</v>
      </c>
    </row>
    <row r="409" spans="1:19">
      <c r="A409" s="963"/>
      <c r="B409" s="137"/>
      <c r="C409" s="53">
        <f t="shared" si="56"/>
        <v>1</v>
      </c>
      <c r="D409" s="961"/>
      <c r="E409" s="53">
        <f t="shared" si="57"/>
        <v>0</v>
      </c>
      <c r="F409" s="961"/>
      <c r="G409" s="53">
        <f t="shared" si="58"/>
        <v>1</v>
      </c>
      <c r="H409" s="961"/>
      <c r="I409" s="53">
        <f t="shared" si="59"/>
        <v>1</v>
      </c>
      <c r="J409" s="961"/>
      <c r="K409" s="53">
        <f t="shared" si="60"/>
        <v>1</v>
      </c>
      <c r="L409" s="961"/>
      <c r="M409" s="53">
        <f t="shared" si="61"/>
        <v>1</v>
      </c>
      <c r="N409" s="961"/>
      <c r="O409" s="53">
        <f t="shared" si="62"/>
        <v>1</v>
      </c>
      <c r="P409" s="961"/>
      <c r="Q409" s="53">
        <f t="shared" si="63"/>
        <v>1</v>
      </c>
      <c r="R409" s="489">
        <f t="shared" si="64"/>
        <v>0</v>
      </c>
      <c r="S409" s="798">
        <f t="shared" si="65"/>
        <v>0</v>
      </c>
    </row>
    <row r="410" spans="1:19">
      <c r="A410" s="963"/>
      <c r="B410" s="137"/>
      <c r="C410" s="53">
        <f t="shared" ref="C410:C473" si="66">IF(B410="",1,(LOOKUP(B410,$3:$3,$4:$4)-LOOKUP($B$24,$3:$3,$4:$4)+100)/100)</f>
        <v>1</v>
      </c>
      <c r="D410" s="961"/>
      <c r="E410" s="53">
        <f t="shared" ref="E410:E473" si="67">(SUMIF($5:$5,D410,$6:$6)-SUMIF($5:$5,$D$24,$6:$6)+100)/100</f>
        <v>0</v>
      </c>
      <c r="F410" s="961"/>
      <c r="G410" s="53">
        <f t="shared" ref="G410:G473" si="68">(SUMIF($7:$7,F410,$8:$8)-SUMIF($7:$7,$F$24,$8:$8)+100)/100</f>
        <v>1</v>
      </c>
      <c r="H410" s="961"/>
      <c r="I410" s="53">
        <f t="shared" ref="I410:I473" si="69">(SUMIF($9:$9,H410,$10:$10)-SUMIF($9:$9,$H$24,$10:$10)+100)/100</f>
        <v>1</v>
      </c>
      <c r="J410" s="961"/>
      <c r="K410" s="53">
        <f t="shared" ref="K410:K473" si="70">(SUMIF($11:$11,J410,$12:$12)-SUMIF($11:$11,$J$24,$12:$12)+100)/100</f>
        <v>1</v>
      </c>
      <c r="L410" s="961"/>
      <c r="M410" s="53">
        <f t="shared" ref="M410:M473" si="71">(SUMIF($13:$13,L410,$14:$14)-SUMIF($13:$13,$L$24,$14:$14)+100)/100</f>
        <v>1</v>
      </c>
      <c r="N410" s="961"/>
      <c r="O410" s="53">
        <f t="shared" ref="O410:O473" si="72">(SUMIF($15:$15,N410,$16:$16)-SUMIF($15:$15,$N$24,$16:$16)+100)/100</f>
        <v>1</v>
      </c>
      <c r="P410" s="961"/>
      <c r="Q410" s="53">
        <f t="shared" ref="Q410:Q473" si="73">(SUMIF($17:$17,P410,$18:$18)-SUMIF($17:$17,$P$24,$18:$18)+100)/100</f>
        <v>1</v>
      </c>
      <c r="R410" s="489">
        <f t="shared" ref="R410:R473" si="74">IF(B410="",0,ROUND($R$24*C410*E410*G410*I410*K410*M410*O410*Q410,0))</f>
        <v>0</v>
      </c>
      <c r="S410" s="798">
        <f t="shared" si="65"/>
        <v>0</v>
      </c>
    </row>
    <row r="411" spans="1:19">
      <c r="A411" s="963"/>
      <c r="B411" s="137"/>
      <c r="C411" s="53">
        <f t="shared" si="66"/>
        <v>1</v>
      </c>
      <c r="D411" s="961"/>
      <c r="E411" s="53">
        <f t="shared" si="67"/>
        <v>0</v>
      </c>
      <c r="F411" s="961"/>
      <c r="G411" s="53">
        <f t="shared" si="68"/>
        <v>1</v>
      </c>
      <c r="H411" s="961"/>
      <c r="I411" s="53">
        <f t="shared" si="69"/>
        <v>1</v>
      </c>
      <c r="J411" s="961"/>
      <c r="K411" s="53">
        <f t="shared" si="70"/>
        <v>1</v>
      </c>
      <c r="L411" s="961"/>
      <c r="M411" s="53">
        <f t="shared" si="71"/>
        <v>1</v>
      </c>
      <c r="N411" s="961"/>
      <c r="O411" s="53">
        <f t="shared" si="72"/>
        <v>1</v>
      </c>
      <c r="P411" s="961"/>
      <c r="Q411" s="53">
        <f t="shared" si="73"/>
        <v>1</v>
      </c>
      <c r="R411" s="489">
        <f t="shared" si="74"/>
        <v>0</v>
      </c>
      <c r="S411" s="798">
        <f t="shared" si="65"/>
        <v>0</v>
      </c>
    </row>
    <row r="412" spans="1:19">
      <c r="A412" s="963"/>
      <c r="B412" s="137"/>
      <c r="C412" s="53">
        <f t="shared" si="66"/>
        <v>1</v>
      </c>
      <c r="D412" s="961"/>
      <c r="E412" s="53">
        <f t="shared" si="67"/>
        <v>0</v>
      </c>
      <c r="F412" s="961"/>
      <c r="G412" s="53">
        <f t="shared" si="68"/>
        <v>1</v>
      </c>
      <c r="H412" s="961"/>
      <c r="I412" s="53">
        <f t="shared" si="69"/>
        <v>1</v>
      </c>
      <c r="J412" s="961"/>
      <c r="K412" s="53">
        <f t="shared" si="70"/>
        <v>1</v>
      </c>
      <c r="L412" s="961"/>
      <c r="M412" s="53">
        <f t="shared" si="71"/>
        <v>1</v>
      </c>
      <c r="N412" s="961"/>
      <c r="O412" s="53">
        <f t="shared" si="72"/>
        <v>1</v>
      </c>
      <c r="P412" s="961"/>
      <c r="Q412" s="53">
        <f t="shared" si="73"/>
        <v>1</v>
      </c>
      <c r="R412" s="489">
        <f t="shared" si="74"/>
        <v>0</v>
      </c>
      <c r="S412" s="798">
        <f t="shared" si="65"/>
        <v>0</v>
      </c>
    </row>
    <row r="413" spans="1:19">
      <c r="A413" s="963"/>
      <c r="B413" s="137"/>
      <c r="C413" s="53">
        <f t="shared" si="66"/>
        <v>1</v>
      </c>
      <c r="D413" s="961"/>
      <c r="E413" s="53">
        <f t="shared" si="67"/>
        <v>0</v>
      </c>
      <c r="F413" s="961"/>
      <c r="G413" s="53">
        <f t="shared" si="68"/>
        <v>1</v>
      </c>
      <c r="H413" s="961"/>
      <c r="I413" s="53">
        <f t="shared" si="69"/>
        <v>1</v>
      </c>
      <c r="J413" s="961"/>
      <c r="K413" s="53">
        <f t="shared" si="70"/>
        <v>1</v>
      </c>
      <c r="L413" s="961"/>
      <c r="M413" s="53">
        <f t="shared" si="71"/>
        <v>1</v>
      </c>
      <c r="N413" s="961"/>
      <c r="O413" s="53">
        <f t="shared" si="72"/>
        <v>1</v>
      </c>
      <c r="P413" s="961"/>
      <c r="Q413" s="53">
        <f t="shared" si="73"/>
        <v>1</v>
      </c>
      <c r="R413" s="489">
        <f t="shared" si="74"/>
        <v>0</v>
      </c>
      <c r="S413" s="798">
        <f t="shared" si="65"/>
        <v>0</v>
      </c>
    </row>
    <row r="414" spans="1:19">
      <c r="A414" s="963"/>
      <c r="B414" s="137"/>
      <c r="C414" s="53">
        <f t="shared" si="66"/>
        <v>1</v>
      </c>
      <c r="D414" s="961"/>
      <c r="E414" s="53">
        <f t="shared" si="67"/>
        <v>0</v>
      </c>
      <c r="F414" s="961"/>
      <c r="G414" s="53">
        <f t="shared" si="68"/>
        <v>1</v>
      </c>
      <c r="H414" s="961"/>
      <c r="I414" s="53">
        <f t="shared" si="69"/>
        <v>1</v>
      </c>
      <c r="J414" s="961"/>
      <c r="K414" s="53">
        <f t="shared" si="70"/>
        <v>1</v>
      </c>
      <c r="L414" s="961"/>
      <c r="M414" s="53">
        <f t="shared" si="71"/>
        <v>1</v>
      </c>
      <c r="N414" s="961"/>
      <c r="O414" s="53">
        <f t="shared" si="72"/>
        <v>1</v>
      </c>
      <c r="P414" s="961"/>
      <c r="Q414" s="53">
        <f t="shared" si="73"/>
        <v>1</v>
      </c>
      <c r="R414" s="489">
        <f t="shared" si="74"/>
        <v>0</v>
      </c>
      <c r="S414" s="798">
        <f t="shared" si="65"/>
        <v>0</v>
      </c>
    </row>
    <row r="415" spans="1:19">
      <c r="A415" s="963"/>
      <c r="B415" s="137"/>
      <c r="C415" s="53">
        <f t="shared" si="66"/>
        <v>1</v>
      </c>
      <c r="D415" s="961"/>
      <c r="E415" s="53">
        <f t="shared" si="67"/>
        <v>0</v>
      </c>
      <c r="F415" s="961"/>
      <c r="G415" s="53">
        <f t="shared" si="68"/>
        <v>1</v>
      </c>
      <c r="H415" s="961"/>
      <c r="I415" s="53">
        <f t="shared" si="69"/>
        <v>1</v>
      </c>
      <c r="J415" s="961"/>
      <c r="K415" s="53">
        <f t="shared" si="70"/>
        <v>1</v>
      </c>
      <c r="L415" s="961"/>
      <c r="M415" s="53">
        <f t="shared" si="71"/>
        <v>1</v>
      </c>
      <c r="N415" s="961"/>
      <c r="O415" s="53">
        <f t="shared" si="72"/>
        <v>1</v>
      </c>
      <c r="P415" s="961"/>
      <c r="Q415" s="53">
        <f t="shared" si="73"/>
        <v>1</v>
      </c>
      <c r="R415" s="489">
        <f t="shared" si="74"/>
        <v>0</v>
      </c>
      <c r="S415" s="798">
        <f t="shared" si="65"/>
        <v>0</v>
      </c>
    </row>
    <row r="416" spans="1:19">
      <c r="A416" s="963"/>
      <c r="B416" s="137"/>
      <c r="C416" s="53">
        <f t="shared" si="66"/>
        <v>1</v>
      </c>
      <c r="D416" s="961"/>
      <c r="E416" s="53">
        <f t="shared" si="67"/>
        <v>0</v>
      </c>
      <c r="F416" s="961"/>
      <c r="G416" s="53">
        <f t="shared" si="68"/>
        <v>1</v>
      </c>
      <c r="H416" s="961"/>
      <c r="I416" s="53">
        <f t="shared" si="69"/>
        <v>1</v>
      </c>
      <c r="J416" s="961"/>
      <c r="K416" s="53">
        <f t="shared" si="70"/>
        <v>1</v>
      </c>
      <c r="L416" s="961"/>
      <c r="M416" s="53">
        <f t="shared" si="71"/>
        <v>1</v>
      </c>
      <c r="N416" s="961"/>
      <c r="O416" s="53">
        <f t="shared" si="72"/>
        <v>1</v>
      </c>
      <c r="P416" s="961"/>
      <c r="Q416" s="53">
        <f t="shared" si="73"/>
        <v>1</v>
      </c>
      <c r="R416" s="489">
        <f t="shared" si="74"/>
        <v>0</v>
      </c>
      <c r="S416" s="798">
        <f t="shared" si="65"/>
        <v>0</v>
      </c>
    </row>
    <row r="417" spans="1:19">
      <c r="A417" s="963"/>
      <c r="B417" s="137"/>
      <c r="C417" s="53">
        <f t="shared" si="66"/>
        <v>1</v>
      </c>
      <c r="D417" s="961"/>
      <c r="E417" s="53">
        <f t="shared" si="67"/>
        <v>0</v>
      </c>
      <c r="F417" s="961"/>
      <c r="G417" s="53">
        <f t="shared" si="68"/>
        <v>1</v>
      </c>
      <c r="H417" s="961"/>
      <c r="I417" s="53">
        <f t="shared" si="69"/>
        <v>1</v>
      </c>
      <c r="J417" s="961"/>
      <c r="K417" s="53">
        <f t="shared" si="70"/>
        <v>1</v>
      </c>
      <c r="L417" s="961"/>
      <c r="M417" s="53">
        <f t="shared" si="71"/>
        <v>1</v>
      </c>
      <c r="N417" s="961"/>
      <c r="O417" s="53">
        <f t="shared" si="72"/>
        <v>1</v>
      </c>
      <c r="P417" s="961"/>
      <c r="Q417" s="53">
        <f t="shared" si="73"/>
        <v>1</v>
      </c>
      <c r="R417" s="489">
        <f t="shared" si="74"/>
        <v>0</v>
      </c>
      <c r="S417" s="798">
        <f t="shared" si="65"/>
        <v>0</v>
      </c>
    </row>
    <row r="418" spans="1:19">
      <c r="A418" s="963"/>
      <c r="B418" s="137"/>
      <c r="C418" s="53">
        <f t="shared" si="66"/>
        <v>1</v>
      </c>
      <c r="D418" s="961"/>
      <c r="E418" s="53">
        <f t="shared" si="67"/>
        <v>0</v>
      </c>
      <c r="F418" s="961"/>
      <c r="G418" s="53">
        <f t="shared" si="68"/>
        <v>1</v>
      </c>
      <c r="H418" s="961"/>
      <c r="I418" s="53">
        <f t="shared" si="69"/>
        <v>1</v>
      </c>
      <c r="J418" s="961"/>
      <c r="K418" s="53">
        <f t="shared" si="70"/>
        <v>1</v>
      </c>
      <c r="L418" s="961"/>
      <c r="M418" s="53">
        <f t="shared" si="71"/>
        <v>1</v>
      </c>
      <c r="N418" s="961"/>
      <c r="O418" s="53">
        <f t="shared" si="72"/>
        <v>1</v>
      </c>
      <c r="P418" s="961"/>
      <c r="Q418" s="53">
        <f t="shared" si="73"/>
        <v>1</v>
      </c>
      <c r="R418" s="489">
        <f t="shared" si="74"/>
        <v>0</v>
      </c>
      <c r="S418" s="798">
        <f t="shared" si="65"/>
        <v>0</v>
      </c>
    </row>
    <row r="419" spans="1:19">
      <c r="A419" s="963"/>
      <c r="B419" s="137"/>
      <c r="C419" s="53">
        <f t="shared" si="66"/>
        <v>1</v>
      </c>
      <c r="D419" s="961"/>
      <c r="E419" s="53">
        <f t="shared" si="67"/>
        <v>0</v>
      </c>
      <c r="F419" s="961"/>
      <c r="G419" s="53">
        <f t="shared" si="68"/>
        <v>1</v>
      </c>
      <c r="H419" s="961"/>
      <c r="I419" s="53">
        <f t="shared" si="69"/>
        <v>1</v>
      </c>
      <c r="J419" s="961"/>
      <c r="K419" s="53">
        <f t="shared" si="70"/>
        <v>1</v>
      </c>
      <c r="L419" s="961"/>
      <c r="M419" s="53">
        <f t="shared" si="71"/>
        <v>1</v>
      </c>
      <c r="N419" s="961"/>
      <c r="O419" s="53">
        <f t="shared" si="72"/>
        <v>1</v>
      </c>
      <c r="P419" s="961"/>
      <c r="Q419" s="53">
        <f t="shared" si="73"/>
        <v>1</v>
      </c>
      <c r="R419" s="489">
        <f t="shared" si="74"/>
        <v>0</v>
      </c>
      <c r="S419" s="798">
        <f t="shared" si="65"/>
        <v>0</v>
      </c>
    </row>
    <row r="420" spans="1:19">
      <c r="A420" s="963"/>
      <c r="B420" s="137"/>
      <c r="C420" s="53">
        <f t="shared" si="66"/>
        <v>1</v>
      </c>
      <c r="D420" s="961"/>
      <c r="E420" s="53">
        <f t="shared" si="67"/>
        <v>0</v>
      </c>
      <c r="F420" s="961"/>
      <c r="G420" s="53">
        <f t="shared" si="68"/>
        <v>1</v>
      </c>
      <c r="H420" s="961"/>
      <c r="I420" s="53">
        <f t="shared" si="69"/>
        <v>1</v>
      </c>
      <c r="J420" s="961"/>
      <c r="K420" s="53">
        <f t="shared" si="70"/>
        <v>1</v>
      </c>
      <c r="L420" s="961"/>
      <c r="M420" s="53">
        <f t="shared" si="71"/>
        <v>1</v>
      </c>
      <c r="N420" s="961"/>
      <c r="O420" s="53">
        <f t="shared" si="72"/>
        <v>1</v>
      </c>
      <c r="P420" s="961"/>
      <c r="Q420" s="53">
        <f t="shared" si="73"/>
        <v>1</v>
      </c>
      <c r="R420" s="489">
        <f t="shared" si="74"/>
        <v>0</v>
      </c>
      <c r="S420" s="798">
        <f t="shared" si="65"/>
        <v>0</v>
      </c>
    </row>
    <row r="421" spans="1:19">
      <c r="A421" s="963"/>
      <c r="B421" s="137"/>
      <c r="C421" s="53">
        <f t="shared" si="66"/>
        <v>1</v>
      </c>
      <c r="D421" s="961"/>
      <c r="E421" s="53">
        <f t="shared" si="67"/>
        <v>0</v>
      </c>
      <c r="F421" s="961"/>
      <c r="G421" s="53">
        <f t="shared" si="68"/>
        <v>1</v>
      </c>
      <c r="H421" s="961"/>
      <c r="I421" s="53">
        <f t="shared" si="69"/>
        <v>1</v>
      </c>
      <c r="J421" s="961"/>
      <c r="K421" s="53">
        <f t="shared" si="70"/>
        <v>1</v>
      </c>
      <c r="L421" s="961"/>
      <c r="M421" s="53">
        <f t="shared" si="71"/>
        <v>1</v>
      </c>
      <c r="N421" s="961"/>
      <c r="O421" s="53">
        <f t="shared" si="72"/>
        <v>1</v>
      </c>
      <c r="P421" s="961"/>
      <c r="Q421" s="53">
        <f t="shared" si="73"/>
        <v>1</v>
      </c>
      <c r="R421" s="489">
        <f t="shared" si="74"/>
        <v>0</v>
      </c>
      <c r="S421" s="798">
        <f t="shared" si="65"/>
        <v>0</v>
      </c>
    </row>
    <row r="422" spans="1:19">
      <c r="A422" s="963"/>
      <c r="B422" s="137"/>
      <c r="C422" s="53">
        <f t="shared" si="66"/>
        <v>1</v>
      </c>
      <c r="D422" s="961"/>
      <c r="E422" s="53">
        <f t="shared" si="67"/>
        <v>0</v>
      </c>
      <c r="F422" s="961"/>
      <c r="G422" s="53">
        <f t="shared" si="68"/>
        <v>1</v>
      </c>
      <c r="H422" s="961"/>
      <c r="I422" s="53">
        <f t="shared" si="69"/>
        <v>1</v>
      </c>
      <c r="J422" s="961"/>
      <c r="K422" s="53">
        <f t="shared" si="70"/>
        <v>1</v>
      </c>
      <c r="L422" s="961"/>
      <c r="M422" s="53">
        <f t="shared" si="71"/>
        <v>1</v>
      </c>
      <c r="N422" s="961"/>
      <c r="O422" s="53">
        <f t="shared" si="72"/>
        <v>1</v>
      </c>
      <c r="P422" s="961"/>
      <c r="Q422" s="53">
        <f t="shared" si="73"/>
        <v>1</v>
      </c>
      <c r="R422" s="489">
        <f t="shared" si="74"/>
        <v>0</v>
      </c>
      <c r="S422" s="798">
        <f t="shared" si="65"/>
        <v>0</v>
      </c>
    </row>
    <row r="423" spans="1:19">
      <c r="A423" s="963"/>
      <c r="B423" s="137"/>
      <c r="C423" s="53">
        <f t="shared" si="66"/>
        <v>1</v>
      </c>
      <c r="D423" s="961"/>
      <c r="E423" s="53">
        <f t="shared" si="67"/>
        <v>0</v>
      </c>
      <c r="F423" s="961"/>
      <c r="G423" s="53">
        <f t="shared" si="68"/>
        <v>1</v>
      </c>
      <c r="H423" s="961"/>
      <c r="I423" s="53">
        <f t="shared" si="69"/>
        <v>1</v>
      </c>
      <c r="J423" s="961"/>
      <c r="K423" s="53">
        <f t="shared" si="70"/>
        <v>1</v>
      </c>
      <c r="L423" s="961"/>
      <c r="M423" s="53">
        <f t="shared" si="71"/>
        <v>1</v>
      </c>
      <c r="N423" s="961"/>
      <c r="O423" s="53">
        <f t="shared" si="72"/>
        <v>1</v>
      </c>
      <c r="P423" s="961"/>
      <c r="Q423" s="53">
        <f t="shared" si="73"/>
        <v>1</v>
      </c>
      <c r="R423" s="489">
        <f t="shared" si="74"/>
        <v>0</v>
      </c>
      <c r="S423" s="798">
        <f t="shared" si="65"/>
        <v>0</v>
      </c>
    </row>
    <row r="424" spans="1:19">
      <c r="A424" s="963"/>
      <c r="B424" s="137"/>
      <c r="C424" s="53">
        <f t="shared" si="66"/>
        <v>1</v>
      </c>
      <c r="D424" s="961"/>
      <c r="E424" s="53">
        <f t="shared" si="67"/>
        <v>0</v>
      </c>
      <c r="F424" s="961"/>
      <c r="G424" s="53">
        <f t="shared" si="68"/>
        <v>1</v>
      </c>
      <c r="H424" s="961"/>
      <c r="I424" s="53">
        <f t="shared" si="69"/>
        <v>1</v>
      </c>
      <c r="J424" s="961"/>
      <c r="K424" s="53">
        <f t="shared" si="70"/>
        <v>1</v>
      </c>
      <c r="L424" s="961"/>
      <c r="M424" s="53">
        <f t="shared" si="71"/>
        <v>1</v>
      </c>
      <c r="N424" s="961"/>
      <c r="O424" s="53">
        <f t="shared" si="72"/>
        <v>1</v>
      </c>
      <c r="P424" s="961"/>
      <c r="Q424" s="53">
        <f t="shared" si="73"/>
        <v>1</v>
      </c>
      <c r="R424" s="489">
        <f t="shared" si="74"/>
        <v>0</v>
      </c>
      <c r="S424" s="798">
        <f t="shared" si="65"/>
        <v>0</v>
      </c>
    </row>
    <row r="425" spans="1:19">
      <c r="A425" s="963"/>
      <c r="B425" s="137"/>
      <c r="C425" s="53">
        <f t="shared" si="66"/>
        <v>1</v>
      </c>
      <c r="D425" s="961"/>
      <c r="E425" s="53">
        <f t="shared" si="67"/>
        <v>0</v>
      </c>
      <c r="F425" s="961"/>
      <c r="G425" s="53">
        <f t="shared" si="68"/>
        <v>1</v>
      </c>
      <c r="H425" s="961"/>
      <c r="I425" s="53">
        <f t="shared" si="69"/>
        <v>1</v>
      </c>
      <c r="J425" s="961"/>
      <c r="K425" s="53">
        <f t="shared" si="70"/>
        <v>1</v>
      </c>
      <c r="L425" s="961"/>
      <c r="M425" s="53">
        <f t="shared" si="71"/>
        <v>1</v>
      </c>
      <c r="N425" s="961"/>
      <c r="O425" s="53">
        <f t="shared" si="72"/>
        <v>1</v>
      </c>
      <c r="P425" s="961"/>
      <c r="Q425" s="53">
        <f t="shared" si="73"/>
        <v>1</v>
      </c>
      <c r="R425" s="489">
        <f t="shared" si="74"/>
        <v>0</v>
      </c>
      <c r="S425" s="798">
        <f t="shared" si="65"/>
        <v>0</v>
      </c>
    </row>
    <row r="426" spans="1:19">
      <c r="A426" s="963"/>
      <c r="B426" s="137"/>
      <c r="C426" s="53">
        <f t="shared" si="66"/>
        <v>1</v>
      </c>
      <c r="D426" s="961"/>
      <c r="E426" s="53">
        <f t="shared" si="67"/>
        <v>0</v>
      </c>
      <c r="F426" s="961"/>
      <c r="G426" s="53">
        <f t="shared" si="68"/>
        <v>1</v>
      </c>
      <c r="H426" s="961"/>
      <c r="I426" s="53">
        <f t="shared" si="69"/>
        <v>1</v>
      </c>
      <c r="J426" s="961"/>
      <c r="K426" s="53">
        <f t="shared" si="70"/>
        <v>1</v>
      </c>
      <c r="L426" s="961"/>
      <c r="M426" s="53">
        <f t="shared" si="71"/>
        <v>1</v>
      </c>
      <c r="N426" s="961"/>
      <c r="O426" s="53">
        <f t="shared" si="72"/>
        <v>1</v>
      </c>
      <c r="P426" s="961"/>
      <c r="Q426" s="53">
        <f t="shared" si="73"/>
        <v>1</v>
      </c>
      <c r="R426" s="489">
        <f t="shared" si="74"/>
        <v>0</v>
      </c>
      <c r="S426" s="798">
        <f t="shared" si="65"/>
        <v>0</v>
      </c>
    </row>
    <row r="427" spans="1:19">
      <c r="A427" s="963"/>
      <c r="B427" s="137"/>
      <c r="C427" s="53">
        <f t="shared" si="66"/>
        <v>1</v>
      </c>
      <c r="D427" s="961"/>
      <c r="E427" s="53">
        <f t="shared" si="67"/>
        <v>0</v>
      </c>
      <c r="F427" s="961"/>
      <c r="G427" s="53">
        <f t="shared" si="68"/>
        <v>1</v>
      </c>
      <c r="H427" s="961"/>
      <c r="I427" s="53">
        <f t="shared" si="69"/>
        <v>1</v>
      </c>
      <c r="J427" s="961"/>
      <c r="K427" s="53">
        <f t="shared" si="70"/>
        <v>1</v>
      </c>
      <c r="L427" s="961"/>
      <c r="M427" s="53">
        <f t="shared" si="71"/>
        <v>1</v>
      </c>
      <c r="N427" s="961"/>
      <c r="O427" s="53">
        <f t="shared" si="72"/>
        <v>1</v>
      </c>
      <c r="P427" s="961"/>
      <c r="Q427" s="53">
        <f t="shared" si="73"/>
        <v>1</v>
      </c>
      <c r="R427" s="489">
        <f t="shared" si="74"/>
        <v>0</v>
      </c>
      <c r="S427" s="798">
        <f t="shared" si="65"/>
        <v>0</v>
      </c>
    </row>
    <row r="428" spans="1:19">
      <c r="A428" s="963"/>
      <c r="B428" s="137"/>
      <c r="C428" s="53">
        <f t="shared" si="66"/>
        <v>1</v>
      </c>
      <c r="D428" s="961"/>
      <c r="E428" s="53">
        <f t="shared" si="67"/>
        <v>0</v>
      </c>
      <c r="F428" s="961"/>
      <c r="G428" s="53">
        <f t="shared" si="68"/>
        <v>1</v>
      </c>
      <c r="H428" s="961"/>
      <c r="I428" s="53">
        <f t="shared" si="69"/>
        <v>1</v>
      </c>
      <c r="J428" s="961"/>
      <c r="K428" s="53">
        <f t="shared" si="70"/>
        <v>1</v>
      </c>
      <c r="L428" s="961"/>
      <c r="M428" s="53">
        <f t="shared" si="71"/>
        <v>1</v>
      </c>
      <c r="N428" s="961"/>
      <c r="O428" s="53">
        <f t="shared" si="72"/>
        <v>1</v>
      </c>
      <c r="P428" s="961"/>
      <c r="Q428" s="53">
        <f t="shared" si="73"/>
        <v>1</v>
      </c>
      <c r="R428" s="489">
        <f t="shared" si="74"/>
        <v>0</v>
      </c>
      <c r="S428" s="798">
        <f t="shared" si="65"/>
        <v>0</v>
      </c>
    </row>
    <row r="429" spans="1:19">
      <c r="A429" s="963"/>
      <c r="B429" s="137"/>
      <c r="C429" s="53">
        <f t="shared" si="66"/>
        <v>1</v>
      </c>
      <c r="D429" s="961"/>
      <c r="E429" s="53">
        <f t="shared" si="67"/>
        <v>0</v>
      </c>
      <c r="F429" s="961"/>
      <c r="G429" s="53">
        <f t="shared" si="68"/>
        <v>1</v>
      </c>
      <c r="H429" s="961"/>
      <c r="I429" s="53">
        <f t="shared" si="69"/>
        <v>1</v>
      </c>
      <c r="J429" s="961"/>
      <c r="K429" s="53">
        <f t="shared" si="70"/>
        <v>1</v>
      </c>
      <c r="L429" s="961"/>
      <c r="M429" s="53">
        <f t="shared" si="71"/>
        <v>1</v>
      </c>
      <c r="N429" s="961"/>
      <c r="O429" s="53">
        <f t="shared" si="72"/>
        <v>1</v>
      </c>
      <c r="P429" s="961"/>
      <c r="Q429" s="53">
        <f t="shared" si="73"/>
        <v>1</v>
      </c>
      <c r="R429" s="489">
        <f t="shared" si="74"/>
        <v>0</v>
      </c>
      <c r="S429" s="798">
        <f t="shared" si="65"/>
        <v>0</v>
      </c>
    </row>
    <row r="430" spans="1:19">
      <c r="A430" s="963"/>
      <c r="B430" s="137"/>
      <c r="C430" s="53">
        <f t="shared" si="66"/>
        <v>1</v>
      </c>
      <c r="D430" s="961"/>
      <c r="E430" s="53">
        <f t="shared" si="67"/>
        <v>0</v>
      </c>
      <c r="F430" s="961"/>
      <c r="G430" s="53">
        <f t="shared" si="68"/>
        <v>1</v>
      </c>
      <c r="H430" s="961"/>
      <c r="I430" s="53">
        <f t="shared" si="69"/>
        <v>1</v>
      </c>
      <c r="J430" s="961"/>
      <c r="K430" s="53">
        <f t="shared" si="70"/>
        <v>1</v>
      </c>
      <c r="L430" s="961"/>
      <c r="M430" s="53">
        <f t="shared" si="71"/>
        <v>1</v>
      </c>
      <c r="N430" s="961"/>
      <c r="O430" s="53">
        <f t="shared" si="72"/>
        <v>1</v>
      </c>
      <c r="P430" s="961"/>
      <c r="Q430" s="53">
        <f t="shared" si="73"/>
        <v>1</v>
      </c>
      <c r="R430" s="489">
        <f t="shared" si="74"/>
        <v>0</v>
      </c>
      <c r="S430" s="798">
        <f t="shared" si="65"/>
        <v>0</v>
      </c>
    </row>
    <row r="431" spans="1:19">
      <c r="A431" s="963"/>
      <c r="B431" s="137"/>
      <c r="C431" s="53">
        <f t="shared" si="66"/>
        <v>1</v>
      </c>
      <c r="D431" s="961"/>
      <c r="E431" s="53">
        <f t="shared" si="67"/>
        <v>0</v>
      </c>
      <c r="F431" s="961"/>
      <c r="G431" s="53">
        <f t="shared" si="68"/>
        <v>1</v>
      </c>
      <c r="H431" s="961"/>
      <c r="I431" s="53">
        <f t="shared" si="69"/>
        <v>1</v>
      </c>
      <c r="J431" s="961"/>
      <c r="K431" s="53">
        <f t="shared" si="70"/>
        <v>1</v>
      </c>
      <c r="L431" s="961"/>
      <c r="M431" s="53">
        <f t="shared" si="71"/>
        <v>1</v>
      </c>
      <c r="N431" s="961"/>
      <c r="O431" s="53">
        <f t="shared" si="72"/>
        <v>1</v>
      </c>
      <c r="P431" s="961"/>
      <c r="Q431" s="53">
        <f t="shared" si="73"/>
        <v>1</v>
      </c>
      <c r="R431" s="489">
        <f t="shared" si="74"/>
        <v>0</v>
      </c>
      <c r="S431" s="798">
        <f t="shared" si="65"/>
        <v>0</v>
      </c>
    </row>
    <row r="432" spans="1:19">
      <c r="A432" s="963"/>
      <c r="B432" s="137"/>
      <c r="C432" s="53">
        <f t="shared" si="66"/>
        <v>1</v>
      </c>
      <c r="D432" s="961"/>
      <c r="E432" s="53">
        <f t="shared" si="67"/>
        <v>0</v>
      </c>
      <c r="F432" s="961"/>
      <c r="G432" s="53">
        <f t="shared" si="68"/>
        <v>1</v>
      </c>
      <c r="H432" s="961"/>
      <c r="I432" s="53">
        <f t="shared" si="69"/>
        <v>1</v>
      </c>
      <c r="J432" s="961"/>
      <c r="K432" s="53">
        <f t="shared" si="70"/>
        <v>1</v>
      </c>
      <c r="L432" s="961"/>
      <c r="M432" s="53">
        <f t="shared" si="71"/>
        <v>1</v>
      </c>
      <c r="N432" s="961"/>
      <c r="O432" s="53">
        <f t="shared" si="72"/>
        <v>1</v>
      </c>
      <c r="P432" s="961"/>
      <c r="Q432" s="53">
        <f t="shared" si="73"/>
        <v>1</v>
      </c>
      <c r="R432" s="489">
        <f t="shared" si="74"/>
        <v>0</v>
      </c>
      <c r="S432" s="798">
        <f t="shared" si="65"/>
        <v>0</v>
      </c>
    </row>
    <row r="433" spans="1:19">
      <c r="A433" s="963"/>
      <c r="B433" s="137"/>
      <c r="C433" s="53">
        <f t="shared" si="66"/>
        <v>1</v>
      </c>
      <c r="D433" s="961"/>
      <c r="E433" s="53">
        <f t="shared" si="67"/>
        <v>0</v>
      </c>
      <c r="F433" s="961"/>
      <c r="G433" s="53">
        <f t="shared" si="68"/>
        <v>1</v>
      </c>
      <c r="H433" s="961"/>
      <c r="I433" s="53">
        <f t="shared" si="69"/>
        <v>1</v>
      </c>
      <c r="J433" s="961"/>
      <c r="K433" s="53">
        <f t="shared" si="70"/>
        <v>1</v>
      </c>
      <c r="L433" s="961"/>
      <c r="M433" s="53">
        <f t="shared" si="71"/>
        <v>1</v>
      </c>
      <c r="N433" s="961"/>
      <c r="O433" s="53">
        <f t="shared" si="72"/>
        <v>1</v>
      </c>
      <c r="P433" s="961"/>
      <c r="Q433" s="53">
        <f t="shared" si="73"/>
        <v>1</v>
      </c>
      <c r="R433" s="489">
        <f t="shared" si="74"/>
        <v>0</v>
      </c>
      <c r="S433" s="798">
        <f t="shared" si="65"/>
        <v>0</v>
      </c>
    </row>
    <row r="434" spans="1:19">
      <c r="A434" s="963"/>
      <c r="B434" s="137"/>
      <c r="C434" s="53">
        <f t="shared" si="66"/>
        <v>1</v>
      </c>
      <c r="D434" s="961"/>
      <c r="E434" s="53">
        <f t="shared" si="67"/>
        <v>0</v>
      </c>
      <c r="F434" s="961"/>
      <c r="G434" s="53">
        <f t="shared" si="68"/>
        <v>1</v>
      </c>
      <c r="H434" s="961"/>
      <c r="I434" s="53">
        <f t="shared" si="69"/>
        <v>1</v>
      </c>
      <c r="J434" s="961"/>
      <c r="K434" s="53">
        <f t="shared" si="70"/>
        <v>1</v>
      </c>
      <c r="L434" s="961"/>
      <c r="M434" s="53">
        <f t="shared" si="71"/>
        <v>1</v>
      </c>
      <c r="N434" s="961"/>
      <c r="O434" s="53">
        <f t="shared" si="72"/>
        <v>1</v>
      </c>
      <c r="P434" s="961"/>
      <c r="Q434" s="53">
        <f t="shared" si="73"/>
        <v>1</v>
      </c>
      <c r="R434" s="489">
        <f t="shared" si="74"/>
        <v>0</v>
      </c>
      <c r="S434" s="798">
        <f t="shared" si="65"/>
        <v>0</v>
      </c>
    </row>
    <row r="435" spans="1:19">
      <c r="A435" s="963"/>
      <c r="B435" s="137"/>
      <c r="C435" s="53">
        <f t="shared" si="66"/>
        <v>1</v>
      </c>
      <c r="D435" s="961"/>
      <c r="E435" s="53">
        <f t="shared" si="67"/>
        <v>0</v>
      </c>
      <c r="F435" s="961"/>
      <c r="G435" s="53">
        <f t="shared" si="68"/>
        <v>1</v>
      </c>
      <c r="H435" s="961"/>
      <c r="I435" s="53">
        <f t="shared" si="69"/>
        <v>1</v>
      </c>
      <c r="J435" s="961"/>
      <c r="K435" s="53">
        <f t="shared" si="70"/>
        <v>1</v>
      </c>
      <c r="L435" s="961"/>
      <c r="M435" s="53">
        <f t="shared" si="71"/>
        <v>1</v>
      </c>
      <c r="N435" s="961"/>
      <c r="O435" s="53">
        <f t="shared" si="72"/>
        <v>1</v>
      </c>
      <c r="P435" s="961"/>
      <c r="Q435" s="53">
        <f t="shared" si="73"/>
        <v>1</v>
      </c>
      <c r="R435" s="489">
        <f t="shared" si="74"/>
        <v>0</v>
      </c>
      <c r="S435" s="798">
        <f t="shared" si="65"/>
        <v>0</v>
      </c>
    </row>
    <row r="436" spans="1:19">
      <c r="A436" s="963"/>
      <c r="B436" s="137"/>
      <c r="C436" s="53">
        <f t="shared" si="66"/>
        <v>1</v>
      </c>
      <c r="D436" s="961"/>
      <c r="E436" s="53">
        <f t="shared" si="67"/>
        <v>0</v>
      </c>
      <c r="F436" s="961"/>
      <c r="G436" s="53">
        <f t="shared" si="68"/>
        <v>1</v>
      </c>
      <c r="H436" s="961"/>
      <c r="I436" s="53">
        <f t="shared" si="69"/>
        <v>1</v>
      </c>
      <c r="J436" s="961"/>
      <c r="K436" s="53">
        <f t="shared" si="70"/>
        <v>1</v>
      </c>
      <c r="L436" s="961"/>
      <c r="M436" s="53">
        <f t="shared" si="71"/>
        <v>1</v>
      </c>
      <c r="N436" s="961"/>
      <c r="O436" s="53">
        <f t="shared" si="72"/>
        <v>1</v>
      </c>
      <c r="P436" s="961"/>
      <c r="Q436" s="53">
        <f t="shared" si="73"/>
        <v>1</v>
      </c>
      <c r="R436" s="489">
        <f t="shared" si="74"/>
        <v>0</v>
      </c>
      <c r="S436" s="798">
        <f t="shared" si="65"/>
        <v>0</v>
      </c>
    </row>
    <row r="437" spans="1:19">
      <c r="A437" s="963"/>
      <c r="B437" s="137"/>
      <c r="C437" s="53">
        <f t="shared" si="66"/>
        <v>1</v>
      </c>
      <c r="D437" s="961"/>
      <c r="E437" s="53">
        <f t="shared" si="67"/>
        <v>0</v>
      </c>
      <c r="F437" s="961"/>
      <c r="G437" s="53">
        <f t="shared" si="68"/>
        <v>1</v>
      </c>
      <c r="H437" s="961"/>
      <c r="I437" s="53">
        <f t="shared" si="69"/>
        <v>1</v>
      </c>
      <c r="J437" s="961"/>
      <c r="K437" s="53">
        <f t="shared" si="70"/>
        <v>1</v>
      </c>
      <c r="L437" s="961"/>
      <c r="M437" s="53">
        <f t="shared" si="71"/>
        <v>1</v>
      </c>
      <c r="N437" s="961"/>
      <c r="O437" s="53">
        <f t="shared" si="72"/>
        <v>1</v>
      </c>
      <c r="P437" s="961"/>
      <c r="Q437" s="53">
        <f t="shared" si="73"/>
        <v>1</v>
      </c>
      <c r="R437" s="489">
        <f t="shared" si="74"/>
        <v>0</v>
      </c>
      <c r="S437" s="798">
        <f t="shared" si="65"/>
        <v>0</v>
      </c>
    </row>
    <row r="438" spans="1:19">
      <c r="A438" s="963"/>
      <c r="B438" s="137"/>
      <c r="C438" s="53">
        <f t="shared" si="66"/>
        <v>1</v>
      </c>
      <c r="D438" s="961"/>
      <c r="E438" s="53">
        <f t="shared" si="67"/>
        <v>0</v>
      </c>
      <c r="F438" s="961"/>
      <c r="G438" s="53">
        <f t="shared" si="68"/>
        <v>1</v>
      </c>
      <c r="H438" s="961"/>
      <c r="I438" s="53">
        <f t="shared" si="69"/>
        <v>1</v>
      </c>
      <c r="J438" s="961"/>
      <c r="K438" s="53">
        <f t="shared" si="70"/>
        <v>1</v>
      </c>
      <c r="L438" s="961"/>
      <c r="M438" s="53">
        <f t="shared" si="71"/>
        <v>1</v>
      </c>
      <c r="N438" s="961"/>
      <c r="O438" s="53">
        <f t="shared" si="72"/>
        <v>1</v>
      </c>
      <c r="P438" s="961"/>
      <c r="Q438" s="53">
        <f t="shared" si="73"/>
        <v>1</v>
      </c>
      <c r="R438" s="489">
        <f t="shared" si="74"/>
        <v>0</v>
      </c>
      <c r="S438" s="798">
        <f t="shared" si="65"/>
        <v>0</v>
      </c>
    </row>
    <row r="439" spans="1:19">
      <c r="A439" s="963"/>
      <c r="B439" s="137"/>
      <c r="C439" s="53">
        <f t="shared" si="66"/>
        <v>1</v>
      </c>
      <c r="D439" s="961"/>
      <c r="E439" s="53">
        <f t="shared" si="67"/>
        <v>0</v>
      </c>
      <c r="F439" s="961"/>
      <c r="G439" s="53">
        <f t="shared" si="68"/>
        <v>1</v>
      </c>
      <c r="H439" s="961"/>
      <c r="I439" s="53">
        <f t="shared" si="69"/>
        <v>1</v>
      </c>
      <c r="J439" s="961"/>
      <c r="K439" s="53">
        <f t="shared" si="70"/>
        <v>1</v>
      </c>
      <c r="L439" s="961"/>
      <c r="M439" s="53">
        <f t="shared" si="71"/>
        <v>1</v>
      </c>
      <c r="N439" s="961"/>
      <c r="O439" s="53">
        <f t="shared" si="72"/>
        <v>1</v>
      </c>
      <c r="P439" s="961"/>
      <c r="Q439" s="53">
        <f t="shared" si="73"/>
        <v>1</v>
      </c>
      <c r="R439" s="489">
        <f t="shared" si="74"/>
        <v>0</v>
      </c>
      <c r="S439" s="798">
        <f t="shared" si="65"/>
        <v>0</v>
      </c>
    </row>
    <row r="440" spans="1:19">
      <c r="A440" s="963"/>
      <c r="B440" s="137"/>
      <c r="C440" s="53">
        <f t="shared" si="66"/>
        <v>1</v>
      </c>
      <c r="D440" s="961"/>
      <c r="E440" s="53">
        <f t="shared" si="67"/>
        <v>0</v>
      </c>
      <c r="F440" s="961"/>
      <c r="G440" s="53">
        <f t="shared" si="68"/>
        <v>1</v>
      </c>
      <c r="H440" s="961"/>
      <c r="I440" s="53">
        <f t="shared" si="69"/>
        <v>1</v>
      </c>
      <c r="J440" s="961"/>
      <c r="K440" s="53">
        <f t="shared" si="70"/>
        <v>1</v>
      </c>
      <c r="L440" s="961"/>
      <c r="M440" s="53">
        <f t="shared" si="71"/>
        <v>1</v>
      </c>
      <c r="N440" s="961"/>
      <c r="O440" s="53">
        <f t="shared" si="72"/>
        <v>1</v>
      </c>
      <c r="P440" s="961"/>
      <c r="Q440" s="53">
        <f t="shared" si="73"/>
        <v>1</v>
      </c>
      <c r="R440" s="489">
        <f t="shared" si="74"/>
        <v>0</v>
      </c>
      <c r="S440" s="798">
        <f t="shared" si="65"/>
        <v>0</v>
      </c>
    </row>
    <row r="441" spans="1:19">
      <c r="A441" s="963"/>
      <c r="B441" s="137"/>
      <c r="C441" s="53">
        <f t="shared" si="66"/>
        <v>1</v>
      </c>
      <c r="D441" s="961"/>
      <c r="E441" s="53">
        <f t="shared" si="67"/>
        <v>0</v>
      </c>
      <c r="F441" s="961"/>
      <c r="G441" s="53">
        <f t="shared" si="68"/>
        <v>1</v>
      </c>
      <c r="H441" s="961"/>
      <c r="I441" s="53">
        <f t="shared" si="69"/>
        <v>1</v>
      </c>
      <c r="J441" s="961"/>
      <c r="K441" s="53">
        <f t="shared" si="70"/>
        <v>1</v>
      </c>
      <c r="L441" s="961"/>
      <c r="M441" s="53">
        <f t="shared" si="71"/>
        <v>1</v>
      </c>
      <c r="N441" s="961"/>
      <c r="O441" s="53">
        <f t="shared" si="72"/>
        <v>1</v>
      </c>
      <c r="P441" s="961"/>
      <c r="Q441" s="53">
        <f t="shared" si="73"/>
        <v>1</v>
      </c>
      <c r="R441" s="489">
        <f t="shared" si="74"/>
        <v>0</v>
      </c>
      <c r="S441" s="798">
        <f t="shared" si="65"/>
        <v>0</v>
      </c>
    </row>
    <row r="442" spans="1:19">
      <c r="A442" s="963"/>
      <c r="B442" s="137"/>
      <c r="C442" s="53">
        <f t="shared" si="66"/>
        <v>1</v>
      </c>
      <c r="D442" s="961"/>
      <c r="E442" s="53">
        <f t="shared" si="67"/>
        <v>0</v>
      </c>
      <c r="F442" s="961"/>
      <c r="G442" s="53">
        <f t="shared" si="68"/>
        <v>1</v>
      </c>
      <c r="H442" s="961"/>
      <c r="I442" s="53">
        <f t="shared" si="69"/>
        <v>1</v>
      </c>
      <c r="J442" s="961"/>
      <c r="K442" s="53">
        <f t="shared" si="70"/>
        <v>1</v>
      </c>
      <c r="L442" s="961"/>
      <c r="M442" s="53">
        <f t="shared" si="71"/>
        <v>1</v>
      </c>
      <c r="N442" s="961"/>
      <c r="O442" s="53">
        <f t="shared" si="72"/>
        <v>1</v>
      </c>
      <c r="P442" s="961"/>
      <c r="Q442" s="53">
        <f t="shared" si="73"/>
        <v>1</v>
      </c>
      <c r="R442" s="489">
        <f t="shared" si="74"/>
        <v>0</v>
      </c>
      <c r="S442" s="798">
        <f t="shared" si="65"/>
        <v>0</v>
      </c>
    </row>
    <row r="443" spans="1:19">
      <c r="A443" s="963"/>
      <c r="B443" s="137"/>
      <c r="C443" s="53">
        <f t="shared" si="66"/>
        <v>1</v>
      </c>
      <c r="D443" s="961"/>
      <c r="E443" s="53">
        <f t="shared" si="67"/>
        <v>0</v>
      </c>
      <c r="F443" s="961"/>
      <c r="G443" s="53">
        <f t="shared" si="68"/>
        <v>1</v>
      </c>
      <c r="H443" s="961"/>
      <c r="I443" s="53">
        <f t="shared" si="69"/>
        <v>1</v>
      </c>
      <c r="J443" s="961"/>
      <c r="K443" s="53">
        <f t="shared" si="70"/>
        <v>1</v>
      </c>
      <c r="L443" s="961"/>
      <c r="M443" s="53">
        <f t="shared" si="71"/>
        <v>1</v>
      </c>
      <c r="N443" s="961"/>
      <c r="O443" s="53">
        <f t="shared" si="72"/>
        <v>1</v>
      </c>
      <c r="P443" s="961"/>
      <c r="Q443" s="53">
        <f t="shared" si="73"/>
        <v>1</v>
      </c>
      <c r="R443" s="489">
        <f t="shared" si="74"/>
        <v>0</v>
      </c>
      <c r="S443" s="798">
        <f t="shared" si="65"/>
        <v>0</v>
      </c>
    </row>
    <row r="444" spans="1:19">
      <c r="A444" s="963"/>
      <c r="B444" s="137"/>
      <c r="C444" s="53">
        <f t="shared" si="66"/>
        <v>1</v>
      </c>
      <c r="D444" s="961"/>
      <c r="E444" s="53">
        <f t="shared" si="67"/>
        <v>0</v>
      </c>
      <c r="F444" s="961"/>
      <c r="G444" s="53">
        <f t="shared" si="68"/>
        <v>1</v>
      </c>
      <c r="H444" s="961"/>
      <c r="I444" s="53">
        <f t="shared" si="69"/>
        <v>1</v>
      </c>
      <c r="J444" s="961"/>
      <c r="K444" s="53">
        <f t="shared" si="70"/>
        <v>1</v>
      </c>
      <c r="L444" s="961"/>
      <c r="M444" s="53">
        <f t="shared" si="71"/>
        <v>1</v>
      </c>
      <c r="N444" s="961"/>
      <c r="O444" s="53">
        <f t="shared" si="72"/>
        <v>1</v>
      </c>
      <c r="P444" s="961"/>
      <c r="Q444" s="53">
        <f t="shared" si="73"/>
        <v>1</v>
      </c>
      <c r="R444" s="489">
        <f t="shared" si="74"/>
        <v>0</v>
      </c>
      <c r="S444" s="798">
        <f t="shared" si="65"/>
        <v>0</v>
      </c>
    </row>
    <row r="445" spans="1:19">
      <c r="A445" s="963"/>
      <c r="B445" s="137"/>
      <c r="C445" s="53">
        <f t="shared" si="66"/>
        <v>1</v>
      </c>
      <c r="D445" s="961"/>
      <c r="E445" s="53">
        <f t="shared" si="67"/>
        <v>0</v>
      </c>
      <c r="F445" s="961"/>
      <c r="G445" s="53">
        <f t="shared" si="68"/>
        <v>1</v>
      </c>
      <c r="H445" s="961"/>
      <c r="I445" s="53">
        <f t="shared" si="69"/>
        <v>1</v>
      </c>
      <c r="J445" s="961"/>
      <c r="K445" s="53">
        <f t="shared" si="70"/>
        <v>1</v>
      </c>
      <c r="L445" s="961"/>
      <c r="M445" s="53">
        <f t="shared" si="71"/>
        <v>1</v>
      </c>
      <c r="N445" s="961"/>
      <c r="O445" s="53">
        <f t="shared" si="72"/>
        <v>1</v>
      </c>
      <c r="P445" s="961"/>
      <c r="Q445" s="53">
        <f t="shared" si="73"/>
        <v>1</v>
      </c>
      <c r="R445" s="489">
        <f t="shared" si="74"/>
        <v>0</v>
      </c>
      <c r="S445" s="798">
        <f t="shared" si="65"/>
        <v>0</v>
      </c>
    </row>
    <row r="446" spans="1:19">
      <c r="A446" s="963"/>
      <c r="B446" s="137"/>
      <c r="C446" s="53">
        <f t="shared" si="66"/>
        <v>1</v>
      </c>
      <c r="D446" s="961"/>
      <c r="E446" s="53">
        <f t="shared" si="67"/>
        <v>0</v>
      </c>
      <c r="F446" s="961"/>
      <c r="G446" s="53">
        <f t="shared" si="68"/>
        <v>1</v>
      </c>
      <c r="H446" s="961"/>
      <c r="I446" s="53">
        <f t="shared" si="69"/>
        <v>1</v>
      </c>
      <c r="J446" s="961"/>
      <c r="K446" s="53">
        <f t="shared" si="70"/>
        <v>1</v>
      </c>
      <c r="L446" s="961"/>
      <c r="M446" s="53">
        <f t="shared" si="71"/>
        <v>1</v>
      </c>
      <c r="N446" s="961"/>
      <c r="O446" s="53">
        <f t="shared" si="72"/>
        <v>1</v>
      </c>
      <c r="P446" s="961"/>
      <c r="Q446" s="53">
        <f t="shared" si="73"/>
        <v>1</v>
      </c>
      <c r="R446" s="489">
        <f t="shared" si="74"/>
        <v>0</v>
      </c>
      <c r="S446" s="798">
        <f t="shared" si="65"/>
        <v>0</v>
      </c>
    </row>
    <row r="447" spans="1:19">
      <c r="A447" s="963"/>
      <c r="B447" s="137"/>
      <c r="C447" s="53">
        <f t="shared" si="66"/>
        <v>1</v>
      </c>
      <c r="D447" s="961"/>
      <c r="E447" s="53">
        <f t="shared" si="67"/>
        <v>0</v>
      </c>
      <c r="F447" s="961"/>
      <c r="G447" s="53">
        <f t="shared" si="68"/>
        <v>1</v>
      </c>
      <c r="H447" s="961"/>
      <c r="I447" s="53">
        <f t="shared" si="69"/>
        <v>1</v>
      </c>
      <c r="J447" s="961"/>
      <c r="K447" s="53">
        <f t="shared" si="70"/>
        <v>1</v>
      </c>
      <c r="L447" s="961"/>
      <c r="M447" s="53">
        <f t="shared" si="71"/>
        <v>1</v>
      </c>
      <c r="N447" s="961"/>
      <c r="O447" s="53">
        <f t="shared" si="72"/>
        <v>1</v>
      </c>
      <c r="P447" s="961"/>
      <c r="Q447" s="53">
        <f t="shared" si="73"/>
        <v>1</v>
      </c>
      <c r="R447" s="489">
        <f t="shared" si="74"/>
        <v>0</v>
      </c>
      <c r="S447" s="798">
        <f t="shared" si="65"/>
        <v>0</v>
      </c>
    </row>
    <row r="448" spans="1:19">
      <c r="A448" s="963"/>
      <c r="B448" s="137"/>
      <c r="C448" s="53">
        <f t="shared" si="66"/>
        <v>1</v>
      </c>
      <c r="D448" s="961"/>
      <c r="E448" s="53">
        <f t="shared" si="67"/>
        <v>0</v>
      </c>
      <c r="F448" s="961"/>
      <c r="G448" s="53">
        <f t="shared" si="68"/>
        <v>1</v>
      </c>
      <c r="H448" s="961"/>
      <c r="I448" s="53">
        <f t="shared" si="69"/>
        <v>1</v>
      </c>
      <c r="J448" s="961"/>
      <c r="K448" s="53">
        <f t="shared" si="70"/>
        <v>1</v>
      </c>
      <c r="L448" s="961"/>
      <c r="M448" s="53">
        <f t="shared" si="71"/>
        <v>1</v>
      </c>
      <c r="N448" s="961"/>
      <c r="O448" s="53">
        <f t="shared" si="72"/>
        <v>1</v>
      </c>
      <c r="P448" s="961"/>
      <c r="Q448" s="53">
        <f t="shared" si="73"/>
        <v>1</v>
      </c>
      <c r="R448" s="489">
        <f t="shared" si="74"/>
        <v>0</v>
      </c>
      <c r="S448" s="798">
        <f t="shared" si="65"/>
        <v>0</v>
      </c>
    </row>
    <row r="449" spans="1:19">
      <c r="A449" s="963"/>
      <c r="B449" s="137"/>
      <c r="C449" s="53">
        <f t="shared" si="66"/>
        <v>1</v>
      </c>
      <c r="D449" s="961"/>
      <c r="E449" s="53">
        <f t="shared" si="67"/>
        <v>0</v>
      </c>
      <c r="F449" s="961"/>
      <c r="G449" s="53">
        <f t="shared" si="68"/>
        <v>1</v>
      </c>
      <c r="H449" s="961"/>
      <c r="I449" s="53">
        <f t="shared" si="69"/>
        <v>1</v>
      </c>
      <c r="J449" s="961"/>
      <c r="K449" s="53">
        <f t="shared" si="70"/>
        <v>1</v>
      </c>
      <c r="L449" s="961"/>
      <c r="M449" s="53">
        <f t="shared" si="71"/>
        <v>1</v>
      </c>
      <c r="N449" s="961"/>
      <c r="O449" s="53">
        <f t="shared" si="72"/>
        <v>1</v>
      </c>
      <c r="P449" s="961"/>
      <c r="Q449" s="53">
        <f t="shared" si="73"/>
        <v>1</v>
      </c>
      <c r="R449" s="489">
        <f t="shared" si="74"/>
        <v>0</v>
      </c>
      <c r="S449" s="798">
        <f t="shared" si="65"/>
        <v>0</v>
      </c>
    </row>
    <row r="450" spans="1:19">
      <c r="A450" s="963"/>
      <c r="B450" s="137"/>
      <c r="C450" s="53">
        <f t="shared" si="66"/>
        <v>1</v>
      </c>
      <c r="D450" s="961"/>
      <c r="E450" s="53">
        <f t="shared" si="67"/>
        <v>0</v>
      </c>
      <c r="F450" s="961"/>
      <c r="G450" s="53">
        <f t="shared" si="68"/>
        <v>1</v>
      </c>
      <c r="H450" s="961"/>
      <c r="I450" s="53">
        <f t="shared" si="69"/>
        <v>1</v>
      </c>
      <c r="J450" s="961"/>
      <c r="K450" s="53">
        <f t="shared" si="70"/>
        <v>1</v>
      </c>
      <c r="L450" s="961"/>
      <c r="M450" s="53">
        <f t="shared" si="71"/>
        <v>1</v>
      </c>
      <c r="N450" s="961"/>
      <c r="O450" s="53">
        <f t="shared" si="72"/>
        <v>1</v>
      </c>
      <c r="P450" s="961"/>
      <c r="Q450" s="53">
        <f t="shared" si="73"/>
        <v>1</v>
      </c>
      <c r="R450" s="489">
        <f t="shared" si="74"/>
        <v>0</v>
      </c>
      <c r="S450" s="798">
        <f t="shared" si="65"/>
        <v>0</v>
      </c>
    </row>
    <row r="451" spans="1:19">
      <c r="A451" s="963"/>
      <c r="B451" s="137"/>
      <c r="C451" s="53">
        <f t="shared" si="66"/>
        <v>1</v>
      </c>
      <c r="D451" s="961"/>
      <c r="E451" s="53">
        <f t="shared" si="67"/>
        <v>0</v>
      </c>
      <c r="F451" s="961"/>
      <c r="G451" s="53">
        <f t="shared" si="68"/>
        <v>1</v>
      </c>
      <c r="H451" s="961"/>
      <c r="I451" s="53">
        <f t="shared" si="69"/>
        <v>1</v>
      </c>
      <c r="J451" s="961"/>
      <c r="K451" s="53">
        <f t="shared" si="70"/>
        <v>1</v>
      </c>
      <c r="L451" s="961"/>
      <c r="M451" s="53">
        <f t="shared" si="71"/>
        <v>1</v>
      </c>
      <c r="N451" s="961"/>
      <c r="O451" s="53">
        <f t="shared" si="72"/>
        <v>1</v>
      </c>
      <c r="P451" s="961"/>
      <c r="Q451" s="53">
        <f t="shared" si="73"/>
        <v>1</v>
      </c>
      <c r="R451" s="489">
        <f t="shared" si="74"/>
        <v>0</v>
      </c>
      <c r="S451" s="798">
        <f t="shared" si="65"/>
        <v>0</v>
      </c>
    </row>
    <row r="452" spans="1:19">
      <c r="A452" s="963"/>
      <c r="B452" s="137"/>
      <c r="C452" s="53">
        <f t="shared" si="66"/>
        <v>1</v>
      </c>
      <c r="D452" s="961"/>
      <c r="E452" s="53">
        <f t="shared" si="67"/>
        <v>0</v>
      </c>
      <c r="F452" s="961"/>
      <c r="G452" s="53">
        <f t="shared" si="68"/>
        <v>1</v>
      </c>
      <c r="H452" s="961"/>
      <c r="I452" s="53">
        <f t="shared" si="69"/>
        <v>1</v>
      </c>
      <c r="J452" s="961"/>
      <c r="K452" s="53">
        <f t="shared" si="70"/>
        <v>1</v>
      </c>
      <c r="L452" s="961"/>
      <c r="M452" s="53">
        <f t="shared" si="71"/>
        <v>1</v>
      </c>
      <c r="N452" s="961"/>
      <c r="O452" s="53">
        <f t="shared" si="72"/>
        <v>1</v>
      </c>
      <c r="P452" s="961"/>
      <c r="Q452" s="53">
        <f t="shared" si="73"/>
        <v>1</v>
      </c>
      <c r="R452" s="489">
        <f t="shared" si="74"/>
        <v>0</v>
      </c>
      <c r="S452" s="798">
        <f t="shared" si="65"/>
        <v>0</v>
      </c>
    </row>
    <row r="453" spans="1:19">
      <c r="A453" s="963"/>
      <c r="B453" s="137"/>
      <c r="C453" s="53">
        <f t="shared" si="66"/>
        <v>1</v>
      </c>
      <c r="D453" s="961"/>
      <c r="E453" s="53">
        <f t="shared" si="67"/>
        <v>0</v>
      </c>
      <c r="F453" s="961"/>
      <c r="G453" s="53">
        <f t="shared" si="68"/>
        <v>1</v>
      </c>
      <c r="H453" s="961"/>
      <c r="I453" s="53">
        <f t="shared" si="69"/>
        <v>1</v>
      </c>
      <c r="J453" s="961"/>
      <c r="K453" s="53">
        <f t="shared" si="70"/>
        <v>1</v>
      </c>
      <c r="L453" s="961"/>
      <c r="M453" s="53">
        <f t="shared" si="71"/>
        <v>1</v>
      </c>
      <c r="N453" s="961"/>
      <c r="O453" s="53">
        <f t="shared" si="72"/>
        <v>1</v>
      </c>
      <c r="P453" s="961"/>
      <c r="Q453" s="53">
        <f t="shared" si="73"/>
        <v>1</v>
      </c>
      <c r="R453" s="489">
        <f t="shared" si="74"/>
        <v>0</v>
      </c>
      <c r="S453" s="798">
        <f t="shared" si="65"/>
        <v>0</v>
      </c>
    </row>
    <row r="454" spans="1:19">
      <c r="A454" s="963"/>
      <c r="B454" s="137"/>
      <c r="C454" s="53">
        <f t="shared" si="66"/>
        <v>1</v>
      </c>
      <c r="D454" s="961"/>
      <c r="E454" s="53">
        <f t="shared" si="67"/>
        <v>0</v>
      </c>
      <c r="F454" s="961"/>
      <c r="G454" s="53">
        <f t="shared" si="68"/>
        <v>1</v>
      </c>
      <c r="H454" s="961"/>
      <c r="I454" s="53">
        <f t="shared" si="69"/>
        <v>1</v>
      </c>
      <c r="J454" s="961"/>
      <c r="K454" s="53">
        <f t="shared" si="70"/>
        <v>1</v>
      </c>
      <c r="L454" s="961"/>
      <c r="M454" s="53">
        <f t="shared" si="71"/>
        <v>1</v>
      </c>
      <c r="N454" s="961"/>
      <c r="O454" s="53">
        <f t="shared" si="72"/>
        <v>1</v>
      </c>
      <c r="P454" s="961"/>
      <c r="Q454" s="53">
        <f t="shared" si="73"/>
        <v>1</v>
      </c>
      <c r="R454" s="489">
        <f t="shared" si="74"/>
        <v>0</v>
      </c>
      <c r="S454" s="798">
        <f t="shared" si="65"/>
        <v>0</v>
      </c>
    </row>
    <row r="455" spans="1:19">
      <c r="A455" s="963"/>
      <c r="B455" s="137"/>
      <c r="C455" s="53">
        <f t="shared" si="66"/>
        <v>1</v>
      </c>
      <c r="D455" s="961"/>
      <c r="E455" s="53">
        <f t="shared" si="67"/>
        <v>0</v>
      </c>
      <c r="F455" s="961"/>
      <c r="G455" s="53">
        <f t="shared" si="68"/>
        <v>1</v>
      </c>
      <c r="H455" s="961"/>
      <c r="I455" s="53">
        <f t="shared" si="69"/>
        <v>1</v>
      </c>
      <c r="J455" s="961"/>
      <c r="K455" s="53">
        <f t="shared" si="70"/>
        <v>1</v>
      </c>
      <c r="L455" s="961"/>
      <c r="M455" s="53">
        <f t="shared" si="71"/>
        <v>1</v>
      </c>
      <c r="N455" s="961"/>
      <c r="O455" s="53">
        <f t="shared" si="72"/>
        <v>1</v>
      </c>
      <c r="P455" s="961"/>
      <c r="Q455" s="53">
        <f t="shared" si="73"/>
        <v>1</v>
      </c>
      <c r="R455" s="489">
        <f t="shared" si="74"/>
        <v>0</v>
      </c>
      <c r="S455" s="798">
        <f t="shared" si="65"/>
        <v>0</v>
      </c>
    </row>
    <row r="456" spans="1:19">
      <c r="A456" s="963"/>
      <c r="B456" s="137"/>
      <c r="C456" s="53">
        <f t="shared" si="66"/>
        <v>1</v>
      </c>
      <c r="D456" s="961"/>
      <c r="E456" s="53">
        <f t="shared" si="67"/>
        <v>0</v>
      </c>
      <c r="F456" s="961"/>
      <c r="G456" s="53">
        <f t="shared" si="68"/>
        <v>1</v>
      </c>
      <c r="H456" s="961"/>
      <c r="I456" s="53">
        <f t="shared" si="69"/>
        <v>1</v>
      </c>
      <c r="J456" s="961"/>
      <c r="K456" s="53">
        <f t="shared" si="70"/>
        <v>1</v>
      </c>
      <c r="L456" s="961"/>
      <c r="M456" s="53">
        <f t="shared" si="71"/>
        <v>1</v>
      </c>
      <c r="N456" s="961"/>
      <c r="O456" s="53">
        <f t="shared" si="72"/>
        <v>1</v>
      </c>
      <c r="P456" s="961"/>
      <c r="Q456" s="53">
        <f t="shared" si="73"/>
        <v>1</v>
      </c>
      <c r="R456" s="489">
        <f t="shared" si="74"/>
        <v>0</v>
      </c>
      <c r="S456" s="798">
        <f t="shared" si="65"/>
        <v>0</v>
      </c>
    </row>
    <row r="457" spans="1:19">
      <c r="A457" s="963"/>
      <c r="B457" s="137"/>
      <c r="C457" s="53">
        <f t="shared" si="66"/>
        <v>1</v>
      </c>
      <c r="D457" s="961"/>
      <c r="E457" s="53">
        <f t="shared" si="67"/>
        <v>0</v>
      </c>
      <c r="F457" s="961"/>
      <c r="G457" s="53">
        <f t="shared" si="68"/>
        <v>1</v>
      </c>
      <c r="H457" s="961"/>
      <c r="I457" s="53">
        <f t="shared" si="69"/>
        <v>1</v>
      </c>
      <c r="J457" s="961"/>
      <c r="K457" s="53">
        <f t="shared" si="70"/>
        <v>1</v>
      </c>
      <c r="L457" s="961"/>
      <c r="M457" s="53">
        <f t="shared" si="71"/>
        <v>1</v>
      </c>
      <c r="N457" s="961"/>
      <c r="O457" s="53">
        <f t="shared" si="72"/>
        <v>1</v>
      </c>
      <c r="P457" s="961"/>
      <c r="Q457" s="53">
        <f t="shared" si="73"/>
        <v>1</v>
      </c>
      <c r="R457" s="489">
        <f t="shared" si="74"/>
        <v>0</v>
      </c>
      <c r="S457" s="798">
        <f t="shared" si="65"/>
        <v>0</v>
      </c>
    </row>
    <row r="458" spans="1:19">
      <c r="A458" s="963"/>
      <c r="B458" s="137"/>
      <c r="C458" s="53">
        <f t="shared" si="66"/>
        <v>1</v>
      </c>
      <c r="D458" s="961"/>
      <c r="E458" s="53">
        <f t="shared" si="67"/>
        <v>0</v>
      </c>
      <c r="F458" s="961"/>
      <c r="G458" s="53">
        <f t="shared" si="68"/>
        <v>1</v>
      </c>
      <c r="H458" s="961"/>
      <c r="I458" s="53">
        <f t="shared" si="69"/>
        <v>1</v>
      </c>
      <c r="J458" s="961"/>
      <c r="K458" s="53">
        <f t="shared" si="70"/>
        <v>1</v>
      </c>
      <c r="L458" s="961"/>
      <c r="M458" s="53">
        <f t="shared" si="71"/>
        <v>1</v>
      </c>
      <c r="N458" s="961"/>
      <c r="O458" s="53">
        <f t="shared" si="72"/>
        <v>1</v>
      </c>
      <c r="P458" s="961"/>
      <c r="Q458" s="53">
        <f t="shared" si="73"/>
        <v>1</v>
      </c>
      <c r="R458" s="489">
        <f t="shared" si="74"/>
        <v>0</v>
      </c>
      <c r="S458" s="798">
        <f t="shared" si="65"/>
        <v>0</v>
      </c>
    </row>
    <row r="459" spans="1:19">
      <c r="A459" s="963"/>
      <c r="B459" s="137"/>
      <c r="C459" s="53">
        <f t="shared" si="66"/>
        <v>1</v>
      </c>
      <c r="D459" s="961"/>
      <c r="E459" s="53">
        <f t="shared" si="67"/>
        <v>0</v>
      </c>
      <c r="F459" s="961"/>
      <c r="G459" s="53">
        <f t="shared" si="68"/>
        <v>1</v>
      </c>
      <c r="H459" s="961"/>
      <c r="I459" s="53">
        <f t="shared" si="69"/>
        <v>1</v>
      </c>
      <c r="J459" s="961"/>
      <c r="K459" s="53">
        <f t="shared" si="70"/>
        <v>1</v>
      </c>
      <c r="L459" s="961"/>
      <c r="M459" s="53">
        <f t="shared" si="71"/>
        <v>1</v>
      </c>
      <c r="N459" s="961"/>
      <c r="O459" s="53">
        <f t="shared" si="72"/>
        <v>1</v>
      </c>
      <c r="P459" s="961"/>
      <c r="Q459" s="53">
        <f t="shared" si="73"/>
        <v>1</v>
      </c>
      <c r="R459" s="489">
        <f t="shared" si="74"/>
        <v>0</v>
      </c>
      <c r="S459" s="798">
        <f t="shared" si="65"/>
        <v>0</v>
      </c>
    </row>
    <row r="460" spans="1:19">
      <c r="A460" s="963"/>
      <c r="B460" s="137"/>
      <c r="C460" s="53">
        <f t="shared" si="66"/>
        <v>1</v>
      </c>
      <c r="D460" s="961"/>
      <c r="E460" s="53">
        <f t="shared" si="67"/>
        <v>0</v>
      </c>
      <c r="F460" s="961"/>
      <c r="G460" s="53">
        <f t="shared" si="68"/>
        <v>1</v>
      </c>
      <c r="H460" s="961"/>
      <c r="I460" s="53">
        <f t="shared" si="69"/>
        <v>1</v>
      </c>
      <c r="J460" s="961"/>
      <c r="K460" s="53">
        <f t="shared" si="70"/>
        <v>1</v>
      </c>
      <c r="L460" s="961"/>
      <c r="M460" s="53">
        <f t="shared" si="71"/>
        <v>1</v>
      </c>
      <c r="N460" s="961"/>
      <c r="O460" s="53">
        <f t="shared" si="72"/>
        <v>1</v>
      </c>
      <c r="P460" s="961"/>
      <c r="Q460" s="53">
        <f t="shared" si="73"/>
        <v>1</v>
      </c>
      <c r="R460" s="489">
        <f t="shared" si="74"/>
        <v>0</v>
      </c>
      <c r="S460" s="798">
        <f t="shared" si="65"/>
        <v>0</v>
      </c>
    </row>
    <row r="461" spans="1:19">
      <c r="A461" s="963"/>
      <c r="B461" s="137"/>
      <c r="C461" s="53">
        <f t="shared" si="66"/>
        <v>1</v>
      </c>
      <c r="D461" s="961"/>
      <c r="E461" s="53">
        <f t="shared" si="67"/>
        <v>0</v>
      </c>
      <c r="F461" s="961"/>
      <c r="G461" s="53">
        <f t="shared" si="68"/>
        <v>1</v>
      </c>
      <c r="H461" s="961"/>
      <c r="I461" s="53">
        <f t="shared" si="69"/>
        <v>1</v>
      </c>
      <c r="J461" s="961"/>
      <c r="K461" s="53">
        <f t="shared" si="70"/>
        <v>1</v>
      </c>
      <c r="L461" s="961"/>
      <c r="M461" s="53">
        <f t="shared" si="71"/>
        <v>1</v>
      </c>
      <c r="N461" s="961"/>
      <c r="O461" s="53">
        <f t="shared" si="72"/>
        <v>1</v>
      </c>
      <c r="P461" s="961"/>
      <c r="Q461" s="53">
        <f t="shared" si="73"/>
        <v>1</v>
      </c>
      <c r="R461" s="489">
        <f t="shared" si="74"/>
        <v>0</v>
      </c>
      <c r="S461" s="798">
        <f t="shared" si="65"/>
        <v>0</v>
      </c>
    </row>
    <row r="462" spans="1:19">
      <c r="A462" s="963"/>
      <c r="B462" s="137"/>
      <c r="C462" s="53">
        <f t="shared" si="66"/>
        <v>1</v>
      </c>
      <c r="D462" s="961"/>
      <c r="E462" s="53">
        <f t="shared" si="67"/>
        <v>0</v>
      </c>
      <c r="F462" s="961"/>
      <c r="G462" s="53">
        <f t="shared" si="68"/>
        <v>1</v>
      </c>
      <c r="H462" s="961"/>
      <c r="I462" s="53">
        <f t="shared" si="69"/>
        <v>1</v>
      </c>
      <c r="J462" s="961"/>
      <c r="K462" s="53">
        <f t="shared" si="70"/>
        <v>1</v>
      </c>
      <c r="L462" s="961"/>
      <c r="M462" s="53">
        <f t="shared" si="71"/>
        <v>1</v>
      </c>
      <c r="N462" s="961"/>
      <c r="O462" s="53">
        <f t="shared" si="72"/>
        <v>1</v>
      </c>
      <c r="P462" s="961"/>
      <c r="Q462" s="53">
        <f t="shared" si="73"/>
        <v>1</v>
      </c>
      <c r="R462" s="489">
        <f t="shared" si="74"/>
        <v>0</v>
      </c>
      <c r="S462" s="798">
        <f t="shared" si="65"/>
        <v>0</v>
      </c>
    </row>
    <row r="463" spans="1:19">
      <c r="A463" s="963"/>
      <c r="B463" s="137"/>
      <c r="C463" s="53">
        <f t="shared" si="66"/>
        <v>1</v>
      </c>
      <c r="D463" s="961"/>
      <c r="E463" s="53">
        <f t="shared" si="67"/>
        <v>0</v>
      </c>
      <c r="F463" s="961"/>
      <c r="G463" s="53">
        <f t="shared" si="68"/>
        <v>1</v>
      </c>
      <c r="H463" s="961"/>
      <c r="I463" s="53">
        <f t="shared" si="69"/>
        <v>1</v>
      </c>
      <c r="J463" s="961"/>
      <c r="K463" s="53">
        <f t="shared" si="70"/>
        <v>1</v>
      </c>
      <c r="L463" s="961"/>
      <c r="M463" s="53">
        <f t="shared" si="71"/>
        <v>1</v>
      </c>
      <c r="N463" s="961"/>
      <c r="O463" s="53">
        <f t="shared" si="72"/>
        <v>1</v>
      </c>
      <c r="P463" s="961"/>
      <c r="Q463" s="53">
        <f t="shared" si="73"/>
        <v>1</v>
      </c>
      <c r="R463" s="489">
        <f t="shared" si="74"/>
        <v>0</v>
      </c>
      <c r="S463" s="798">
        <f t="shared" si="65"/>
        <v>0</v>
      </c>
    </row>
    <row r="464" spans="1:19">
      <c r="A464" s="963"/>
      <c r="B464" s="137"/>
      <c r="C464" s="53">
        <f t="shared" si="66"/>
        <v>1</v>
      </c>
      <c r="D464" s="961"/>
      <c r="E464" s="53">
        <f t="shared" si="67"/>
        <v>0</v>
      </c>
      <c r="F464" s="961"/>
      <c r="G464" s="53">
        <f t="shared" si="68"/>
        <v>1</v>
      </c>
      <c r="H464" s="961"/>
      <c r="I464" s="53">
        <f t="shared" si="69"/>
        <v>1</v>
      </c>
      <c r="J464" s="961"/>
      <c r="K464" s="53">
        <f t="shared" si="70"/>
        <v>1</v>
      </c>
      <c r="L464" s="961"/>
      <c r="M464" s="53">
        <f t="shared" si="71"/>
        <v>1</v>
      </c>
      <c r="N464" s="961"/>
      <c r="O464" s="53">
        <f t="shared" si="72"/>
        <v>1</v>
      </c>
      <c r="P464" s="961"/>
      <c r="Q464" s="53">
        <f t="shared" si="73"/>
        <v>1</v>
      </c>
      <c r="R464" s="489">
        <f t="shared" si="74"/>
        <v>0</v>
      </c>
      <c r="S464" s="798">
        <f t="shared" si="65"/>
        <v>0</v>
      </c>
    </row>
    <row r="465" spans="1:19">
      <c r="A465" s="963"/>
      <c r="B465" s="137"/>
      <c r="C465" s="53">
        <f t="shared" si="66"/>
        <v>1</v>
      </c>
      <c r="D465" s="961"/>
      <c r="E465" s="53">
        <f t="shared" si="67"/>
        <v>0</v>
      </c>
      <c r="F465" s="961"/>
      <c r="G465" s="53">
        <f t="shared" si="68"/>
        <v>1</v>
      </c>
      <c r="H465" s="961"/>
      <c r="I465" s="53">
        <f t="shared" si="69"/>
        <v>1</v>
      </c>
      <c r="J465" s="961"/>
      <c r="K465" s="53">
        <f t="shared" si="70"/>
        <v>1</v>
      </c>
      <c r="L465" s="961"/>
      <c r="M465" s="53">
        <f t="shared" si="71"/>
        <v>1</v>
      </c>
      <c r="N465" s="961"/>
      <c r="O465" s="53">
        <f t="shared" si="72"/>
        <v>1</v>
      </c>
      <c r="P465" s="961"/>
      <c r="Q465" s="53">
        <f t="shared" si="73"/>
        <v>1</v>
      </c>
      <c r="R465" s="489">
        <f t="shared" si="74"/>
        <v>0</v>
      </c>
      <c r="S465" s="798">
        <f t="shared" si="65"/>
        <v>0</v>
      </c>
    </row>
    <row r="466" spans="1:19">
      <c r="A466" s="963"/>
      <c r="B466" s="137"/>
      <c r="C466" s="53">
        <f t="shared" si="66"/>
        <v>1</v>
      </c>
      <c r="D466" s="961"/>
      <c r="E466" s="53">
        <f t="shared" si="67"/>
        <v>0</v>
      </c>
      <c r="F466" s="961"/>
      <c r="G466" s="53">
        <f t="shared" si="68"/>
        <v>1</v>
      </c>
      <c r="H466" s="961"/>
      <c r="I466" s="53">
        <f t="shared" si="69"/>
        <v>1</v>
      </c>
      <c r="J466" s="961"/>
      <c r="K466" s="53">
        <f t="shared" si="70"/>
        <v>1</v>
      </c>
      <c r="L466" s="961"/>
      <c r="M466" s="53">
        <f t="shared" si="71"/>
        <v>1</v>
      </c>
      <c r="N466" s="961"/>
      <c r="O466" s="53">
        <f t="shared" si="72"/>
        <v>1</v>
      </c>
      <c r="P466" s="961"/>
      <c r="Q466" s="53">
        <f t="shared" si="73"/>
        <v>1</v>
      </c>
      <c r="R466" s="489">
        <f t="shared" si="74"/>
        <v>0</v>
      </c>
      <c r="S466" s="798">
        <f t="shared" si="65"/>
        <v>0</v>
      </c>
    </row>
    <row r="467" spans="1:19">
      <c r="A467" s="963"/>
      <c r="B467" s="137"/>
      <c r="C467" s="53">
        <f t="shared" si="66"/>
        <v>1</v>
      </c>
      <c r="D467" s="961"/>
      <c r="E467" s="53">
        <f t="shared" si="67"/>
        <v>0</v>
      </c>
      <c r="F467" s="961"/>
      <c r="G467" s="53">
        <f t="shared" si="68"/>
        <v>1</v>
      </c>
      <c r="H467" s="961"/>
      <c r="I467" s="53">
        <f t="shared" si="69"/>
        <v>1</v>
      </c>
      <c r="J467" s="961"/>
      <c r="K467" s="53">
        <f t="shared" si="70"/>
        <v>1</v>
      </c>
      <c r="L467" s="961"/>
      <c r="M467" s="53">
        <f t="shared" si="71"/>
        <v>1</v>
      </c>
      <c r="N467" s="961"/>
      <c r="O467" s="53">
        <f t="shared" si="72"/>
        <v>1</v>
      </c>
      <c r="P467" s="961"/>
      <c r="Q467" s="53">
        <f t="shared" si="73"/>
        <v>1</v>
      </c>
      <c r="R467" s="489">
        <f t="shared" si="74"/>
        <v>0</v>
      </c>
      <c r="S467" s="798">
        <f t="shared" si="65"/>
        <v>0</v>
      </c>
    </row>
    <row r="468" spans="1:19">
      <c r="A468" s="963"/>
      <c r="B468" s="137"/>
      <c r="C468" s="53">
        <f t="shared" si="66"/>
        <v>1</v>
      </c>
      <c r="D468" s="961"/>
      <c r="E468" s="53">
        <f t="shared" si="67"/>
        <v>0</v>
      </c>
      <c r="F468" s="961"/>
      <c r="G468" s="53">
        <f t="shared" si="68"/>
        <v>1</v>
      </c>
      <c r="H468" s="961"/>
      <c r="I468" s="53">
        <f t="shared" si="69"/>
        <v>1</v>
      </c>
      <c r="J468" s="961"/>
      <c r="K468" s="53">
        <f t="shared" si="70"/>
        <v>1</v>
      </c>
      <c r="L468" s="961"/>
      <c r="M468" s="53">
        <f t="shared" si="71"/>
        <v>1</v>
      </c>
      <c r="N468" s="961"/>
      <c r="O468" s="53">
        <f t="shared" si="72"/>
        <v>1</v>
      </c>
      <c r="P468" s="961"/>
      <c r="Q468" s="53">
        <f t="shared" si="73"/>
        <v>1</v>
      </c>
      <c r="R468" s="489">
        <f t="shared" si="74"/>
        <v>0</v>
      </c>
      <c r="S468" s="798">
        <f t="shared" si="65"/>
        <v>0</v>
      </c>
    </row>
    <row r="469" spans="1:19">
      <c r="A469" s="963"/>
      <c r="B469" s="137"/>
      <c r="C469" s="53">
        <f t="shared" si="66"/>
        <v>1</v>
      </c>
      <c r="D469" s="961"/>
      <c r="E469" s="53">
        <f t="shared" si="67"/>
        <v>0</v>
      </c>
      <c r="F469" s="961"/>
      <c r="G469" s="53">
        <f t="shared" si="68"/>
        <v>1</v>
      </c>
      <c r="H469" s="961"/>
      <c r="I469" s="53">
        <f t="shared" si="69"/>
        <v>1</v>
      </c>
      <c r="J469" s="961"/>
      <c r="K469" s="53">
        <f t="shared" si="70"/>
        <v>1</v>
      </c>
      <c r="L469" s="961"/>
      <c r="M469" s="53">
        <f t="shared" si="71"/>
        <v>1</v>
      </c>
      <c r="N469" s="961"/>
      <c r="O469" s="53">
        <f t="shared" si="72"/>
        <v>1</v>
      </c>
      <c r="P469" s="961"/>
      <c r="Q469" s="53">
        <f t="shared" si="73"/>
        <v>1</v>
      </c>
      <c r="R469" s="489">
        <f t="shared" si="74"/>
        <v>0</v>
      </c>
      <c r="S469" s="798">
        <f t="shared" si="65"/>
        <v>0</v>
      </c>
    </row>
    <row r="470" spans="1:19">
      <c r="A470" s="963"/>
      <c r="B470" s="137"/>
      <c r="C470" s="53">
        <f t="shared" si="66"/>
        <v>1</v>
      </c>
      <c r="D470" s="961"/>
      <c r="E470" s="53">
        <f t="shared" si="67"/>
        <v>0</v>
      </c>
      <c r="F470" s="961"/>
      <c r="G470" s="53">
        <f t="shared" si="68"/>
        <v>1</v>
      </c>
      <c r="H470" s="961"/>
      <c r="I470" s="53">
        <f t="shared" si="69"/>
        <v>1</v>
      </c>
      <c r="J470" s="961"/>
      <c r="K470" s="53">
        <f t="shared" si="70"/>
        <v>1</v>
      </c>
      <c r="L470" s="961"/>
      <c r="M470" s="53">
        <f t="shared" si="71"/>
        <v>1</v>
      </c>
      <c r="N470" s="961"/>
      <c r="O470" s="53">
        <f t="shared" si="72"/>
        <v>1</v>
      </c>
      <c r="P470" s="961"/>
      <c r="Q470" s="53">
        <f t="shared" si="73"/>
        <v>1</v>
      </c>
      <c r="R470" s="489">
        <f t="shared" si="74"/>
        <v>0</v>
      </c>
      <c r="S470" s="798">
        <f t="shared" si="65"/>
        <v>0</v>
      </c>
    </row>
    <row r="471" spans="1:19">
      <c r="A471" s="963"/>
      <c r="B471" s="137"/>
      <c r="C471" s="53">
        <f t="shared" si="66"/>
        <v>1</v>
      </c>
      <c r="D471" s="961"/>
      <c r="E471" s="53">
        <f t="shared" si="67"/>
        <v>0</v>
      </c>
      <c r="F471" s="961"/>
      <c r="G471" s="53">
        <f t="shared" si="68"/>
        <v>1</v>
      </c>
      <c r="H471" s="961"/>
      <c r="I471" s="53">
        <f t="shared" si="69"/>
        <v>1</v>
      </c>
      <c r="J471" s="961"/>
      <c r="K471" s="53">
        <f t="shared" si="70"/>
        <v>1</v>
      </c>
      <c r="L471" s="961"/>
      <c r="M471" s="53">
        <f t="shared" si="71"/>
        <v>1</v>
      </c>
      <c r="N471" s="961"/>
      <c r="O471" s="53">
        <f t="shared" si="72"/>
        <v>1</v>
      </c>
      <c r="P471" s="961"/>
      <c r="Q471" s="53">
        <f t="shared" si="73"/>
        <v>1</v>
      </c>
      <c r="R471" s="489">
        <f t="shared" si="74"/>
        <v>0</v>
      </c>
      <c r="S471" s="798">
        <f t="shared" si="65"/>
        <v>0</v>
      </c>
    </row>
    <row r="472" spans="1:19">
      <c r="A472" s="963"/>
      <c r="B472" s="137"/>
      <c r="C472" s="53">
        <f t="shared" si="66"/>
        <v>1</v>
      </c>
      <c r="D472" s="961"/>
      <c r="E472" s="53">
        <f t="shared" si="67"/>
        <v>0</v>
      </c>
      <c r="F472" s="961"/>
      <c r="G472" s="53">
        <f t="shared" si="68"/>
        <v>1</v>
      </c>
      <c r="H472" s="961"/>
      <c r="I472" s="53">
        <f t="shared" si="69"/>
        <v>1</v>
      </c>
      <c r="J472" s="961"/>
      <c r="K472" s="53">
        <f t="shared" si="70"/>
        <v>1</v>
      </c>
      <c r="L472" s="961"/>
      <c r="M472" s="53">
        <f t="shared" si="71"/>
        <v>1</v>
      </c>
      <c r="N472" s="961"/>
      <c r="O472" s="53">
        <f t="shared" si="72"/>
        <v>1</v>
      </c>
      <c r="P472" s="961"/>
      <c r="Q472" s="53">
        <f t="shared" si="73"/>
        <v>1</v>
      </c>
      <c r="R472" s="489">
        <f t="shared" si="74"/>
        <v>0</v>
      </c>
      <c r="S472" s="798">
        <f t="shared" ref="S472:S524" si="75">ROUND(R472*B472/10000,0)</f>
        <v>0</v>
      </c>
    </row>
    <row r="473" spans="1:19">
      <c r="A473" s="963"/>
      <c r="B473" s="137"/>
      <c r="C473" s="53">
        <f t="shared" si="66"/>
        <v>1</v>
      </c>
      <c r="D473" s="961"/>
      <c r="E473" s="53">
        <f t="shared" si="67"/>
        <v>0</v>
      </c>
      <c r="F473" s="961"/>
      <c r="G473" s="53">
        <f t="shared" si="68"/>
        <v>1</v>
      </c>
      <c r="H473" s="961"/>
      <c r="I473" s="53">
        <f t="shared" si="69"/>
        <v>1</v>
      </c>
      <c r="J473" s="961"/>
      <c r="K473" s="53">
        <f t="shared" si="70"/>
        <v>1</v>
      </c>
      <c r="L473" s="961"/>
      <c r="M473" s="53">
        <f t="shared" si="71"/>
        <v>1</v>
      </c>
      <c r="N473" s="961"/>
      <c r="O473" s="53">
        <f t="shared" si="72"/>
        <v>1</v>
      </c>
      <c r="P473" s="961"/>
      <c r="Q473" s="53">
        <f t="shared" si="73"/>
        <v>1</v>
      </c>
      <c r="R473" s="489">
        <f t="shared" si="74"/>
        <v>0</v>
      </c>
      <c r="S473" s="798">
        <f t="shared" si="75"/>
        <v>0</v>
      </c>
    </row>
    <row r="474" spans="1:19">
      <c r="A474" s="963"/>
      <c r="B474" s="137"/>
      <c r="C474" s="53">
        <f t="shared" ref="C474:C524" si="76">IF(B474="",1,(LOOKUP(B474,$3:$3,$4:$4)-LOOKUP($B$24,$3:$3,$4:$4)+100)/100)</f>
        <v>1</v>
      </c>
      <c r="D474" s="961"/>
      <c r="E474" s="53">
        <f t="shared" ref="E474:E524" si="77">(SUMIF($5:$5,D474,$6:$6)-SUMIF($5:$5,$D$24,$6:$6)+100)/100</f>
        <v>0</v>
      </c>
      <c r="F474" s="961"/>
      <c r="G474" s="53">
        <f t="shared" ref="G474:G524" si="78">(SUMIF($7:$7,F474,$8:$8)-SUMIF($7:$7,$F$24,$8:$8)+100)/100</f>
        <v>1</v>
      </c>
      <c r="H474" s="961"/>
      <c r="I474" s="53">
        <f t="shared" ref="I474:I524" si="79">(SUMIF($9:$9,H474,$10:$10)-SUMIF($9:$9,$H$24,$10:$10)+100)/100</f>
        <v>1</v>
      </c>
      <c r="J474" s="961"/>
      <c r="K474" s="53">
        <f t="shared" ref="K474:K524" si="80">(SUMIF($11:$11,J474,$12:$12)-SUMIF($11:$11,$J$24,$12:$12)+100)/100</f>
        <v>1</v>
      </c>
      <c r="L474" s="961"/>
      <c r="M474" s="53">
        <f t="shared" ref="M474:M524" si="81">(SUMIF($13:$13,L474,$14:$14)-SUMIF($13:$13,$L$24,$14:$14)+100)/100</f>
        <v>1</v>
      </c>
      <c r="N474" s="961"/>
      <c r="O474" s="53">
        <f t="shared" ref="O474:O524" si="82">(SUMIF($15:$15,N474,$16:$16)-SUMIF($15:$15,$N$24,$16:$16)+100)/100</f>
        <v>1</v>
      </c>
      <c r="P474" s="961"/>
      <c r="Q474" s="53">
        <f t="shared" ref="Q474:Q524" si="83">(SUMIF($17:$17,P474,$18:$18)-SUMIF($17:$17,$P$24,$18:$18)+100)/100</f>
        <v>1</v>
      </c>
      <c r="R474" s="489">
        <f t="shared" ref="R474:R524" si="84">IF(B474="",0,ROUND($R$24*C474*E474*G474*I474*K474*M474*O474*Q474,0))</f>
        <v>0</v>
      </c>
      <c r="S474" s="798">
        <f t="shared" si="75"/>
        <v>0</v>
      </c>
    </row>
    <row r="475" spans="1:19">
      <c r="A475" s="963"/>
      <c r="B475" s="137"/>
      <c r="C475" s="53">
        <f t="shared" si="76"/>
        <v>1</v>
      </c>
      <c r="D475" s="961"/>
      <c r="E475" s="53">
        <f t="shared" si="77"/>
        <v>0</v>
      </c>
      <c r="F475" s="961"/>
      <c r="G475" s="53">
        <f t="shared" si="78"/>
        <v>1</v>
      </c>
      <c r="H475" s="961"/>
      <c r="I475" s="53">
        <f t="shared" si="79"/>
        <v>1</v>
      </c>
      <c r="J475" s="961"/>
      <c r="K475" s="53">
        <f t="shared" si="80"/>
        <v>1</v>
      </c>
      <c r="L475" s="961"/>
      <c r="M475" s="53">
        <f t="shared" si="81"/>
        <v>1</v>
      </c>
      <c r="N475" s="961"/>
      <c r="O475" s="53">
        <f t="shared" si="82"/>
        <v>1</v>
      </c>
      <c r="P475" s="961"/>
      <c r="Q475" s="53">
        <f t="shared" si="83"/>
        <v>1</v>
      </c>
      <c r="R475" s="489">
        <f t="shared" si="84"/>
        <v>0</v>
      </c>
      <c r="S475" s="798">
        <f t="shared" si="75"/>
        <v>0</v>
      </c>
    </row>
    <row r="476" spans="1:19">
      <c r="A476" s="963"/>
      <c r="B476" s="137"/>
      <c r="C476" s="53">
        <f t="shared" si="76"/>
        <v>1</v>
      </c>
      <c r="D476" s="961"/>
      <c r="E476" s="53">
        <f t="shared" si="77"/>
        <v>0</v>
      </c>
      <c r="F476" s="961"/>
      <c r="G476" s="53">
        <f t="shared" si="78"/>
        <v>1</v>
      </c>
      <c r="H476" s="961"/>
      <c r="I476" s="53">
        <f t="shared" si="79"/>
        <v>1</v>
      </c>
      <c r="J476" s="961"/>
      <c r="K476" s="53">
        <f t="shared" si="80"/>
        <v>1</v>
      </c>
      <c r="L476" s="961"/>
      <c r="M476" s="53">
        <f t="shared" si="81"/>
        <v>1</v>
      </c>
      <c r="N476" s="961"/>
      <c r="O476" s="53">
        <f t="shared" si="82"/>
        <v>1</v>
      </c>
      <c r="P476" s="961"/>
      <c r="Q476" s="53">
        <f t="shared" si="83"/>
        <v>1</v>
      </c>
      <c r="R476" s="489">
        <f t="shared" si="84"/>
        <v>0</v>
      </c>
      <c r="S476" s="798">
        <f t="shared" si="75"/>
        <v>0</v>
      </c>
    </row>
    <row r="477" spans="1:19">
      <c r="A477" s="963"/>
      <c r="B477" s="137"/>
      <c r="C477" s="53">
        <f t="shared" si="76"/>
        <v>1</v>
      </c>
      <c r="D477" s="961"/>
      <c r="E477" s="53">
        <f t="shared" si="77"/>
        <v>0</v>
      </c>
      <c r="F477" s="961"/>
      <c r="G477" s="53">
        <f t="shared" si="78"/>
        <v>1</v>
      </c>
      <c r="H477" s="961"/>
      <c r="I477" s="53">
        <f t="shared" si="79"/>
        <v>1</v>
      </c>
      <c r="J477" s="961"/>
      <c r="K477" s="53">
        <f t="shared" si="80"/>
        <v>1</v>
      </c>
      <c r="L477" s="961"/>
      <c r="M477" s="53">
        <f t="shared" si="81"/>
        <v>1</v>
      </c>
      <c r="N477" s="961"/>
      <c r="O477" s="53">
        <f t="shared" si="82"/>
        <v>1</v>
      </c>
      <c r="P477" s="961"/>
      <c r="Q477" s="53">
        <f t="shared" si="83"/>
        <v>1</v>
      </c>
      <c r="R477" s="489">
        <f t="shared" si="84"/>
        <v>0</v>
      </c>
      <c r="S477" s="798">
        <f t="shared" si="75"/>
        <v>0</v>
      </c>
    </row>
    <row r="478" spans="1:19">
      <c r="A478" s="963"/>
      <c r="B478" s="137"/>
      <c r="C478" s="53">
        <f t="shared" si="76"/>
        <v>1</v>
      </c>
      <c r="D478" s="961"/>
      <c r="E478" s="53">
        <f t="shared" si="77"/>
        <v>0</v>
      </c>
      <c r="F478" s="961"/>
      <c r="G478" s="53">
        <f t="shared" si="78"/>
        <v>1</v>
      </c>
      <c r="H478" s="961"/>
      <c r="I478" s="53">
        <f t="shared" si="79"/>
        <v>1</v>
      </c>
      <c r="J478" s="961"/>
      <c r="K478" s="53">
        <f t="shared" si="80"/>
        <v>1</v>
      </c>
      <c r="L478" s="961"/>
      <c r="M478" s="53">
        <f t="shared" si="81"/>
        <v>1</v>
      </c>
      <c r="N478" s="961"/>
      <c r="O478" s="53">
        <f t="shared" si="82"/>
        <v>1</v>
      </c>
      <c r="P478" s="961"/>
      <c r="Q478" s="53">
        <f t="shared" si="83"/>
        <v>1</v>
      </c>
      <c r="R478" s="489">
        <f t="shared" si="84"/>
        <v>0</v>
      </c>
      <c r="S478" s="798">
        <f t="shared" si="75"/>
        <v>0</v>
      </c>
    </row>
    <row r="479" spans="1:19">
      <c r="A479" s="963"/>
      <c r="B479" s="137"/>
      <c r="C479" s="53">
        <f t="shared" si="76"/>
        <v>1</v>
      </c>
      <c r="D479" s="961"/>
      <c r="E479" s="53">
        <f t="shared" si="77"/>
        <v>0</v>
      </c>
      <c r="F479" s="961"/>
      <c r="G479" s="53">
        <f t="shared" si="78"/>
        <v>1</v>
      </c>
      <c r="H479" s="961"/>
      <c r="I479" s="53">
        <f t="shared" si="79"/>
        <v>1</v>
      </c>
      <c r="J479" s="961"/>
      <c r="K479" s="53">
        <f t="shared" si="80"/>
        <v>1</v>
      </c>
      <c r="L479" s="961"/>
      <c r="M479" s="53">
        <f t="shared" si="81"/>
        <v>1</v>
      </c>
      <c r="N479" s="961"/>
      <c r="O479" s="53">
        <f t="shared" si="82"/>
        <v>1</v>
      </c>
      <c r="P479" s="961"/>
      <c r="Q479" s="53">
        <f t="shared" si="83"/>
        <v>1</v>
      </c>
      <c r="R479" s="489">
        <f t="shared" si="84"/>
        <v>0</v>
      </c>
      <c r="S479" s="798">
        <f t="shared" si="75"/>
        <v>0</v>
      </c>
    </row>
    <row r="480" spans="1:19">
      <c r="A480" s="963"/>
      <c r="B480" s="137"/>
      <c r="C480" s="53">
        <f t="shared" si="76"/>
        <v>1</v>
      </c>
      <c r="D480" s="961"/>
      <c r="E480" s="53">
        <f t="shared" si="77"/>
        <v>0</v>
      </c>
      <c r="F480" s="961"/>
      <c r="G480" s="53">
        <f t="shared" si="78"/>
        <v>1</v>
      </c>
      <c r="H480" s="961"/>
      <c r="I480" s="53">
        <f t="shared" si="79"/>
        <v>1</v>
      </c>
      <c r="J480" s="961"/>
      <c r="K480" s="53">
        <f t="shared" si="80"/>
        <v>1</v>
      </c>
      <c r="L480" s="961"/>
      <c r="M480" s="53">
        <f t="shared" si="81"/>
        <v>1</v>
      </c>
      <c r="N480" s="961"/>
      <c r="O480" s="53">
        <f t="shared" si="82"/>
        <v>1</v>
      </c>
      <c r="P480" s="961"/>
      <c r="Q480" s="53">
        <f t="shared" si="83"/>
        <v>1</v>
      </c>
      <c r="R480" s="489">
        <f t="shared" si="84"/>
        <v>0</v>
      </c>
      <c r="S480" s="798">
        <f t="shared" si="75"/>
        <v>0</v>
      </c>
    </row>
    <row r="481" spans="1:19">
      <c r="A481" s="963"/>
      <c r="B481" s="137"/>
      <c r="C481" s="53">
        <f t="shared" si="76"/>
        <v>1</v>
      </c>
      <c r="D481" s="961"/>
      <c r="E481" s="53">
        <f t="shared" si="77"/>
        <v>0</v>
      </c>
      <c r="F481" s="961"/>
      <c r="G481" s="53">
        <f t="shared" si="78"/>
        <v>1</v>
      </c>
      <c r="H481" s="961"/>
      <c r="I481" s="53">
        <f t="shared" si="79"/>
        <v>1</v>
      </c>
      <c r="J481" s="961"/>
      <c r="K481" s="53">
        <f t="shared" si="80"/>
        <v>1</v>
      </c>
      <c r="L481" s="961"/>
      <c r="M481" s="53">
        <f t="shared" si="81"/>
        <v>1</v>
      </c>
      <c r="N481" s="961"/>
      <c r="O481" s="53">
        <f t="shared" si="82"/>
        <v>1</v>
      </c>
      <c r="P481" s="961"/>
      <c r="Q481" s="53">
        <f t="shared" si="83"/>
        <v>1</v>
      </c>
      <c r="R481" s="489">
        <f t="shared" si="84"/>
        <v>0</v>
      </c>
      <c r="S481" s="798">
        <f t="shared" si="75"/>
        <v>0</v>
      </c>
    </row>
    <row r="482" spans="1:19">
      <c r="A482" s="963"/>
      <c r="B482" s="137"/>
      <c r="C482" s="53">
        <f t="shared" si="76"/>
        <v>1</v>
      </c>
      <c r="D482" s="961"/>
      <c r="E482" s="53">
        <f t="shared" si="77"/>
        <v>0</v>
      </c>
      <c r="F482" s="961"/>
      <c r="G482" s="53">
        <f t="shared" si="78"/>
        <v>1</v>
      </c>
      <c r="H482" s="961"/>
      <c r="I482" s="53">
        <f t="shared" si="79"/>
        <v>1</v>
      </c>
      <c r="J482" s="961"/>
      <c r="K482" s="53">
        <f t="shared" si="80"/>
        <v>1</v>
      </c>
      <c r="L482" s="961"/>
      <c r="M482" s="53">
        <f t="shared" si="81"/>
        <v>1</v>
      </c>
      <c r="N482" s="961"/>
      <c r="O482" s="53">
        <f t="shared" si="82"/>
        <v>1</v>
      </c>
      <c r="P482" s="961"/>
      <c r="Q482" s="53">
        <f t="shared" si="83"/>
        <v>1</v>
      </c>
      <c r="R482" s="489">
        <f t="shared" si="84"/>
        <v>0</v>
      </c>
      <c r="S482" s="798">
        <f t="shared" si="75"/>
        <v>0</v>
      </c>
    </row>
    <row r="483" spans="1:19">
      <c r="A483" s="963"/>
      <c r="B483" s="137"/>
      <c r="C483" s="53">
        <f t="shared" si="76"/>
        <v>1</v>
      </c>
      <c r="D483" s="961"/>
      <c r="E483" s="53">
        <f t="shared" si="77"/>
        <v>0</v>
      </c>
      <c r="F483" s="961"/>
      <c r="G483" s="53">
        <f t="shared" si="78"/>
        <v>1</v>
      </c>
      <c r="H483" s="961"/>
      <c r="I483" s="53">
        <f t="shared" si="79"/>
        <v>1</v>
      </c>
      <c r="J483" s="961"/>
      <c r="K483" s="53">
        <f t="shared" si="80"/>
        <v>1</v>
      </c>
      <c r="L483" s="961"/>
      <c r="M483" s="53">
        <f t="shared" si="81"/>
        <v>1</v>
      </c>
      <c r="N483" s="961"/>
      <c r="O483" s="53">
        <f t="shared" si="82"/>
        <v>1</v>
      </c>
      <c r="P483" s="961"/>
      <c r="Q483" s="53">
        <f t="shared" si="83"/>
        <v>1</v>
      </c>
      <c r="R483" s="489">
        <f t="shared" si="84"/>
        <v>0</v>
      </c>
      <c r="S483" s="798">
        <f t="shared" si="75"/>
        <v>0</v>
      </c>
    </row>
    <row r="484" spans="1:19">
      <c r="A484" s="963"/>
      <c r="B484" s="137"/>
      <c r="C484" s="53">
        <f t="shared" si="76"/>
        <v>1</v>
      </c>
      <c r="D484" s="961"/>
      <c r="E484" s="53">
        <f t="shared" si="77"/>
        <v>0</v>
      </c>
      <c r="F484" s="961"/>
      <c r="G484" s="53">
        <f t="shared" si="78"/>
        <v>1</v>
      </c>
      <c r="H484" s="961"/>
      <c r="I484" s="53">
        <f t="shared" si="79"/>
        <v>1</v>
      </c>
      <c r="J484" s="961"/>
      <c r="K484" s="53">
        <f t="shared" si="80"/>
        <v>1</v>
      </c>
      <c r="L484" s="961"/>
      <c r="M484" s="53">
        <f t="shared" si="81"/>
        <v>1</v>
      </c>
      <c r="N484" s="961"/>
      <c r="O484" s="53">
        <f t="shared" si="82"/>
        <v>1</v>
      </c>
      <c r="P484" s="961"/>
      <c r="Q484" s="53">
        <f t="shared" si="83"/>
        <v>1</v>
      </c>
      <c r="R484" s="489">
        <f t="shared" si="84"/>
        <v>0</v>
      </c>
      <c r="S484" s="798">
        <f t="shared" si="75"/>
        <v>0</v>
      </c>
    </row>
    <row r="485" spans="1:19">
      <c r="A485" s="963"/>
      <c r="B485" s="137"/>
      <c r="C485" s="53">
        <f t="shared" si="76"/>
        <v>1</v>
      </c>
      <c r="D485" s="961"/>
      <c r="E485" s="53">
        <f t="shared" si="77"/>
        <v>0</v>
      </c>
      <c r="F485" s="961"/>
      <c r="G485" s="53">
        <f t="shared" si="78"/>
        <v>1</v>
      </c>
      <c r="H485" s="961"/>
      <c r="I485" s="53">
        <f t="shared" si="79"/>
        <v>1</v>
      </c>
      <c r="J485" s="961"/>
      <c r="K485" s="53">
        <f t="shared" si="80"/>
        <v>1</v>
      </c>
      <c r="L485" s="961"/>
      <c r="M485" s="53">
        <f t="shared" si="81"/>
        <v>1</v>
      </c>
      <c r="N485" s="961"/>
      <c r="O485" s="53">
        <f t="shared" si="82"/>
        <v>1</v>
      </c>
      <c r="P485" s="961"/>
      <c r="Q485" s="53">
        <f t="shared" si="83"/>
        <v>1</v>
      </c>
      <c r="R485" s="489">
        <f t="shared" si="84"/>
        <v>0</v>
      </c>
      <c r="S485" s="798">
        <f t="shared" si="75"/>
        <v>0</v>
      </c>
    </row>
    <row r="486" spans="1:19">
      <c r="A486" s="963"/>
      <c r="B486" s="137"/>
      <c r="C486" s="53">
        <f t="shared" si="76"/>
        <v>1</v>
      </c>
      <c r="D486" s="961"/>
      <c r="E486" s="53">
        <f t="shared" si="77"/>
        <v>0</v>
      </c>
      <c r="F486" s="961"/>
      <c r="G486" s="53">
        <f t="shared" si="78"/>
        <v>1</v>
      </c>
      <c r="H486" s="961"/>
      <c r="I486" s="53">
        <f t="shared" si="79"/>
        <v>1</v>
      </c>
      <c r="J486" s="961"/>
      <c r="K486" s="53">
        <f t="shared" si="80"/>
        <v>1</v>
      </c>
      <c r="L486" s="961"/>
      <c r="M486" s="53">
        <f t="shared" si="81"/>
        <v>1</v>
      </c>
      <c r="N486" s="961"/>
      <c r="O486" s="53">
        <f t="shared" si="82"/>
        <v>1</v>
      </c>
      <c r="P486" s="961"/>
      <c r="Q486" s="53">
        <f t="shared" si="83"/>
        <v>1</v>
      </c>
      <c r="R486" s="489">
        <f t="shared" si="84"/>
        <v>0</v>
      </c>
      <c r="S486" s="798">
        <f t="shared" si="75"/>
        <v>0</v>
      </c>
    </row>
    <row r="487" spans="1:19">
      <c r="A487" s="963"/>
      <c r="B487" s="137"/>
      <c r="C487" s="53">
        <f t="shared" si="76"/>
        <v>1</v>
      </c>
      <c r="D487" s="961"/>
      <c r="E487" s="53">
        <f t="shared" si="77"/>
        <v>0</v>
      </c>
      <c r="F487" s="961"/>
      <c r="G487" s="53">
        <f t="shared" si="78"/>
        <v>1</v>
      </c>
      <c r="H487" s="961"/>
      <c r="I487" s="53">
        <f t="shared" si="79"/>
        <v>1</v>
      </c>
      <c r="J487" s="961"/>
      <c r="K487" s="53">
        <f t="shared" si="80"/>
        <v>1</v>
      </c>
      <c r="L487" s="961"/>
      <c r="M487" s="53">
        <f t="shared" si="81"/>
        <v>1</v>
      </c>
      <c r="N487" s="961"/>
      <c r="O487" s="53">
        <f t="shared" si="82"/>
        <v>1</v>
      </c>
      <c r="P487" s="961"/>
      <c r="Q487" s="53">
        <f t="shared" si="83"/>
        <v>1</v>
      </c>
      <c r="R487" s="489">
        <f t="shared" si="84"/>
        <v>0</v>
      </c>
      <c r="S487" s="798">
        <f t="shared" si="75"/>
        <v>0</v>
      </c>
    </row>
    <row r="488" spans="1:19">
      <c r="A488" s="963"/>
      <c r="B488" s="137"/>
      <c r="C488" s="53">
        <f t="shared" si="76"/>
        <v>1</v>
      </c>
      <c r="D488" s="961"/>
      <c r="E488" s="53">
        <f t="shared" si="77"/>
        <v>0</v>
      </c>
      <c r="F488" s="961"/>
      <c r="G488" s="53">
        <f t="shared" si="78"/>
        <v>1</v>
      </c>
      <c r="H488" s="961"/>
      <c r="I488" s="53">
        <f t="shared" si="79"/>
        <v>1</v>
      </c>
      <c r="J488" s="961"/>
      <c r="K488" s="53">
        <f t="shared" si="80"/>
        <v>1</v>
      </c>
      <c r="L488" s="961"/>
      <c r="M488" s="53">
        <f t="shared" si="81"/>
        <v>1</v>
      </c>
      <c r="N488" s="961"/>
      <c r="O488" s="53">
        <f t="shared" si="82"/>
        <v>1</v>
      </c>
      <c r="P488" s="961"/>
      <c r="Q488" s="53">
        <f t="shared" si="83"/>
        <v>1</v>
      </c>
      <c r="R488" s="489">
        <f t="shared" si="84"/>
        <v>0</v>
      </c>
      <c r="S488" s="798">
        <f t="shared" si="75"/>
        <v>0</v>
      </c>
    </row>
    <row r="489" spans="1:19">
      <c r="A489" s="963"/>
      <c r="B489" s="137"/>
      <c r="C489" s="53">
        <f t="shared" si="76"/>
        <v>1</v>
      </c>
      <c r="D489" s="961"/>
      <c r="E489" s="53">
        <f t="shared" si="77"/>
        <v>0</v>
      </c>
      <c r="F489" s="961"/>
      <c r="G489" s="53">
        <f t="shared" si="78"/>
        <v>1</v>
      </c>
      <c r="H489" s="961"/>
      <c r="I489" s="53">
        <f t="shared" si="79"/>
        <v>1</v>
      </c>
      <c r="J489" s="961"/>
      <c r="K489" s="53">
        <f t="shared" si="80"/>
        <v>1</v>
      </c>
      <c r="L489" s="961"/>
      <c r="M489" s="53">
        <f t="shared" si="81"/>
        <v>1</v>
      </c>
      <c r="N489" s="961"/>
      <c r="O489" s="53">
        <f t="shared" si="82"/>
        <v>1</v>
      </c>
      <c r="P489" s="961"/>
      <c r="Q489" s="53">
        <f t="shared" si="83"/>
        <v>1</v>
      </c>
      <c r="R489" s="489">
        <f t="shared" si="84"/>
        <v>0</v>
      </c>
      <c r="S489" s="798">
        <f t="shared" si="75"/>
        <v>0</v>
      </c>
    </row>
    <row r="490" spans="1:19">
      <c r="A490" s="963"/>
      <c r="B490" s="137"/>
      <c r="C490" s="53">
        <f t="shared" si="76"/>
        <v>1</v>
      </c>
      <c r="D490" s="961"/>
      <c r="E490" s="53">
        <f t="shared" si="77"/>
        <v>0</v>
      </c>
      <c r="F490" s="961"/>
      <c r="G490" s="53">
        <f t="shared" si="78"/>
        <v>1</v>
      </c>
      <c r="H490" s="961"/>
      <c r="I490" s="53">
        <f t="shared" si="79"/>
        <v>1</v>
      </c>
      <c r="J490" s="961"/>
      <c r="K490" s="53">
        <f t="shared" si="80"/>
        <v>1</v>
      </c>
      <c r="L490" s="961"/>
      <c r="M490" s="53">
        <f t="shared" si="81"/>
        <v>1</v>
      </c>
      <c r="N490" s="961"/>
      <c r="O490" s="53">
        <f t="shared" si="82"/>
        <v>1</v>
      </c>
      <c r="P490" s="961"/>
      <c r="Q490" s="53">
        <f t="shared" si="83"/>
        <v>1</v>
      </c>
      <c r="R490" s="489">
        <f t="shared" si="84"/>
        <v>0</v>
      </c>
      <c r="S490" s="798">
        <f t="shared" si="75"/>
        <v>0</v>
      </c>
    </row>
    <row r="491" spans="1:19">
      <c r="A491" s="963"/>
      <c r="B491" s="137"/>
      <c r="C491" s="53">
        <f t="shared" si="76"/>
        <v>1</v>
      </c>
      <c r="D491" s="961"/>
      <c r="E491" s="53">
        <f t="shared" si="77"/>
        <v>0</v>
      </c>
      <c r="F491" s="961"/>
      <c r="G491" s="53">
        <f t="shared" si="78"/>
        <v>1</v>
      </c>
      <c r="H491" s="961"/>
      <c r="I491" s="53">
        <f t="shared" si="79"/>
        <v>1</v>
      </c>
      <c r="J491" s="961"/>
      <c r="K491" s="53">
        <f t="shared" si="80"/>
        <v>1</v>
      </c>
      <c r="L491" s="961"/>
      <c r="M491" s="53">
        <f t="shared" si="81"/>
        <v>1</v>
      </c>
      <c r="N491" s="961"/>
      <c r="O491" s="53">
        <f t="shared" si="82"/>
        <v>1</v>
      </c>
      <c r="P491" s="961"/>
      <c r="Q491" s="53">
        <f t="shared" si="83"/>
        <v>1</v>
      </c>
      <c r="R491" s="489">
        <f t="shared" si="84"/>
        <v>0</v>
      </c>
      <c r="S491" s="798">
        <f t="shared" si="75"/>
        <v>0</v>
      </c>
    </row>
    <row r="492" spans="1:19">
      <c r="A492" s="963"/>
      <c r="B492" s="137"/>
      <c r="C492" s="53">
        <f t="shared" si="76"/>
        <v>1</v>
      </c>
      <c r="D492" s="961"/>
      <c r="E492" s="53">
        <f t="shared" si="77"/>
        <v>0</v>
      </c>
      <c r="F492" s="961"/>
      <c r="G492" s="53">
        <f t="shared" si="78"/>
        <v>1</v>
      </c>
      <c r="H492" s="961"/>
      <c r="I492" s="53">
        <f t="shared" si="79"/>
        <v>1</v>
      </c>
      <c r="J492" s="961"/>
      <c r="K492" s="53">
        <f t="shared" si="80"/>
        <v>1</v>
      </c>
      <c r="L492" s="961"/>
      <c r="M492" s="53">
        <f t="shared" si="81"/>
        <v>1</v>
      </c>
      <c r="N492" s="961"/>
      <c r="O492" s="53">
        <f t="shared" si="82"/>
        <v>1</v>
      </c>
      <c r="P492" s="961"/>
      <c r="Q492" s="53">
        <f t="shared" si="83"/>
        <v>1</v>
      </c>
      <c r="R492" s="489">
        <f t="shared" si="84"/>
        <v>0</v>
      </c>
      <c r="S492" s="798">
        <f t="shared" si="75"/>
        <v>0</v>
      </c>
    </row>
    <row r="493" spans="1:19">
      <c r="A493" s="963"/>
      <c r="B493" s="137"/>
      <c r="C493" s="53">
        <f t="shared" si="76"/>
        <v>1</v>
      </c>
      <c r="D493" s="961"/>
      <c r="E493" s="53">
        <f t="shared" si="77"/>
        <v>0</v>
      </c>
      <c r="F493" s="961"/>
      <c r="G493" s="53">
        <f t="shared" si="78"/>
        <v>1</v>
      </c>
      <c r="H493" s="961"/>
      <c r="I493" s="53">
        <f t="shared" si="79"/>
        <v>1</v>
      </c>
      <c r="J493" s="961"/>
      <c r="K493" s="53">
        <f t="shared" si="80"/>
        <v>1</v>
      </c>
      <c r="L493" s="961"/>
      <c r="M493" s="53">
        <f t="shared" si="81"/>
        <v>1</v>
      </c>
      <c r="N493" s="961"/>
      <c r="O493" s="53">
        <f t="shared" si="82"/>
        <v>1</v>
      </c>
      <c r="P493" s="961"/>
      <c r="Q493" s="53">
        <f t="shared" si="83"/>
        <v>1</v>
      </c>
      <c r="R493" s="489">
        <f t="shared" si="84"/>
        <v>0</v>
      </c>
      <c r="S493" s="798">
        <f t="shared" si="75"/>
        <v>0</v>
      </c>
    </row>
    <row r="494" spans="1:19">
      <c r="A494" s="963"/>
      <c r="B494" s="137"/>
      <c r="C494" s="53">
        <f t="shared" si="76"/>
        <v>1</v>
      </c>
      <c r="D494" s="961"/>
      <c r="E494" s="53">
        <f t="shared" si="77"/>
        <v>0</v>
      </c>
      <c r="F494" s="961"/>
      <c r="G494" s="53">
        <f t="shared" si="78"/>
        <v>1</v>
      </c>
      <c r="H494" s="961"/>
      <c r="I494" s="53">
        <f t="shared" si="79"/>
        <v>1</v>
      </c>
      <c r="J494" s="961"/>
      <c r="K494" s="53">
        <f t="shared" si="80"/>
        <v>1</v>
      </c>
      <c r="L494" s="961"/>
      <c r="M494" s="53">
        <f t="shared" si="81"/>
        <v>1</v>
      </c>
      <c r="N494" s="961"/>
      <c r="O494" s="53">
        <f t="shared" si="82"/>
        <v>1</v>
      </c>
      <c r="P494" s="961"/>
      <c r="Q494" s="53">
        <f t="shared" si="83"/>
        <v>1</v>
      </c>
      <c r="R494" s="489">
        <f t="shared" si="84"/>
        <v>0</v>
      </c>
      <c r="S494" s="798">
        <f t="shared" si="75"/>
        <v>0</v>
      </c>
    </row>
    <row r="495" spans="1:19">
      <c r="A495" s="963"/>
      <c r="B495" s="137"/>
      <c r="C495" s="53">
        <f t="shared" si="76"/>
        <v>1</v>
      </c>
      <c r="D495" s="961"/>
      <c r="E495" s="53">
        <f t="shared" si="77"/>
        <v>0</v>
      </c>
      <c r="F495" s="961"/>
      <c r="G495" s="53">
        <f t="shared" si="78"/>
        <v>1</v>
      </c>
      <c r="H495" s="961"/>
      <c r="I495" s="53">
        <f t="shared" si="79"/>
        <v>1</v>
      </c>
      <c r="J495" s="961"/>
      <c r="K495" s="53">
        <f t="shared" si="80"/>
        <v>1</v>
      </c>
      <c r="L495" s="961"/>
      <c r="M495" s="53">
        <f t="shared" si="81"/>
        <v>1</v>
      </c>
      <c r="N495" s="961"/>
      <c r="O495" s="53">
        <f t="shared" si="82"/>
        <v>1</v>
      </c>
      <c r="P495" s="961"/>
      <c r="Q495" s="53">
        <f t="shared" si="83"/>
        <v>1</v>
      </c>
      <c r="R495" s="489">
        <f t="shared" si="84"/>
        <v>0</v>
      </c>
      <c r="S495" s="798">
        <f t="shared" si="75"/>
        <v>0</v>
      </c>
    </row>
    <row r="496" spans="1:19">
      <c r="A496" s="963"/>
      <c r="B496" s="137"/>
      <c r="C496" s="53">
        <f t="shared" si="76"/>
        <v>1</v>
      </c>
      <c r="D496" s="961"/>
      <c r="E496" s="53">
        <f t="shared" si="77"/>
        <v>0</v>
      </c>
      <c r="F496" s="961"/>
      <c r="G496" s="53">
        <f t="shared" si="78"/>
        <v>1</v>
      </c>
      <c r="H496" s="961"/>
      <c r="I496" s="53">
        <f t="shared" si="79"/>
        <v>1</v>
      </c>
      <c r="J496" s="961"/>
      <c r="K496" s="53">
        <f t="shared" si="80"/>
        <v>1</v>
      </c>
      <c r="L496" s="961"/>
      <c r="M496" s="53">
        <f t="shared" si="81"/>
        <v>1</v>
      </c>
      <c r="N496" s="961"/>
      <c r="O496" s="53">
        <f t="shared" si="82"/>
        <v>1</v>
      </c>
      <c r="P496" s="961"/>
      <c r="Q496" s="53">
        <f t="shared" si="83"/>
        <v>1</v>
      </c>
      <c r="R496" s="489">
        <f t="shared" si="84"/>
        <v>0</v>
      </c>
      <c r="S496" s="798">
        <f t="shared" si="75"/>
        <v>0</v>
      </c>
    </row>
    <row r="497" spans="1:19">
      <c r="A497" s="963"/>
      <c r="B497" s="137"/>
      <c r="C497" s="53">
        <f t="shared" si="76"/>
        <v>1</v>
      </c>
      <c r="D497" s="961"/>
      <c r="E497" s="53">
        <f t="shared" si="77"/>
        <v>0</v>
      </c>
      <c r="F497" s="961"/>
      <c r="G497" s="53">
        <f t="shared" si="78"/>
        <v>1</v>
      </c>
      <c r="H497" s="961"/>
      <c r="I497" s="53">
        <f t="shared" si="79"/>
        <v>1</v>
      </c>
      <c r="J497" s="961"/>
      <c r="K497" s="53">
        <f t="shared" si="80"/>
        <v>1</v>
      </c>
      <c r="L497" s="961"/>
      <c r="M497" s="53">
        <f t="shared" si="81"/>
        <v>1</v>
      </c>
      <c r="N497" s="961"/>
      <c r="O497" s="53">
        <f t="shared" si="82"/>
        <v>1</v>
      </c>
      <c r="P497" s="961"/>
      <c r="Q497" s="53">
        <f t="shared" si="83"/>
        <v>1</v>
      </c>
      <c r="R497" s="489">
        <f t="shared" si="84"/>
        <v>0</v>
      </c>
      <c r="S497" s="798">
        <f t="shared" si="75"/>
        <v>0</v>
      </c>
    </row>
    <row r="498" spans="1:19">
      <c r="A498" s="963"/>
      <c r="B498" s="137"/>
      <c r="C498" s="53">
        <f t="shared" si="76"/>
        <v>1</v>
      </c>
      <c r="D498" s="961"/>
      <c r="E498" s="53">
        <f t="shared" si="77"/>
        <v>0</v>
      </c>
      <c r="F498" s="961"/>
      <c r="G498" s="53">
        <f t="shared" si="78"/>
        <v>1</v>
      </c>
      <c r="H498" s="961"/>
      <c r="I498" s="53">
        <f t="shared" si="79"/>
        <v>1</v>
      </c>
      <c r="J498" s="961"/>
      <c r="K498" s="53">
        <f t="shared" si="80"/>
        <v>1</v>
      </c>
      <c r="L498" s="961"/>
      <c r="M498" s="53">
        <f t="shared" si="81"/>
        <v>1</v>
      </c>
      <c r="N498" s="961"/>
      <c r="O498" s="53">
        <f t="shared" si="82"/>
        <v>1</v>
      </c>
      <c r="P498" s="961"/>
      <c r="Q498" s="53">
        <f t="shared" si="83"/>
        <v>1</v>
      </c>
      <c r="R498" s="489">
        <f t="shared" si="84"/>
        <v>0</v>
      </c>
      <c r="S498" s="798">
        <f t="shared" si="75"/>
        <v>0</v>
      </c>
    </row>
    <row r="499" spans="1:19">
      <c r="A499" s="963"/>
      <c r="B499" s="137"/>
      <c r="C499" s="53">
        <f t="shared" si="76"/>
        <v>1</v>
      </c>
      <c r="D499" s="961"/>
      <c r="E499" s="53">
        <f t="shared" si="77"/>
        <v>0</v>
      </c>
      <c r="F499" s="961"/>
      <c r="G499" s="53">
        <f t="shared" si="78"/>
        <v>1</v>
      </c>
      <c r="H499" s="961"/>
      <c r="I499" s="53">
        <f t="shared" si="79"/>
        <v>1</v>
      </c>
      <c r="J499" s="961"/>
      <c r="K499" s="53">
        <f t="shared" si="80"/>
        <v>1</v>
      </c>
      <c r="L499" s="961"/>
      <c r="M499" s="53">
        <f t="shared" si="81"/>
        <v>1</v>
      </c>
      <c r="N499" s="961"/>
      <c r="O499" s="53">
        <f t="shared" si="82"/>
        <v>1</v>
      </c>
      <c r="P499" s="961"/>
      <c r="Q499" s="53">
        <f t="shared" si="83"/>
        <v>1</v>
      </c>
      <c r="R499" s="489">
        <f t="shared" si="84"/>
        <v>0</v>
      </c>
      <c r="S499" s="798">
        <f t="shared" si="75"/>
        <v>0</v>
      </c>
    </row>
    <row r="500" spans="1:19">
      <c r="A500" s="963"/>
      <c r="B500" s="137"/>
      <c r="C500" s="53">
        <f t="shared" si="76"/>
        <v>1</v>
      </c>
      <c r="D500" s="961"/>
      <c r="E500" s="53">
        <f t="shared" si="77"/>
        <v>0</v>
      </c>
      <c r="F500" s="961"/>
      <c r="G500" s="53">
        <f t="shared" si="78"/>
        <v>1</v>
      </c>
      <c r="H500" s="961"/>
      <c r="I500" s="53">
        <f t="shared" si="79"/>
        <v>1</v>
      </c>
      <c r="J500" s="961"/>
      <c r="K500" s="53">
        <f t="shared" si="80"/>
        <v>1</v>
      </c>
      <c r="L500" s="961"/>
      <c r="M500" s="53">
        <f t="shared" si="81"/>
        <v>1</v>
      </c>
      <c r="N500" s="961"/>
      <c r="O500" s="53">
        <f t="shared" si="82"/>
        <v>1</v>
      </c>
      <c r="P500" s="961"/>
      <c r="Q500" s="53">
        <f t="shared" si="83"/>
        <v>1</v>
      </c>
      <c r="R500" s="489">
        <f t="shared" si="84"/>
        <v>0</v>
      </c>
      <c r="S500" s="798">
        <f t="shared" si="75"/>
        <v>0</v>
      </c>
    </row>
    <row r="501" spans="1:19">
      <c r="A501" s="963"/>
      <c r="B501" s="137"/>
      <c r="C501" s="53">
        <f t="shared" si="76"/>
        <v>1</v>
      </c>
      <c r="D501" s="961"/>
      <c r="E501" s="53">
        <f t="shared" si="77"/>
        <v>0</v>
      </c>
      <c r="F501" s="961"/>
      <c r="G501" s="53">
        <f t="shared" si="78"/>
        <v>1</v>
      </c>
      <c r="H501" s="961"/>
      <c r="I501" s="53">
        <f t="shared" si="79"/>
        <v>1</v>
      </c>
      <c r="J501" s="961"/>
      <c r="K501" s="53">
        <f t="shared" si="80"/>
        <v>1</v>
      </c>
      <c r="L501" s="961"/>
      <c r="M501" s="53">
        <f t="shared" si="81"/>
        <v>1</v>
      </c>
      <c r="N501" s="961"/>
      <c r="O501" s="53">
        <f t="shared" si="82"/>
        <v>1</v>
      </c>
      <c r="P501" s="961"/>
      <c r="Q501" s="53">
        <f t="shared" si="83"/>
        <v>1</v>
      </c>
      <c r="R501" s="489">
        <f t="shared" si="84"/>
        <v>0</v>
      </c>
      <c r="S501" s="798">
        <f t="shared" si="75"/>
        <v>0</v>
      </c>
    </row>
    <row r="502" spans="1:19">
      <c r="A502" s="963"/>
      <c r="B502" s="137"/>
      <c r="C502" s="53">
        <f t="shared" si="76"/>
        <v>1</v>
      </c>
      <c r="D502" s="961"/>
      <c r="E502" s="53">
        <f t="shared" si="77"/>
        <v>0</v>
      </c>
      <c r="F502" s="961"/>
      <c r="G502" s="53">
        <f t="shared" si="78"/>
        <v>1</v>
      </c>
      <c r="H502" s="961"/>
      <c r="I502" s="53">
        <f t="shared" si="79"/>
        <v>1</v>
      </c>
      <c r="J502" s="961"/>
      <c r="K502" s="53">
        <f t="shared" si="80"/>
        <v>1</v>
      </c>
      <c r="L502" s="961"/>
      <c r="M502" s="53">
        <f t="shared" si="81"/>
        <v>1</v>
      </c>
      <c r="N502" s="961"/>
      <c r="O502" s="53">
        <f t="shared" si="82"/>
        <v>1</v>
      </c>
      <c r="P502" s="961"/>
      <c r="Q502" s="53">
        <f t="shared" si="83"/>
        <v>1</v>
      </c>
      <c r="R502" s="489">
        <f t="shared" si="84"/>
        <v>0</v>
      </c>
      <c r="S502" s="798">
        <f t="shared" si="75"/>
        <v>0</v>
      </c>
    </row>
    <row r="503" spans="1:19">
      <c r="A503" s="963"/>
      <c r="B503" s="137"/>
      <c r="C503" s="53">
        <f t="shared" si="76"/>
        <v>1</v>
      </c>
      <c r="D503" s="961"/>
      <c r="E503" s="53">
        <f t="shared" si="77"/>
        <v>0</v>
      </c>
      <c r="F503" s="961"/>
      <c r="G503" s="53">
        <f t="shared" si="78"/>
        <v>1</v>
      </c>
      <c r="H503" s="961"/>
      <c r="I503" s="53">
        <f t="shared" si="79"/>
        <v>1</v>
      </c>
      <c r="J503" s="961"/>
      <c r="K503" s="53">
        <f t="shared" si="80"/>
        <v>1</v>
      </c>
      <c r="L503" s="961"/>
      <c r="M503" s="53">
        <f t="shared" si="81"/>
        <v>1</v>
      </c>
      <c r="N503" s="961"/>
      <c r="O503" s="53">
        <f t="shared" si="82"/>
        <v>1</v>
      </c>
      <c r="P503" s="961"/>
      <c r="Q503" s="53">
        <f t="shared" si="83"/>
        <v>1</v>
      </c>
      <c r="R503" s="489">
        <f t="shared" si="84"/>
        <v>0</v>
      </c>
      <c r="S503" s="798">
        <f t="shared" si="75"/>
        <v>0</v>
      </c>
    </row>
    <row r="504" spans="1:19">
      <c r="A504" s="963"/>
      <c r="B504" s="137"/>
      <c r="C504" s="53">
        <f t="shared" si="76"/>
        <v>1</v>
      </c>
      <c r="D504" s="961"/>
      <c r="E504" s="53">
        <f t="shared" si="77"/>
        <v>0</v>
      </c>
      <c r="F504" s="961"/>
      <c r="G504" s="53">
        <f t="shared" si="78"/>
        <v>1</v>
      </c>
      <c r="H504" s="961"/>
      <c r="I504" s="53">
        <f t="shared" si="79"/>
        <v>1</v>
      </c>
      <c r="J504" s="961"/>
      <c r="K504" s="53">
        <f t="shared" si="80"/>
        <v>1</v>
      </c>
      <c r="L504" s="961"/>
      <c r="M504" s="53">
        <f t="shared" si="81"/>
        <v>1</v>
      </c>
      <c r="N504" s="961"/>
      <c r="O504" s="53">
        <f t="shared" si="82"/>
        <v>1</v>
      </c>
      <c r="P504" s="961"/>
      <c r="Q504" s="53">
        <f t="shared" si="83"/>
        <v>1</v>
      </c>
      <c r="R504" s="489">
        <f t="shared" si="84"/>
        <v>0</v>
      </c>
      <c r="S504" s="798">
        <f t="shared" si="75"/>
        <v>0</v>
      </c>
    </row>
    <row r="505" spans="1:19">
      <c r="A505" s="963"/>
      <c r="B505" s="137"/>
      <c r="C505" s="53">
        <f t="shared" si="76"/>
        <v>1</v>
      </c>
      <c r="D505" s="961"/>
      <c r="E505" s="53">
        <f t="shared" si="77"/>
        <v>0</v>
      </c>
      <c r="F505" s="961"/>
      <c r="G505" s="53">
        <f t="shared" si="78"/>
        <v>1</v>
      </c>
      <c r="H505" s="961"/>
      <c r="I505" s="53">
        <f t="shared" si="79"/>
        <v>1</v>
      </c>
      <c r="J505" s="961"/>
      <c r="K505" s="53">
        <f t="shared" si="80"/>
        <v>1</v>
      </c>
      <c r="L505" s="961"/>
      <c r="M505" s="53">
        <f t="shared" si="81"/>
        <v>1</v>
      </c>
      <c r="N505" s="961"/>
      <c r="O505" s="53">
        <f t="shared" si="82"/>
        <v>1</v>
      </c>
      <c r="P505" s="961"/>
      <c r="Q505" s="53">
        <f t="shared" si="83"/>
        <v>1</v>
      </c>
      <c r="R505" s="489">
        <f t="shared" si="84"/>
        <v>0</v>
      </c>
      <c r="S505" s="798">
        <f t="shared" si="75"/>
        <v>0</v>
      </c>
    </row>
    <row r="506" spans="1:19">
      <c r="A506" s="963"/>
      <c r="B506" s="137"/>
      <c r="C506" s="53">
        <f t="shared" si="76"/>
        <v>1</v>
      </c>
      <c r="D506" s="961"/>
      <c r="E506" s="53">
        <f t="shared" si="77"/>
        <v>0</v>
      </c>
      <c r="F506" s="961"/>
      <c r="G506" s="53">
        <f t="shared" si="78"/>
        <v>1</v>
      </c>
      <c r="H506" s="961"/>
      <c r="I506" s="53">
        <f t="shared" si="79"/>
        <v>1</v>
      </c>
      <c r="J506" s="961"/>
      <c r="K506" s="53">
        <f t="shared" si="80"/>
        <v>1</v>
      </c>
      <c r="L506" s="961"/>
      <c r="M506" s="53">
        <f t="shared" si="81"/>
        <v>1</v>
      </c>
      <c r="N506" s="961"/>
      <c r="O506" s="53">
        <f t="shared" si="82"/>
        <v>1</v>
      </c>
      <c r="P506" s="961"/>
      <c r="Q506" s="53">
        <f t="shared" si="83"/>
        <v>1</v>
      </c>
      <c r="R506" s="489">
        <f t="shared" si="84"/>
        <v>0</v>
      </c>
      <c r="S506" s="798">
        <f t="shared" si="75"/>
        <v>0</v>
      </c>
    </row>
    <row r="507" spans="1:19">
      <c r="A507" s="963"/>
      <c r="B507" s="137"/>
      <c r="C507" s="53">
        <f t="shared" si="76"/>
        <v>1</v>
      </c>
      <c r="D507" s="961"/>
      <c r="E507" s="53">
        <f t="shared" si="77"/>
        <v>0</v>
      </c>
      <c r="F507" s="961"/>
      <c r="G507" s="53">
        <f t="shared" si="78"/>
        <v>1</v>
      </c>
      <c r="H507" s="961"/>
      <c r="I507" s="53">
        <f t="shared" si="79"/>
        <v>1</v>
      </c>
      <c r="J507" s="961"/>
      <c r="K507" s="53">
        <f t="shared" si="80"/>
        <v>1</v>
      </c>
      <c r="L507" s="961"/>
      <c r="M507" s="53">
        <f t="shared" si="81"/>
        <v>1</v>
      </c>
      <c r="N507" s="961"/>
      <c r="O507" s="53">
        <f t="shared" si="82"/>
        <v>1</v>
      </c>
      <c r="P507" s="961"/>
      <c r="Q507" s="53">
        <f t="shared" si="83"/>
        <v>1</v>
      </c>
      <c r="R507" s="489">
        <f t="shared" si="84"/>
        <v>0</v>
      </c>
      <c r="S507" s="798">
        <f t="shared" si="75"/>
        <v>0</v>
      </c>
    </row>
    <row r="508" spans="1:19">
      <c r="A508" s="963"/>
      <c r="B508" s="137"/>
      <c r="C508" s="53">
        <f t="shared" si="76"/>
        <v>1</v>
      </c>
      <c r="D508" s="961"/>
      <c r="E508" s="53">
        <f t="shared" si="77"/>
        <v>0</v>
      </c>
      <c r="F508" s="961"/>
      <c r="G508" s="53">
        <f t="shared" si="78"/>
        <v>1</v>
      </c>
      <c r="H508" s="961"/>
      <c r="I508" s="53">
        <f t="shared" si="79"/>
        <v>1</v>
      </c>
      <c r="J508" s="961"/>
      <c r="K508" s="53">
        <f t="shared" si="80"/>
        <v>1</v>
      </c>
      <c r="L508" s="961"/>
      <c r="M508" s="53">
        <f t="shared" si="81"/>
        <v>1</v>
      </c>
      <c r="N508" s="961"/>
      <c r="O508" s="53">
        <f t="shared" si="82"/>
        <v>1</v>
      </c>
      <c r="P508" s="961"/>
      <c r="Q508" s="53">
        <f t="shared" si="83"/>
        <v>1</v>
      </c>
      <c r="R508" s="489">
        <f t="shared" si="84"/>
        <v>0</v>
      </c>
      <c r="S508" s="798">
        <f t="shared" si="75"/>
        <v>0</v>
      </c>
    </row>
    <row r="509" spans="1:19">
      <c r="A509" s="963"/>
      <c r="B509" s="137"/>
      <c r="C509" s="53">
        <f t="shared" si="76"/>
        <v>1</v>
      </c>
      <c r="D509" s="961"/>
      <c r="E509" s="53">
        <f t="shared" si="77"/>
        <v>0</v>
      </c>
      <c r="F509" s="961"/>
      <c r="G509" s="53">
        <f t="shared" si="78"/>
        <v>1</v>
      </c>
      <c r="H509" s="961"/>
      <c r="I509" s="53">
        <f t="shared" si="79"/>
        <v>1</v>
      </c>
      <c r="J509" s="961"/>
      <c r="K509" s="53">
        <f t="shared" si="80"/>
        <v>1</v>
      </c>
      <c r="L509" s="961"/>
      <c r="M509" s="53">
        <f t="shared" si="81"/>
        <v>1</v>
      </c>
      <c r="N509" s="961"/>
      <c r="O509" s="53">
        <f t="shared" si="82"/>
        <v>1</v>
      </c>
      <c r="P509" s="961"/>
      <c r="Q509" s="53">
        <f t="shared" si="83"/>
        <v>1</v>
      </c>
      <c r="R509" s="489">
        <f t="shared" si="84"/>
        <v>0</v>
      </c>
      <c r="S509" s="798">
        <f t="shared" si="75"/>
        <v>0</v>
      </c>
    </row>
    <row r="510" spans="1:19">
      <c r="A510" s="963"/>
      <c r="B510" s="137"/>
      <c r="C510" s="53">
        <f t="shared" si="76"/>
        <v>1</v>
      </c>
      <c r="D510" s="961"/>
      <c r="E510" s="53">
        <f t="shared" si="77"/>
        <v>0</v>
      </c>
      <c r="F510" s="961"/>
      <c r="G510" s="53">
        <f t="shared" si="78"/>
        <v>1</v>
      </c>
      <c r="H510" s="961"/>
      <c r="I510" s="53">
        <f t="shared" si="79"/>
        <v>1</v>
      </c>
      <c r="J510" s="961"/>
      <c r="K510" s="53">
        <f t="shared" si="80"/>
        <v>1</v>
      </c>
      <c r="L510" s="961"/>
      <c r="M510" s="53">
        <f t="shared" si="81"/>
        <v>1</v>
      </c>
      <c r="N510" s="961"/>
      <c r="O510" s="53">
        <f t="shared" si="82"/>
        <v>1</v>
      </c>
      <c r="P510" s="961"/>
      <c r="Q510" s="53">
        <f t="shared" si="83"/>
        <v>1</v>
      </c>
      <c r="R510" s="489">
        <f t="shared" si="84"/>
        <v>0</v>
      </c>
      <c r="S510" s="798">
        <f t="shared" si="75"/>
        <v>0</v>
      </c>
    </row>
    <row r="511" spans="1:19">
      <c r="A511" s="963"/>
      <c r="B511" s="137"/>
      <c r="C511" s="53">
        <f t="shared" si="76"/>
        <v>1</v>
      </c>
      <c r="D511" s="961"/>
      <c r="E511" s="53">
        <f t="shared" si="77"/>
        <v>0</v>
      </c>
      <c r="F511" s="961"/>
      <c r="G511" s="53">
        <f t="shared" si="78"/>
        <v>1</v>
      </c>
      <c r="H511" s="961"/>
      <c r="I511" s="53">
        <f t="shared" si="79"/>
        <v>1</v>
      </c>
      <c r="J511" s="961"/>
      <c r="K511" s="53">
        <f t="shared" si="80"/>
        <v>1</v>
      </c>
      <c r="L511" s="961"/>
      <c r="M511" s="53">
        <f t="shared" si="81"/>
        <v>1</v>
      </c>
      <c r="N511" s="961"/>
      <c r="O511" s="53">
        <f t="shared" si="82"/>
        <v>1</v>
      </c>
      <c r="P511" s="961"/>
      <c r="Q511" s="53">
        <f t="shared" si="83"/>
        <v>1</v>
      </c>
      <c r="R511" s="489">
        <f t="shared" si="84"/>
        <v>0</v>
      </c>
      <c r="S511" s="798">
        <f t="shared" si="75"/>
        <v>0</v>
      </c>
    </row>
    <row r="512" spans="1:19">
      <c r="A512" s="963"/>
      <c r="B512" s="137"/>
      <c r="C512" s="53">
        <f t="shared" si="76"/>
        <v>1</v>
      </c>
      <c r="D512" s="961"/>
      <c r="E512" s="53">
        <f t="shared" si="77"/>
        <v>0</v>
      </c>
      <c r="F512" s="961"/>
      <c r="G512" s="53">
        <f t="shared" si="78"/>
        <v>1</v>
      </c>
      <c r="H512" s="961"/>
      <c r="I512" s="53">
        <f t="shared" si="79"/>
        <v>1</v>
      </c>
      <c r="J512" s="961"/>
      <c r="K512" s="53">
        <f t="shared" si="80"/>
        <v>1</v>
      </c>
      <c r="L512" s="961"/>
      <c r="M512" s="53">
        <f t="shared" si="81"/>
        <v>1</v>
      </c>
      <c r="N512" s="961"/>
      <c r="O512" s="53">
        <f t="shared" si="82"/>
        <v>1</v>
      </c>
      <c r="P512" s="961"/>
      <c r="Q512" s="53">
        <f t="shared" si="83"/>
        <v>1</v>
      </c>
      <c r="R512" s="489">
        <f t="shared" si="84"/>
        <v>0</v>
      </c>
      <c r="S512" s="798">
        <f t="shared" si="75"/>
        <v>0</v>
      </c>
    </row>
    <row r="513" spans="1:19">
      <c r="A513" s="963"/>
      <c r="B513" s="137"/>
      <c r="C513" s="53">
        <f t="shared" si="76"/>
        <v>1</v>
      </c>
      <c r="D513" s="961"/>
      <c r="E513" s="53">
        <f t="shared" si="77"/>
        <v>0</v>
      </c>
      <c r="F513" s="961"/>
      <c r="G513" s="53">
        <f t="shared" si="78"/>
        <v>1</v>
      </c>
      <c r="H513" s="961"/>
      <c r="I513" s="53">
        <f t="shared" si="79"/>
        <v>1</v>
      </c>
      <c r="J513" s="961"/>
      <c r="K513" s="53">
        <f t="shared" si="80"/>
        <v>1</v>
      </c>
      <c r="L513" s="961"/>
      <c r="M513" s="53">
        <f t="shared" si="81"/>
        <v>1</v>
      </c>
      <c r="N513" s="961"/>
      <c r="O513" s="53">
        <f t="shared" si="82"/>
        <v>1</v>
      </c>
      <c r="P513" s="961"/>
      <c r="Q513" s="53">
        <f t="shared" si="83"/>
        <v>1</v>
      </c>
      <c r="R513" s="489">
        <f t="shared" si="84"/>
        <v>0</v>
      </c>
      <c r="S513" s="798">
        <f t="shared" si="75"/>
        <v>0</v>
      </c>
    </row>
    <row r="514" spans="1:19">
      <c r="A514" s="963"/>
      <c r="B514" s="137"/>
      <c r="C514" s="53">
        <f t="shared" si="76"/>
        <v>1</v>
      </c>
      <c r="D514" s="961"/>
      <c r="E514" s="53">
        <f t="shared" si="77"/>
        <v>0</v>
      </c>
      <c r="F514" s="961"/>
      <c r="G514" s="53">
        <f t="shared" si="78"/>
        <v>1</v>
      </c>
      <c r="H514" s="961"/>
      <c r="I514" s="53">
        <f t="shared" si="79"/>
        <v>1</v>
      </c>
      <c r="J514" s="961"/>
      <c r="K514" s="53">
        <f t="shared" si="80"/>
        <v>1</v>
      </c>
      <c r="L514" s="961"/>
      <c r="M514" s="53">
        <f t="shared" si="81"/>
        <v>1</v>
      </c>
      <c r="N514" s="961"/>
      <c r="O514" s="53">
        <f t="shared" si="82"/>
        <v>1</v>
      </c>
      <c r="P514" s="961"/>
      <c r="Q514" s="53">
        <f t="shared" si="83"/>
        <v>1</v>
      </c>
      <c r="R514" s="489">
        <f t="shared" si="84"/>
        <v>0</v>
      </c>
      <c r="S514" s="798">
        <f t="shared" si="75"/>
        <v>0</v>
      </c>
    </row>
    <row r="515" spans="1:19">
      <c r="A515" s="963"/>
      <c r="B515" s="137"/>
      <c r="C515" s="53">
        <f t="shared" si="76"/>
        <v>1</v>
      </c>
      <c r="D515" s="961"/>
      <c r="E515" s="53">
        <f t="shared" si="77"/>
        <v>0</v>
      </c>
      <c r="F515" s="961"/>
      <c r="G515" s="53">
        <f t="shared" si="78"/>
        <v>1</v>
      </c>
      <c r="H515" s="961"/>
      <c r="I515" s="53">
        <f t="shared" si="79"/>
        <v>1</v>
      </c>
      <c r="J515" s="961"/>
      <c r="K515" s="53">
        <f t="shared" si="80"/>
        <v>1</v>
      </c>
      <c r="L515" s="961"/>
      <c r="M515" s="53">
        <f t="shared" si="81"/>
        <v>1</v>
      </c>
      <c r="N515" s="961"/>
      <c r="O515" s="53">
        <f t="shared" si="82"/>
        <v>1</v>
      </c>
      <c r="P515" s="961"/>
      <c r="Q515" s="53">
        <f t="shared" si="83"/>
        <v>1</v>
      </c>
      <c r="R515" s="489">
        <f t="shared" si="84"/>
        <v>0</v>
      </c>
      <c r="S515" s="798">
        <f t="shared" si="75"/>
        <v>0</v>
      </c>
    </row>
    <row r="516" spans="1:19">
      <c r="A516" s="963"/>
      <c r="B516" s="137"/>
      <c r="C516" s="53">
        <f t="shared" si="76"/>
        <v>1</v>
      </c>
      <c r="D516" s="961"/>
      <c r="E516" s="53">
        <f t="shared" si="77"/>
        <v>0</v>
      </c>
      <c r="F516" s="961"/>
      <c r="G516" s="53">
        <f t="shared" si="78"/>
        <v>1</v>
      </c>
      <c r="H516" s="961"/>
      <c r="I516" s="53">
        <f t="shared" si="79"/>
        <v>1</v>
      </c>
      <c r="J516" s="961"/>
      <c r="K516" s="53">
        <f t="shared" si="80"/>
        <v>1</v>
      </c>
      <c r="L516" s="961"/>
      <c r="M516" s="53">
        <f t="shared" si="81"/>
        <v>1</v>
      </c>
      <c r="N516" s="961"/>
      <c r="O516" s="53">
        <f t="shared" si="82"/>
        <v>1</v>
      </c>
      <c r="P516" s="961"/>
      <c r="Q516" s="53">
        <f t="shared" si="83"/>
        <v>1</v>
      </c>
      <c r="R516" s="489">
        <f t="shared" si="84"/>
        <v>0</v>
      </c>
      <c r="S516" s="798">
        <f t="shared" si="75"/>
        <v>0</v>
      </c>
    </row>
    <row r="517" spans="1:19">
      <c r="A517" s="963"/>
      <c r="B517" s="137"/>
      <c r="C517" s="53">
        <f t="shared" si="76"/>
        <v>1</v>
      </c>
      <c r="D517" s="961"/>
      <c r="E517" s="53">
        <f t="shared" si="77"/>
        <v>0</v>
      </c>
      <c r="F517" s="961"/>
      <c r="G517" s="53">
        <f t="shared" si="78"/>
        <v>1</v>
      </c>
      <c r="H517" s="961"/>
      <c r="I517" s="53">
        <f t="shared" si="79"/>
        <v>1</v>
      </c>
      <c r="J517" s="961"/>
      <c r="K517" s="53">
        <f t="shared" si="80"/>
        <v>1</v>
      </c>
      <c r="L517" s="961"/>
      <c r="M517" s="53">
        <f t="shared" si="81"/>
        <v>1</v>
      </c>
      <c r="N517" s="961"/>
      <c r="O517" s="53">
        <f t="shared" si="82"/>
        <v>1</v>
      </c>
      <c r="P517" s="961"/>
      <c r="Q517" s="53">
        <f t="shared" si="83"/>
        <v>1</v>
      </c>
      <c r="R517" s="489">
        <f t="shared" si="84"/>
        <v>0</v>
      </c>
      <c r="S517" s="798">
        <f t="shared" si="75"/>
        <v>0</v>
      </c>
    </row>
    <row r="518" spans="1:19">
      <c r="A518" s="963"/>
      <c r="B518" s="137"/>
      <c r="C518" s="53">
        <f t="shared" si="76"/>
        <v>1</v>
      </c>
      <c r="D518" s="961"/>
      <c r="E518" s="53">
        <f t="shared" si="77"/>
        <v>0</v>
      </c>
      <c r="F518" s="961"/>
      <c r="G518" s="53">
        <f t="shared" si="78"/>
        <v>1</v>
      </c>
      <c r="H518" s="961"/>
      <c r="I518" s="53">
        <f t="shared" si="79"/>
        <v>1</v>
      </c>
      <c r="J518" s="961"/>
      <c r="K518" s="53">
        <f t="shared" si="80"/>
        <v>1</v>
      </c>
      <c r="L518" s="961"/>
      <c r="M518" s="53">
        <f t="shared" si="81"/>
        <v>1</v>
      </c>
      <c r="N518" s="961"/>
      <c r="O518" s="53">
        <f t="shared" si="82"/>
        <v>1</v>
      </c>
      <c r="P518" s="961"/>
      <c r="Q518" s="53">
        <f t="shared" si="83"/>
        <v>1</v>
      </c>
      <c r="R518" s="489">
        <f t="shared" si="84"/>
        <v>0</v>
      </c>
      <c r="S518" s="798">
        <f t="shared" si="75"/>
        <v>0</v>
      </c>
    </row>
    <row r="519" spans="1:19">
      <c r="A519" s="963"/>
      <c r="B519" s="137"/>
      <c r="C519" s="53">
        <f t="shared" si="76"/>
        <v>1</v>
      </c>
      <c r="D519" s="961"/>
      <c r="E519" s="53">
        <f t="shared" si="77"/>
        <v>0</v>
      </c>
      <c r="F519" s="961"/>
      <c r="G519" s="53">
        <f t="shared" si="78"/>
        <v>1</v>
      </c>
      <c r="H519" s="961"/>
      <c r="I519" s="53">
        <f t="shared" si="79"/>
        <v>1</v>
      </c>
      <c r="J519" s="961"/>
      <c r="K519" s="53">
        <f t="shared" si="80"/>
        <v>1</v>
      </c>
      <c r="L519" s="961"/>
      <c r="M519" s="53">
        <f t="shared" si="81"/>
        <v>1</v>
      </c>
      <c r="N519" s="961"/>
      <c r="O519" s="53">
        <f t="shared" si="82"/>
        <v>1</v>
      </c>
      <c r="P519" s="961"/>
      <c r="Q519" s="53">
        <f t="shared" si="83"/>
        <v>1</v>
      </c>
      <c r="R519" s="489">
        <f t="shared" si="84"/>
        <v>0</v>
      </c>
      <c r="S519" s="798">
        <f t="shared" si="75"/>
        <v>0</v>
      </c>
    </row>
    <row r="520" spans="1:19">
      <c r="A520" s="963"/>
      <c r="B520" s="137"/>
      <c r="C520" s="53">
        <f t="shared" si="76"/>
        <v>1</v>
      </c>
      <c r="D520" s="961"/>
      <c r="E520" s="53">
        <f t="shared" si="77"/>
        <v>0</v>
      </c>
      <c r="F520" s="961"/>
      <c r="G520" s="53">
        <f t="shared" si="78"/>
        <v>1</v>
      </c>
      <c r="H520" s="961"/>
      <c r="I520" s="53">
        <f t="shared" si="79"/>
        <v>1</v>
      </c>
      <c r="J520" s="961"/>
      <c r="K520" s="53">
        <f t="shared" si="80"/>
        <v>1</v>
      </c>
      <c r="L520" s="961"/>
      <c r="M520" s="53">
        <f t="shared" si="81"/>
        <v>1</v>
      </c>
      <c r="N520" s="961"/>
      <c r="O520" s="53">
        <f t="shared" si="82"/>
        <v>1</v>
      </c>
      <c r="P520" s="961"/>
      <c r="Q520" s="53">
        <f t="shared" si="83"/>
        <v>1</v>
      </c>
      <c r="R520" s="489">
        <f t="shared" si="84"/>
        <v>0</v>
      </c>
      <c r="S520" s="798">
        <f t="shared" si="75"/>
        <v>0</v>
      </c>
    </row>
    <row r="521" spans="1:19">
      <c r="A521" s="963"/>
      <c r="B521" s="137"/>
      <c r="C521" s="53">
        <f t="shared" si="76"/>
        <v>1</v>
      </c>
      <c r="D521" s="961"/>
      <c r="E521" s="53">
        <f t="shared" si="77"/>
        <v>0</v>
      </c>
      <c r="F521" s="961"/>
      <c r="G521" s="53">
        <f t="shared" si="78"/>
        <v>1</v>
      </c>
      <c r="H521" s="961"/>
      <c r="I521" s="53">
        <f t="shared" si="79"/>
        <v>1</v>
      </c>
      <c r="J521" s="961"/>
      <c r="K521" s="53">
        <f t="shared" si="80"/>
        <v>1</v>
      </c>
      <c r="L521" s="961"/>
      <c r="M521" s="53">
        <f t="shared" si="81"/>
        <v>1</v>
      </c>
      <c r="N521" s="961"/>
      <c r="O521" s="53">
        <f t="shared" si="82"/>
        <v>1</v>
      </c>
      <c r="P521" s="961"/>
      <c r="Q521" s="53">
        <f t="shared" si="83"/>
        <v>1</v>
      </c>
      <c r="R521" s="489">
        <f t="shared" si="84"/>
        <v>0</v>
      </c>
      <c r="S521" s="798">
        <f t="shared" si="75"/>
        <v>0</v>
      </c>
    </row>
    <row r="522" spans="1:19">
      <c r="A522" s="963"/>
      <c r="B522" s="137"/>
      <c r="C522" s="53">
        <f t="shared" si="76"/>
        <v>1</v>
      </c>
      <c r="D522" s="961"/>
      <c r="E522" s="53">
        <f t="shared" si="77"/>
        <v>0</v>
      </c>
      <c r="F522" s="961"/>
      <c r="G522" s="53">
        <f t="shared" si="78"/>
        <v>1</v>
      </c>
      <c r="H522" s="961"/>
      <c r="I522" s="53">
        <f t="shared" si="79"/>
        <v>1</v>
      </c>
      <c r="J522" s="961"/>
      <c r="K522" s="53">
        <f t="shared" si="80"/>
        <v>1</v>
      </c>
      <c r="L522" s="961"/>
      <c r="M522" s="53">
        <f t="shared" si="81"/>
        <v>1</v>
      </c>
      <c r="N522" s="961"/>
      <c r="O522" s="53">
        <f t="shared" si="82"/>
        <v>1</v>
      </c>
      <c r="P522" s="961"/>
      <c r="Q522" s="53">
        <f t="shared" si="83"/>
        <v>1</v>
      </c>
      <c r="R522" s="489">
        <f t="shared" si="84"/>
        <v>0</v>
      </c>
      <c r="S522" s="798">
        <f t="shared" si="75"/>
        <v>0</v>
      </c>
    </row>
    <row r="523" spans="1:19">
      <c r="A523" s="963"/>
      <c r="B523" s="137"/>
      <c r="C523" s="53">
        <f t="shared" si="76"/>
        <v>1</v>
      </c>
      <c r="D523" s="961"/>
      <c r="E523" s="53">
        <f t="shared" si="77"/>
        <v>0</v>
      </c>
      <c r="F523" s="961"/>
      <c r="G523" s="53">
        <f t="shared" si="78"/>
        <v>1</v>
      </c>
      <c r="H523" s="961"/>
      <c r="I523" s="53">
        <f t="shared" si="79"/>
        <v>1</v>
      </c>
      <c r="J523" s="961"/>
      <c r="K523" s="53">
        <f t="shared" si="80"/>
        <v>1</v>
      </c>
      <c r="L523" s="961"/>
      <c r="M523" s="53">
        <f t="shared" si="81"/>
        <v>1</v>
      </c>
      <c r="N523" s="961"/>
      <c r="O523" s="53">
        <f t="shared" si="82"/>
        <v>1</v>
      </c>
      <c r="P523" s="961"/>
      <c r="Q523" s="53">
        <f t="shared" si="83"/>
        <v>1</v>
      </c>
      <c r="R523" s="489">
        <f t="shared" si="84"/>
        <v>0</v>
      </c>
      <c r="S523" s="798">
        <f t="shared" si="75"/>
        <v>0</v>
      </c>
    </row>
    <row r="524" spans="1:19">
      <c r="A524" s="963"/>
      <c r="B524" s="137"/>
      <c r="C524" s="53">
        <f t="shared" si="76"/>
        <v>1</v>
      </c>
      <c r="D524" s="961"/>
      <c r="E524" s="53">
        <f t="shared" si="77"/>
        <v>0</v>
      </c>
      <c r="F524" s="961"/>
      <c r="G524" s="53">
        <f t="shared" si="78"/>
        <v>1</v>
      </c>
      <c r="H524" s="961"/>
      <c r="I524" s="53">
        <f t="shared" si="79"/>
        <v>1</v>
      </c>
      <c r="J524" s="961"/>
      <c r="K524" s="53">
        <f t="shared" si="80"/>
        <v>1</v>
      </c>
      <c r="L524" s="961"/>
      <c r="M524" s="53">
        <f t="shared" si="81"/>
        <v>1</v>
      </c>
      <c r="N524" s="961"/>
      <c r="O524" s="53">
        <f t="shared" si="82"/>
        <v>1</v>
      </c>
      <c r="P524" s="961"/>
      <c r="Q524" s="53">
        <f t="shared" si="83"/>
        <v>1</v>
      </c>
      <c r="R524" s="489">
        <f t="shared" si="84"/>
        <v>0</v>
      </c>
      <c r="S524" s="798">
        <f t="shared" si="75"/>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0"/>
  <sheetViews>
    <sheetView workbookViewId="0">
      <selection activeCell="D20" sqref="D20"/>
    </sheetView>
  </sheetViews>
  <sheetFormatPr defaultRowHeight="13.5"/>
  <cols>
    <col min="5" max="5" width="13.25" customWidth="1"/>
    <col min="6" max="6" width="10.875" customWidth="1"/>
    <col min="7" max="8" width="11.5" customWidth="1"/>
    <col min="9" max="9" width="12.125" customWidth="1"/>
  </cols>
  <sheetData>
    <row r="3" spans="3:9">
      <c r="C3" s="3188" t="s">
        <v>3185</v>
      </c>
      <c r="D3" s="3188" t="s">
        <v>3186</v>
      </c>
      <c r="E3" s="3188" t="s">
        <v>3187</v>
      </c>
      <c r="F3" s="3188" t="s">
        <v>3204</v>
      </c>
      <c r="G3" s="3188" t="s">
        <v>3205</v>
      </c>
      <c r="H3" s="3188" t="s">
        <v>3206</v>
      </c>
      <c r="I3" s="3188" t="s">
        <v>3207</v>
      </c>
    </row>
    <row r="4" spans="3:9">
      <c r="C4" s="3188">
        <v>45078.46</v>
      </c>
      <c r="D4" s="3188">
        <v>2.8</v>
      </c>
      <c r="E4" s="3188">
        <v>126219.52</v>
      </c>
    </row>
    <row r="5" spans="3:9">
      <c r="C5">
        <v>40142.120000000003</v>
      </c>
      <c r="D5">
        <v>2.8</v>
      </c>
      <c r="E5">
        <v>112397.93</v>
      </c>
      <c r="F5">
        <f>ROUND(3.41208/4.014212*112397.93,2)</f>
        <v>95538.23</v>
      </c>
      <c r="G5">
        <f>112397.93-F5</f>
        <v>16859.699999999997</v>
      </c>
      <c r="H5">
        <f ca="1">ROUND('典型户型修正 (2)'!T25*10000/Sheet4!E5,0)</f>
        <v>1781</v>
      </c>
      <c r="I5">
        <f ca="1">ROUND('典型户型修正 (2)'!T25*10000/Sheet4!C5,0)</f>
        <v>4988</v>
      </c>
    </row>
    <row r="6" spans="3:9">
      <c r="C6">
        <f>SUM(C4:C5)</f>
        <v>85220.58</v>
      </c>
      <c r="E6">
        <f>SUM(E4:E5)</f>
        <v>238617.45</v>
      </c>
    </row>
    <row r="8" spans="3:9">
      <c r="F8" s="3216">
        <f>F5/E5*C5</f>
        <v>34120.798249999803</v>
      </c>
      <c r="G8" s="3216">
        <f>G5/E5*C5</f>
        <v>6021.3217500002002</v>
      </c>
    </row>
    <row r="10" spans="3:9">
      <c r="C10">
        <f ca="1">(系统读取表!D14+系统读取表!D15+系统读取表!D16)*0.5+系统读取表!D17*0.4</f>
        <v>21322.5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789" t="s">
        <v>2040</v>
      </c>
      <c r="B2" s="1789"/>
      <c r="C2" s="1789"/>
      <c r="D2" s="1789"/>
      <c r="E2" s="1789"/>
      <c r="F2" s="1789"/>
      <c r="G2" s="1789"/>
      <c r="H2" s="1789"/>
      <c r="I2" s="1790"/>
      <c r="J2" s="1790"/>
      <c r="K2" s="1791" t="str">
        <f>"估价期日："&amp;TEXT(项目基本情况!D3,"yyyy年m月d日;;")</f>
        <v>估价期日：2019年12月16日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23" t="s">
        <v>2029</v>
      </c>
      <c r="B3" s="3223" t="s">
        <v>2731</v>
      </c>
      <c r="C3" s="3224" t="s">
        <v>2030</v>
      </c>
      <c r="D3" s="3223" t="s">
        <v>2735</v>
      </c>
      <c r="E3" s="3218" t="s">
        <v>2031</v>
      </c>
      <c r="F3" s="3218"/>
      <c r="G3" s="3218"/>
      <c r="H3" s="3218" t="s">
        <v>2032</v>
      </c>
      <c r="I3" s="3218"/>
      <c r="J3" s="3218"/>
      <c r="K3" s="3224" t="s">
        <v>2033</v>
      </c>
      <c r="L3" s="3224" t="s">
        <v>2034</v>
      </c>
      <c r="M3" s="3223" t="s">
        <v>2732</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10" t="s">
        <v>2042</v>
      </c>
      <c r="F4" s="2610" t="s">
        <v>2744</v>
      </c>
      <c r="G4" s="2610" t="s">
        <v>2036</v>
      </c>
      <c r="H4" s="2610" t="s">
        <v>2037</v>
      </c>
      <c r="I4" s="2610" t="s">
        <v>2745</v>
      </c>
      <c r="J4" s="2610" t="s">
        <v>2036</v>
      </c>
      <c r="K4" s="3224"/>
      <c r="L4" s="3224"/>
      <c r="M4" s="3223"/>
      <c r="N4" s="3225"/>
      <c r="O4" s="3223"/>
      <c r="P4" s="3224"/>
      <c r="Q4" s="3224"/>
      <c r="R4" s="3224"/>
    </row>
    <row r="5" spans="1:18" ht="135" customHeight="1">
      <c r="A5" s="1925" t="s">
        <v>2655</v>
      </c>
      <c r="B5" s="2819" t="s">
        <v>2653</v>
      </c>
      <c r="C5" s="2609">
        <v>22</v>
      </c>
      <c r="D5" s="2608" t="s">
        <v>2654</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45078.46</v>
      </c>
      <c r="O5" s="1792">
        <f>项目基本情况!C21</f>
        <v>126219.51999999999</v>
      </c>
      <c r="P5" s="1792">
        <f ca="1">结果表!E42</f>
        <v>5019</v>
      </c>
      <c r="Q5" s="1792">
        <f ca="1">结果表!D42</f>
        <v>1792</v>
      </c>
      <c r="R5" s="1793">
        <f ca="1">结果表!C42</f>
        <v>22623</v>
      </c>
    </row>
    <row r="6" spans="1:18">
      <c r="A6" s="3219" t="str">
        <f>IF(项目基本情况!B9="市场价格","——","抵押价格")</f>
        <v>——</v>
      </c>
      <c r="B6" s="3220"/>
      <c r="C6" s="3220"/>
      <c r="D6" s="3220"/>
      <c r="E6" s="3220"/>
      <c r="F6" s="3220"/>
      <c r="G6" s="3220"/>
      <c r="H6" s="3220"/>
      <c r="I6" s="3220"/>
      <c r="J6" s="3220"/>
      <c r="K6" s="3220"/>
      <c r="L6" s="3220"/>
      <c r="M6" s="3220"/>
      <c r="N6" s="3220"/>
      <c r="O6" s="3220"/>
      <c r="P6" s="3220"/>
      <c r="Q6" s="3221"/>
      <c r="R6" s="1794" t="str">
        <f>结果表!O39</f>
        <v>——</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794" t="str">
        <f>结果表!O40</f>
        <v>——</v>
      </c>
    </row>
    <row r="8" spans="1:18">
      <c r="A8" s="3219" t="str">
        <f>IF(项目基本情况!B9="市场价格","——",项目基本情况!E9)</f>
        <v>——</v>
      </c>
      <c r="B8" s="3220"/>
      <c r="C8" s="3220"/>
      <c r="D8" s="3220"/>
      <c r="E8" s="3220"/>
      <c r="F8" s="3220"/>
      <c r="G8" s="3220"/>
      <c r="H8" s="3220"/>
      <c r="I8" s="3220"/>
      <c r="J8" s="3220"/>
      <c r="K8" s="3220"/>
      <c r="L8" s="3220"/>
      <c r="M8" s="3220"/>
      <c r="N8" s="3220"/>
      <c r="O8" s="3220"/>
      <c r="P8" s="3220"/>
      <c r="Q8" s="3221"/>
      <c r="R8" s="1794" t="str">
        <f>结果表!O41</f>
        <v>——</v>
      </c>
    </row>
    <row r="9" spans="1:18">
      <c r="A9" s="1795" t="s">
        <v>2041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6" t="s">
        <v>2065</v>
      </c>
      <c r="B1" s="3226"/>
      <c r="C1" s="3226"/>
      <c r="D1" s="3226"/>
    </row>
    <row r="2" spans="1:4" ht="47.25" customHeight="1">
      <c r="A2" s="3230" t="str">
        <f>"1.权利限制："&amp;项目基本情况!L24&amp;"未设定租赁等其他他项权利。"</f>
        <v>1.权利限制：根据估价对象《不动产权证书》原件、《国有土地使用权》复印件，截至估价期日，估价对象抵押权未见登记。未设定租赁等其他他项权利。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2066</v>
      </c>
      <c r="B5" s="3229"/>
      <c r="C5" s="3229"/>
      <c r="D5" s="3229"/>
    </row>
    <row r="6" spans="1:4">
      <c r="A6" s="3226" t="s">
        <v>2044</v>
      </c>
      <c r="B6" s="3226"/>
      <c r="C6" s="3226"/>
      <c r="D6" s="3226"/>
    </row>
    <row r="7" spans="1:4" ht="33" customHeight="1">
      <c r="A7" s="3226" t="s">
        <v>2575</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9" t="s">
        <v>2068</v>
      </c>
      <c r="B12" s="3229"/>
      <c r="C12" s="3229"/>
      <c r="D12" s="3229"/>
    </row>
    <row r="13" spans="1:4">
      <c r="A13" s="3227" t="s">
        <v>2746</v>
      </c>
      <c r="B13" s="3227"/>
      <c r="C13" s="3227"/>
      <c r="D13" s="3227"/>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2702</v>
      </c>
      <c r="B17" s="3226"/>
      <c r="C17" s="3226"/>
      <c r="D17" s="3226"/>
    </row>
    <row r="18" spans="1:4">
      <c r="A18" s="3226" t="s">
        <v>2694</v>
      </c>
      <c r="B18" s="3226"/>
      <c r="C18" s="3226"/>
      <c r="D18" s="3226"/>
    </row>
    <row r="19" spans="1:4">
      <c r="A19" s="2820" t="s">
        <v>2695</v>
      </c>
      <c r="B19" s="2820" t="s">
        <v>2696</v>
      </c>
      <c r="C19" s="2820" t="s">
        <v>2697</v>
      </c>
      <c r="D19" s="2820" t="s">
        <v>2698</v>
      </c>
    </row>
    <row r="20" spans="1:4">
      <c r="A20" s="2820" t="str">
        <f>项目基本情况!B4</f>
        <v>土地估价师</v>
      </c>
      <c r="B20" s="2820">
        <f>项目基本情况!C4</f>
        <v>0</v>
      </c>
      <c r="C20" s="2822"/>
      <c r="D20" s="1782" t="s">
        <v>2703</v>
      </c>
    </row>
    <row r="21" spans="1:4">
      <c r="A21" s="2820" t="str">
        <f>项目基本情况!D4</f>
        <v>土地估价师</v>
      </c>
      <c r="B21" s="2820">
        <f>项目基本情况!E4</f>
        <v>0</v>
      </c>
      <c r="C21" s="2822"/>
      <c r="D21" s="1782" t="s">
        <v>2704</v>
      </c>
    </row>
    <row r="23" spans="1:4">
      <c r="A23" s="3226" t="s">
        <v>2699</v>
      </c>
      <c r="B23" s="3226"/>
      <c r="C23" s="3226"/>
      <c r="D23" s="3226"/>
    </row>
    <row r="24" spans="1:4">
      <c r="A24" s="2820" t="s">
        <v>2695</v>
      </c>
      <c r="B24" s="2820" t="s">
        <v>2700</v>
      </c>
      <c r="C24" s="2820" t="s">
        <v>2697</v>
      </c>
      <c r="D24" s="2820" t="s">
        <v>2698</v>
      </c>
    </row>
    <row r="25" spans="1:4">
      <c r="A25" s="2823" t="s">
        <v>2701</v>
      </c>
      <c r="B25" s="2820" t="s">
        <v>952</v>
      </c>
      <c r="C25" s="2822"/>
      <c r="D25" s="1782" t="s">
        <v>2704</v>
      </c>
    </row>
    <row r="29" spans="1:4">
      <c r="D29" s="2821" t="s">
        <v>2039</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38" t="s">
        <v>53</v>
      </c>
      <c r="B15" s="3239" t="s">
        <v>846</v>
      </c>
      <c r="C15" s="3235"/>
    </row>
    <row r="16" spans="1:7" ht="14.25">
      <c r="A16" s="3238"/>
      <c r="B16" s="3236" t="s">
        <v>54</v>
      </c>
      <c r="C16" s="1165" t="s">
        <v>53</v>
      </c>
    </row>
    <row r="17" spans="1:3" ht="14.25">
      <c r="A17" s="3238"/>
      <c r="B17" s="3236"/>
      <c r="C17" s="1165" t="s">
        <v>55</v>
      </c>
    </row>
    <row r="18" spans="1:3" ht="14.25">
      <c r="A18" s="3238"/>
      <c r="B18" s="3236"/>
      <c r="C18" s="1165" t="s">
        <v>56</v>
      </c>
    </row>
    <row r="19" spans="1:3" ht="14.25">
      <c r="A19" s="3238"/>
      <c r="B19" s="3234" t="s">
        <v>57</v>
      </c>
      <c r="C19" s="3235"/>
    </row>
    <row r="20" spans="1:3" ht="14.25">
      <c r="A20" s="1166" t="s">
        <v>58</v>
      </c>
      <c r="B20" s="1167"/>
      <c r="C20" s="1168"/>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69" t="s">
        <v>837</v>
      </c>
    </row>
    <row r="25" spans="1:3" ht="14.25">
      <c r="A25" s="3237"/>
      <c r="B25" s="3241"/>
      <c r="C25" s="1169" t="s">
        <v>838</v>
      </c>
    </row>
    <row r="26" spans="1:3" ht="14.25">
      <c r="A26" s="3237"/>
      <c r="B26" s="3241"/>
      <c r="C26" s="1169" t="s">
        <v>839</v>
      </c>
    </row>
    <row r="27" spans="1:3" ht="14.25">
      <c r="A27" s="3237"/>
      <c r="B27" s="3241"/>
      <c r="C27" s="1169" t="s">
        <v>840</v>
      </c>
    </row>
    <row r="28" spans="1:3" ht="14.25">
      <c r="A28" s="3237"/>
      <c r="B28" s="3241"/>
      <c r="C28" s="1169" t="s">
        <v>841</v>
      </c>
    </row>
    <row r="29" spans="1:3" ht="14.25">
      <c r="A29" s="3237"/>
      <c r="B29" s="3241"/>
      <c r="C29" s="1169" t="s">
        <v>842</v>
      </c>
    </row>
    <row r="30" spans="1:3" ht="14.25">
      <c r="A30" s="3237"/>
      <c r="B30" s="3241"/>
      <c r="C30" s="1169" t="s">
        <v>843</v>
      </c>
    </row>
    <row r="31" spans="1:3" ht="14.25">
      <c r="A31" s="3237"/>
      <c r="B31" s="3241"/>
      <c r="C31" s="1169" t="s">
        <v>844</v>
      </c>
    </row>
    <row r="32" spans="1:3" ht="14.25">
      <c r="A32" s="3237"/>
      <c r="B32" s="3241"/>
      <c r="C32" s="1169" t="s">
        <v>1646</v>
      </c>
    </row>
    <row r="33" spans="1:3" ht="14.25">
      <c r="A33" s="3237"/>
      <c r="B33" s="3231" t="s">
        <v>1652</v>
      </c>
      <c r="C33" s="1169" t="s">
        <v>1647</v>
      </c>
    </row>
    <row r="34" spans="1:3" ht="14.25">
      <c r="A34" s="3237"/>
      <c r="B34" s="3232"/>
      <c r="C34" s="1174" t="s">
        <v>1648</v>
      </c>
    </row>
    <row r="35" spans="1:3" ht="14.25">
      <c r="A35" s="3237"/>
      <c r="B35" s="3232"/>
      <c r="C35" s="1175" t="s">
        <v>1649</v>
      </c>
    </row>
    <row r="36" spans="1:3" ht="14.25">
      <c r="A36" s="3237"/>
      <c r="B36" s="3232"/>
      <c r="C36" s="1175" t="s">
        <v>1650</v>
      </c>
    </row>
    <row r="37" spans="1:3" ht="14.25">
      <c r="A37" s="3237"/>
      <c r="B37" s="3233"/>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43819</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t="str">
        <f ca="1">IF(C13&lt;B2,"已过期",1120070131)</f>
        <v>已过期</v>
      </c>
      <c r="C13" s="3130">
        <v>43814</v>
      </c>
      <c r="D13" s="3128" t="s">
        <v>1922</v>
      </c>
      <c r="E13" s="3128">
        <f ca="1">IF(F13&lt;B2,"已过期",2014110011)</f>
        <v>2014110011</v>
      </c>
      <c r="F13" s="3131">
        <v>49302</v>
      </c>
    </row>
    <row r="14" spans="1:6" ht="20.25" customHeight="1">
      <c r="A14" s="3128" t="s">
        <v>2980</v>
      </c>
      <c r="B14" s="3128">
        <f ca="1">IF(C14&lt;B2,"已过期",1120040230)</f>
        <v>1120040230</v>
      </c>
      <c r="C14" s="3132">
        <v>43835</v>
      </c>
      <c r="D14" s="3133" t="s">
        <v>2981</v>
      </c>
      <c r="E14" s="3128">
        <f ca="1">IF(F14&lt;B2,"已过期",98030020)</f>
        <v>98030020</v>
      </c>
      <c r="F14" s="3131">
        <v>47118</v>
      </c>
    </row>
    <row r="15" spans="1:6" ht="20.25" customHeight="1">
      <c r="A15" s="3128" t="s">
        <v>2574</v>
      </c>
      <c r="B15" s="3128" t="str">
        <f ca="1">IF(C15&lt;B2,"已过期",1120070085)</f>
        <v>已过期</v>
      </c>
      <c r="C15" s="3132">
        <v>43814</v>
      </c>
      <c r="D15" s="3128" t="s">
        <v>2982</v>
      </c>
      <c r="E15" s="3128">
        <f ca="1">IF(F15&lt;B2,"已过期",2004110128)</f>
        <v>2004110128</v>
      </c>
      <c r="F15" s="3134">
        <v>47118</v>
      </c>
    </row>
    <row r="16" spans="1:6" ht="20.25" customHeight="1">
      <c r="A16" s="3128" t="s">
        <v>1923</v>
      </c>
      <c r="B16" s="3128">
        <f ca="1">IF(C16&lt;B2,"已过期",1120140022)</f>
        <v>1120140022</v>
      </c>
      <c r="C16" s="3130">
        <v>44029</v>
      </c>
      <c r="D16" s="3128" t="s">
        <v>2983</v>
      </c>
      <c r="E16" s="3128">
        <f ca="1">IF(F16&lt;B2,"已过期",2008110059)</f>
        <v>2008110059</v>
      </c>
      <c r="F16" s="3131">
        <v>47177</v>
      </c>
    </row>
    <row r="17" spans="1:7" ht="20.25" customHeight="1">
      <c r="A17" s="3128"/>
      <c r="B17" s="3128"/>
      <c r="C17" s="3130"/>
      <c r="D17" s="3133" t="s">
        <v>2984</v>
      </c>
      <c r="E17" s="3128">
        <f ca="1">IF(F17&lt;B2,"已过期",2014110076)</f>
        <v>2014110076</v>
      </c>
      <c r="F17" s="3131">
        <v>49302</v>
      </c>
    </row>
    <row r="18" spans="1:7" ht="20.25" customHeight="1">
      <c r="A18" s="3128" t="s">
        <v>2997</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42" t="s">
        <v>1926</v>
      </c>
      <c r="B25" s="3242"/>
      <c r="C25" s="3242"/>
      <c r="D25" s="3242"/>
      <c r="E25" s="3242"/>
      <c r="F25" s="3242"/>
      <c r="G25" s="3242"/>
    </row>
    <row r="26" spans="1:7" ht="20.25" customHeight="1">
      <c r="A26" s="3243" t="s">
        <v>1927</v>
      </c>
      <c r="B26" s="3243"/>
      <c r="C26" s="3243"/>
      <c r="D26" s="3243" t="s">
        <v>1928</v>
      </c>
      <c r="E26" s="3243"/>
      <c r="F26" s="3243"/>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44820</v>
      </c>
      <c r="D28" s="3139" t="s">
        <v>1934</v>
      </c>
      <c r="E28" s="3139" t="s">
        <v>1935</v>
      </c>
      <c r="F28" s="3140">
        <v>44377</v>
      </c>
    </row>
    <row r="29" spans="1:7" s="3123" customFormat="1" ht="20.25" customHeight="1">
      <c r="A29" s="3139"/>
      <c r="B29" s="3139"/>
      <c r="C29" s="3141"/>
      <c r="D29" s="3139" t="s">
        <v>1936</v>
      </c>
      <c r="E29" s="3139" t="s">
        <v>2998</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1"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34"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2" t="s">
        <v>1640</v>
      </c>
      <c r="C6" s="1536"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61" t="s">
        <v>2954</v>
      </c>
      <c r="C18" s="1537"/>
    </row>
    <row r="19" spans="1:3">
      <c r="A19" s="8" t="s">
        <v>120</v>
      </c>
      <c r="B19" s="3061" t="s">
        <v>2962</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1986</v>
      </c>
      <c r="B52" s="1750" t="s">
        <v>1987</v>
      </c>
      <c r="C52" s="1748" t="s">
        <v>1988</v>
      </c>
      <c r="D52" s="1748" t="s">
        <v>1989</v>
      </c>
      <c r="E52" s="1749"/>
    </row>
    <row r="53" spans="1:5">
      <c r="A53" s="3244"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c r="D53" s="1749"/>
      <c r="E53" s="1749"/>
    </row>
    <row r="54" spans="1:5">
      <c r="A54" s="3244"/>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4"/>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4"/>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4"/>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2049</v>
      </c>
      <c r="B58" s="1748" t="s">
        <v>2050</v>
      </c>
      <c r="C58" s="11" t="s">
        <v>2051</v>
      </c>
      <c r="D58" s="131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138</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不动产比较法-商业</vt:lpstr>
      <vt:lpstr>典型户型修正</vt:lpstr>
      <vt:lpstr>不动产收益法</vt:lpstr>
      <vt:lpstr>酒店收入计算</vt:lpstr>
      <vt:lpstr>成本逼近法</vt:lpstr>
      <vt:lpstr>不动产比较法-办公</vt:lpstr>
      <vt:lpstr>不动产比较法-工业</vt:lpstr>
      <vt:lpstr>不动产比较法-车位</vt:lpstr>
      <vt:lpstr>不动产比较法-仓储</vt:lpstr>
      <vt:lpstr>存贷款利率</vt:lpstr>
      <vt:lpstr>典型户型修正 (2)</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2019-12-20T09:04:39Z</dcterms:modified>
</cp:coreProperties>
</file>